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firstSheet="4" activeTab="5"/>
  </bookViews>
  <sheets>
    <sheet name="Costos" sheetId="1" r:id="rId1"/>
    <sheet name="Precio Objetivo" sheetId="2" r:id="rId2"/>
    <sheet name="Inversion" sheetId="3" r:id="rId3"/>
    <sheet name="Est. de venta" sheetId="4" r:id="rId4"/>
    <sheet name="tasa de descuento" sheetId="5" r:id="rId5"/>
    <sheet name="fc primer año sin deuda" sheetId="6" r:id="rId6"/>
    <sheet name="fc 5 años Sin Deuda" sheetId="7" r:id="rId7"/>
    <sheet name="payback" sheetId="8" r:id="rId8"/>
    <sheet name="fc 60% deuda" sheetId="9" r:id="rId9"/>
    <sheet name="financto60%deuda" sheetId="10" r:id="rId10"/>
    <sheet name="fc 100% deuda" sheetId="11" r:id="rId11"/>
    <sheet name="financto100%deuda" sheetId="12" r:id="rId12"/>
  </sheets>
  <externalReferences>
    <externalReference r:id="rId15"/>
    <externalReference r:id="rId16"/>
  </externalReferences>
  <definedNames/>
  <calcPr fullCalcOnLoad="1"/>
</workbook>
</file>

<file path=xl/comments11.xml><?xml version="1.0" encoding="utf-8"?>
<comments xmlns="http://schemas.openxmlformats.org/spreadsheetml/2006/main">
  <authors>
    <author>Ernst &amp; Young</author>
  </authors>
  <commentList>
    <comment ref="A19" authorId="0">
      <text>
        <r>
          <rPr>
            <b/>
            <sz val="9"/>
            <rFont val="Tahoma"/>
            <family val="2"/>
          </rPr>
          <t>Ernst &amp; Young:
Costo de venta unitario</t>
        </r>
      </text>
    </comment>
  </commentList>
</comments>
</file>

<file path=xl/comments7.xml><?xml version="1.0" encoding="utf-8"?>
<comments xmlns="http://schemas.openxmlformats.org/spreadsheetml/2006/main">
  <authors>
    <author>Ernst &amp; Young</author>
  </authors>
  <commentList>
    <comment ref="A18" authorId="0">
      <text>
        <r>
          <rPr>
            <b/>
            <sz val="9"/>
            <rFont val="Tahoma"/>
            <family val="2"/>
          </rPr>
          <t>Ernst &amp; Young:
Costo de venta unitario</t>
        </r>
      </text>
    </comment>
  </commentList>
</comments>
</file>

<file path=xl/comments9.xml><?xml version="1.0" encoding="utf-8"?>
<comments xmlns="http://schemas.openxmlformats.org/spreadsheetml/2006/main">
  <authors>
    <author>Ernst &amp; Young</author>
  </authors>
  <commentList>
    <comment ref="A19" authorId="0">
      <text>
        <r>
          <rPr>
            <b/>
            <sz val="9"/>
            <rFont val="Tahoma"/>
            <family val="2"/>
          </rPr>
          <t>Ernst &amp; Young:
Costo de venta unitario</t>
        </r>
      </text>
    </comment>
  </commentList>
</comments>
</file>

<file path=xl/sharedStrings.xml><?xml version="1.0" encoding="utf-8"?>
<sst xmlns="http://schemas.openxmlformats.org/spreadsheetml/2006/main" count="362" uniqueCount="255">
  <si>
    <t>Proyecto s/ deuda</t>
  </si>
  <si>
    <t xml:space="preserve">Tasa de </t>
  </si>
  <si>
    <t>descuento</t>
  </si>
  <si>
    <t>Ke</t>
  </si>
  <si>
    <t>Rf</t>
  </si>
  <si>
    <t>Tasa libre de riesgo</t>
  </si>
  <si>
    <t>SP</t>
  </si>
  <si>
    <t>Riesgo País</t>
  </si>
  <si>
    <t>E(Rm)</t>
  </si>
  <si>
    <t>Rendimiento del mercado</t>
  </si>
  <si>
    <t>βi</t>
  </si>
  <si>
    <t>http://pages.stern.nyu.edu/~adamodar/New_Home_Page/datafile/Betas.html</t>
  </si>
  <si>
    <t>Food Processing</t>
  </si>
  <si>
    <t>Date</t>
  </si>
  <si>
    <t>Close</t>
  </si>
  <si>
    <t>Aug-07</t>
  </si>
  <si>
    <t>Apr-07</t>
  </si>
  <si>
    <t>Jan-07</t>
  </si>
  <si>
    <t>Dec-06</t>
  </si>
  <si>
    <t>Aug-06</t>
  </si>
  <si>
    <t>Apr-06</t>
  </si>
  <si>
    <t>Jan-06</t>
  </si>
  <si>
    <t>Dec-05</t>
  </si>
  <si>
    <t>Aug-05</t>
  </si>
  <si>
    <t>Apr-05</t>
  </si>
  <si>
    <t>Jan-05</t>
  </si>
  <si>
    <t>Dec-04</t>
  </si>
  <si>
    <t>Aug-04</t>
  </si>
  <si>
    <t>Apr-04</t>
  </si>
  <si>
    <t>Jan-04</t>
  </si>
  <si>
    <t>Dec-03</t>
  </si>
  <si>
    <t>Aug-03</t>
  </si>
  <si>
    <t>Apr-03</t>
  </si>
  <si>
    <t>Jan-03</t>
  </si>
  <si>
    <t>Dec-02</t>
  </si>
  <si>
    <t>Aug-02</t>
  </si>
  <si>
    <t>Apr-02</t>
  </si>
  <si>
    <t>Jan-02</t>
  </si>
  <si>
    <t>Dec-01</t>
  </si>
  <si>
    <t>Aug-01</t>
  </si>
  <si>
    <t>Apr-01</t>
  </si>
  <si>
    <t>Jan-01</t>
  </si>
  <si>
    <t>Dec-00</t>
  </si>
  <si>
    <t>Aug-00</t>
  </si>
  <si>
    <t>Apr-00</t>
  </si>
  <si>
    <t>Jan-00</t>
  </si>
  <si>
    <t>a Agosto del 2008</t>
  </si>
  <si>
    <t>www.infobaeprofesional.com/adjuntos/documentos/19/0001955.ppt</t>
  </si>
  <si>
    <t>Flujo del Primer Año</t>
  </si>
  <si>
    <t>Primer Año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</si>
  <si>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</si>
  <si>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</si>
  <si>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</si>
  <si>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</si>
  <si>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</si>
  <si>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</si>
  <si>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</si>
  <si>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</si>
  <si>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</si>
  <si>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</si>
  <si>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</si>
  <si>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</si>
  <si>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 Primer Año</t>
  </si>
  <si>
    <t>Precio promedio unitario por lìnea</t>
  </si>
  <si>
    <t>Cantidades vendidas</t>
  </si>
  <si>
    <t>Total Ingresos</t>
  </si>
  <si>
    <t>Costo de venta unitario</t>
  </si>
  <si>
    <t>Total costo de ventas unitario</t>
  </si>
  <si>
    <t>Costos de Venta</t>
  </si>
  <si>
    <t>Total costo de venta</t>
  </si>
  <si>
    <t>Utilidad Bruta</t>
  </si>
  <si>
    <t>Inversion inicial</t>
  </si>
  <si>
    <t>Plan de medios</t>
  </si>
  <si>
    <t>Promocion</t>
  </si>
  <si>
    <t>Total Inversion inicial</t>
  </si>
  <si>
    <t>Utilidad Operacional</t>
  </si>
  <si>
    <t>Cálculo del Capital de Trabajo</t>
  </si>
  <si>
    <t>Método Déficit Máximo Acumulado</t>
  </si>
  <si>
    <t xml:space="preserve">Total Ingresos </t>
  </si>
  <si>
    <t>Total de Costos y Gastos Desembolsables</t>
  </si>
  <si>
    <t>Saldo mensual</t>
  </si>
  <si>
    <t>Saldo acumulado</t>
  </si>
  <si>
    <t>Registros sanitarios</t>
  </si>
  <si>
    <t>camiones frigorifico</t>
  </si>
  <si>
    <t>Tasa de Impuesto a la Renta</t>
  </si>
  <si>
    <t xml:space="preserve">Financiamiento </t>
  </si>
  <si>
    <t>Flujo de caja con financiamiento propio</t>
  </si>
  <si>
    <t>Años</t>
  </si>
  <si>
    <t>Presupuesto de Publicidad y Promocion</t>
  </si>
  <si>
    <t>Utilidad antes de Impuestos</t>
  </si>
  <si>
    <t>25% de Impuestos a la Renta</t>
  </si>
  <si>
    <t>15% de Participación a trabajadores</t>
  </si>
  <si>
    <t>Utilidad Neta</t>
  </si>
  <si>
    <t>Inversion en Capital de Trabajo</t>
  </si>
  <si>
    <t>Flujo de Caja</t>
  </si>
  <si>
    <t>TIR</t>
  </si>
  <si>
    <t>VAN</t>
  </si>
  <si>
    <t>TMAR</t>
  </si>
  <si>
    <t>Tasa pasiva para depósitos a largo plazo</t>
  </si>
  <si>
    <t>TIR&gt;TMAR</t>
  </si>
  <si>
    <t>Proyecto Rentable</t>
  </si>
  <si>
    <t>Cálculo de Impuestos</t>
  </si>
  <si>
    <t>Utilidad o Pérdida antes de Impuestos</t>
  </si>
  <si>
    <t>Pérdida del Periodo</t>
  </si>
  <si>
    <t>Pérdida Acumulada año anterior</t>
  </si>
  <si>
    <t>Pérdida Acumulada</t>
  </si>
  <si>
    <t>Base Imponible</t>
  </si>
  <si>
    <t>Impuesto a la Renta (25%)</t>
  </si>
  <si>
    <t>Participación a Trabajadores (15%)</t>
  </si>
  <si>
    <t>arroz</t>
  </si>
  <si>
    <t>%</t>
  </si>
  <si>
    <t>$</t>
  </si>
  <si>
    <t>fideo</t>
  </si>
  <si>
    <t>galletas</t>
  </si>
  <si>
    <t>camiones frigoríficos</t>
  </si>
  <si>
    <t>Payback</t>
  </si>
  <si>
    <t>Periodo (años)</t>
  </si>
  <si>
    <t>Saldo Inversión</t>
  </si>
  <si>
    <t>Flujo anual</t>
  </si>
  <si>
    <t>Flujo de caja actualizado</t>
  </si>
  <si>
    <t>Flujo de caja acumulado</t>
  </si>
  <si>
    <t>un año con diez meses</t>
  </si>
  <si>
    <t>TASA ACTIVA BANCARIA</t>
  </si>
  <si>
    <t>% de endeudamiento</t>
  </si>
  <si>
    <t>Tiempo de deuda</t>
  </si>
  <si>
    <t>FINANCIAMIENTO</t>
  </si>
  <si>
    <t>No</t>
  </si>
  <si>
    <t>Pago</t>
  </si>
  <si>
    <t>Amortizacion</t>
  </si>
  <si>
    <t>Interes</t>
  </si>
  <si>
    <t>Capital</t>
  </si>
  <si>
    <t>Inversion Por Financiar</t>
  </si>
  <si>
    <t>Capital de trabajo</t>
  </si>
  <si>
    <t>Capital Requerido</t>
  </si>
  <si>
    <t>Deuda por Financiar</t>
  </si>
  <si>
    <t>Prestamo</t>
  </si>
  <si>
    <t>Desembolso de Capital por Prestamo</t>
  </si>
  <si>
    <t>Capital propio</t>
  </si>
  <si>
    <t>Deuda</t>
  </si>
  <si>
    <t>Financiamiento via deuda</t>
  </si>
  <si>
    <t>Intereses</t>
  </si>
  <si>
    <t>Kd=</t>
  </si>
  <si>
    <t>%D=</t>
  </si>
  <si>
    <t>Ke=</t>
  </si>
  <si>
    <t>%P=</t>
  </si>
  <si>
    <t>Ko = Kd*(1-t)*%D + Ke*%P</t>
  </si>
  <si>
    <t>CCPA =</t>
  </si>
  <si>
    <t>t =</t>
  </si>
  <si>
    <t>COSTOS UNITARIOS DE PRODUCCION DE LOS CAKE HELADOS</t>
  </si>
  <si>
    <t>LINEAS DE HELADO</t>
  </si>
  <si>
    <t>INACAKE</t>
  </si>
  <si>
    <t>BONY</t>
  </si>
  <si>
    <t>TIGRETON</t>
  </si>
  <si>
    <t>Costo de producir el cake helado</t>
  </si>
  <si>
    <t>Costo empaquetado</t>
  </si>
  <si>
    <t>Costo de etiquetado</t>
  </si>
  <si>
    <t>Costos de Bodega</t>
  </si>
  <si>
    <t>COSTO TOTAL UNITARIO</t>
  </si>
  <si>
    <r>
      <t xml:space="preserve">Elaborado: </t>
    </r>
    <r>
      <rPr>
        <sz val="11"/>
        <rFont val="Arial"/>
        <family val="2"/>
      </rPr>
      <t>Autores del proyecto</t>
    </r>
  </si>
  <si>
    <t>TOTAL COSTOS</t>
  </si>
  <si>
    <t xml:space="preserve">      Helado</t>
  </si>
  <si>
    <t xml:space="preserve">      Manjar</t>
  </si>
  <si>
    <t xml:space="preserve">      Chocolate</t>
  </si>
  <si>
    <t xml:space="preserve">      Vainilla</t>
  </si>
  <si>
    <t xml:space="preserve">      Azucar</t>
  </si>
  <si>
    <t xml:space="preserve">      Mantequilla</t>
  </si>
  <si>
    <t xml:space="preserve">      Huevos</t>
  </si>
  <si>
    <t xml:space="preserve">      Harina </t>
  </si>
  <si>
    <t>Costos de producir el Cake Helado</t>
  </si>
  <si>
    <t>ESTIMACION DE LA DEMANDA</t>
  </si>
  <si>
    <t>Proyeccion de ventas</t>
  </si>
  <si>
    <t>EdadES</t>
  </si>
  <si>
    <t>Poblacion Guayaquil</t>
  </si>
  <si>
    <t>Total</t>
  </si>
  <si>
    <t>Niños</t>
  </si>
  <si>
    <t>Niñas</t>
  </si>
  <si>
    <t>Producto</t>
  </si>
  <si>
    <t>1 mes</t>
  </si>
  <si>
    <t>2 mes</t>
  </si>
  <si>
    <t>3 mes</t>
  </si>
  <si>
    <t>8   -  13 años</t>
  </si>
  <si>
    <t>Inacake cream</t>
  </si>
  <si>
    <t>Bony cream</t>
  </si>
  <si>
    <t>Tigreton cream</t>
  </si>
  <si>
    <t>Desgloce de demanda proyectada</t>
  </si>
  <si>
    <t>Elaborado: Autores del Proyecto</t>
  </si>
  <si>
    <t>Poblacion objetivo</t>
  </si>
  <si>
    <t>Porcentaje</t>
  </si>
  <si>
    <t>Parcial</t>
  </si>
  <si>
    <t>Consumidores de HELADOS</t>
  </si>
  <si>
    <t>Porcentaje de aceptacion de Inalecsa</t>
  </si>
  <si>
    <t>Porcentaje de mercado en reposteria</t>
  </si>
  <si>
    <t>Porcentaje de aceptaciòn de nuevo lineas de inalecsa</t>
  </si>
  <si>
    <t>Porcentaje de Consumo de Inacake</t>
  </si>
  <si>
    <t>Porcentaje de Consumo de Bony</t>
  </si>
  <si>
    <t>Porcentaje de Consumo de Tigreton</t>
  </si>
  <si>
    <t>Porcentaje de tendencia de compra del nuevo producto</t>
  </si>
  <si>
    <t>Demanda a cubir Inacake cream</t>
  </si>
  <si>
    <t>Demanda a cubir Bony cream</t>
  </si>
  <si>
    <t>Demanda a cubir Tigreton cream</t>
  </si>
  <si>
    <t xml:space="preserve">TOMADO DE LA PAGINA </t>
  </si>
  <si>
    <t>http://www.visitaguayaquil.com/3.gye</t>
  </si>
  <si>
    <t>Precios Objetivos: Cake Helados</t>
  </si>
  <si>
    <t>Componentes</t>
  </si>
  <si>
    <t xml:space="preserve">Inacake </t>
  </si>
  <si>
    <t xml:space="preserve">Bony </t>
  </si>
  <si>
    <t xml:space="preserve">Tigreton </t>
  </si>
  <si>
    <t>Costo</t>
  </si>
  <si>
    <t>Margen de Marca</t>
  </si>
  <si>
    <t>Margen distribuidores</t>
  </si>
  <si>
    <t>Precio a distribuidor</t>
  </si>
  <si>
    <t>P.V.P</t>
  </si>
  <si>
    <t>Precio objetivo</t>
  </si>
  <si>
    <r>
      <t xml:space="preserve">Elaborado: </t>
    </r>
    <r>
      <rPr>
        <sz val="11"/>
        <rFont val="Arial"/>
        <family val="2"/>
      </rPr>
      <t xml:space="preserve">Autores del proyecto </t>
    </r>
  </si>
  <si>
    <t>PRESUPUESTO</t>
  </si>
  <si>
    <t>TOTAL</t>
  </si>
  <si>
    <t xml:space="preserve"> </t>
  </si>
  <si>
    <t>VEHÍCULO ESPECIAL</t>
  </si>
  <si>
    <t>CAMIÓN FRIGORÍFICO</t>
  </si>
  <si>
    <t>DESCRIPCIÓN:</t>
  </si>
  <si>
    <t>Vehículos automóviles para usos especiales…..  - - Los demás</t>
  </si>
  <si>
    <t>MARCA</t>
  </si>
  <si>
    <t>IVECO</t>
  </si>
  <si>
    <t>MODELO</t>
  </si>
  <si>
    <t>ML120E21</t>
  </si>
  <si>
    <t>VIN O CHASIS</t>
  </si>
  <si>
    <t>ZCFA1EF0202420946</t>
  </si>
  <si>
    <t>MOTOR</t>
  </si>
  <si>
    <t>AÑO DE FABRICACIÓN</t>
  </si>
  <si>
    <r>
      <rPr>
        <b/>
        <sz val="11"/>
        <rFont val="Arial"/>
        <family val="2"/>
      </rPr>
      <t>Elaborado:</t>
    </r>
    <r>
      <rPr>
        <sz val="11"/>
        <rFont val="Arial"/>
        <family val="2"/>
      </rPr>
      <t xml:space="preserve"> Autores del proyecto</t>
    </r>
  </si>
  <si>
    <r>
      <t xml:space="preserve">ANEXO 2.1          </t>
    </r>
    <r>
      <rPr>
        <b/>
        <sz val="11"/>
        <rFont val="Arial"/>
        <family val="2"/>
      </rPr>
      <t xml:space="preserve">COSTOS UNITARIOS </t>
    </r>
  </si>
  <si>
    <r>
      <t xml:space="preserve">ANEXO 2.2          </t>
    </r>
    <r>
      <rPr>
        <b/>
        <sz val="11"/>
        <rFont val="Arial"/>
        <family val="2"/>
      </rPr>
      <t>PRECIOS OBJETIVOS</t>
    </r>
  </si>
  <si>
    <r>
      <t xml:space="preserve">ANEXO 2.5          </t>
    </r>
    <r>
      <rPr>
        <b/>
        <sz val="11"/>
        <rFont val="Arial"/>
        <family val="2"/>
      </rPr>
      <t>PRESUPUESTOS</t>
    </r>
  </si>
  <si>
    <t>Importación de Camión Frigorífico</t>
  </si>
  <si>
    <t>PRECIO DE VEHÍCULO</t>
  </si>
  <si>
    <t>Promoción</t>
  </si>
  <si>
    <r>
      <t>ANEXO 2.4          Estimación</t>
    </r>
    <r>
      <rPr>
        <b/>
        <sz val="11"/>
        <rFont val="Arial"/>
        <family val="2"/>
      </rPr>
      <t xml:space="preserve"> de ventas</t>
    </r>
  </si>
  <si>
    <t>ANEXO 2.6          TASA DE DESCUENTO</t>
  </si>
  <si>
    <t>ANEXO 2.7         Flujo de Caja Primer año sin deuda</t>
  </si>
  <si>
    <t>ANEXO 2.8        Flujo de Caja 5 años sin deuda</t>
  </si>
  <si>
    <r>
      <t xml:space="preserve">ANEXO 2.9          </t>
    </r>
    <r>
      <rPr>
        <b/>
        <sz val="11"/>
        <rFont val="Arial"/>
        <family val="2"/>
      </rPr>
      <t>PRESUPUESTOS</t>
    </r>
  </si>
  <si>
    <t>ANEXO 2.10         Flujo de Caja 60% deuda</t>
  </si>
  <si>
    <r>
      <t xml:space="preserve">ANEXO 2.11          </t>
    </r>
    <r>
      <rPr>
        <b/>
        <sz val="11"/>
        <rFont val="Arial"/>
        <family val="2"/>
      </rPr>
      <t>Financiamiento 60% deuda</t>
    </r>
  </si>
  <si>
    <t>ANEXO 2.12          Flujo de Caja 100% deuda</t>
  </si>
  <si>
    <r>
      <t xml:space="preserve">ANEXO 2.13         </t>
    </r>
    <r>
      <rPr>
        <b/>
        <sz val="11"/>
        <rFont val="Arial"/>
        <family val="2"/>
      </rPr>
      <t>Financiamiento 100% deuda</t>
    </r>
  </si>
  <si>
    <t>Precio Inacake  crema helada</t>
  </si>
  <si>
    <t>Precio Bony  crema helada</t>
  </si>
  <si>
    <t>Precio Tigreton  crema helada</t>
  </si>
  <si>
    <t>Unidades Inacake crema</t>
  </si>
  <si>
    <t>Unidades Bony crema</t>
  </si>
  <si>
    <t>Unidades tigreton crema</t>
  </si>
  <si>
    <t>Costo Inacake crema</t>
  </si>
  <si>
    <t>Costo Bony crema</t>
  </si>
  <si>
    <t>Costo Tigreton crema</t>
  </si>
  <si>
    <r>
      <t xml:space="preserve">ANEXO 2.3          </t>
    </r>
    <r>
      <rPr>
        <b/>
        <sz val="11"/>
        <rFont val="Arial"/>
        <family val="2"/>
      </rPr>
      <t>INVERSION</t>
    </r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</si>
</sst>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0.000000"/>
    <numFmt numFmtId="174" formatCode="#,##0.000"/>
    <numFmt numFmtId="175" formatCode="&quot;$&quot;\ #,##0.000"/>
    <numFmt numFmtId="176" formatCode="&quot;$&quot;\ #,##0.00"/>
    <numFmt numFmtId="177" formatCode="#,##0.000000"/>
    <numFmt numFmtId="178" formatCode="#,##0.0"/>
    <numFmt numFmtId="179" formatCode="#,##0.0000"/>
    <numFmt numFmtId="180" formatCode="#,##0.00000"/>
    <numFmt numFmtId="181" formatCode="#,##0.0000000"/>
    <numFmt numFmtId="182" formatCode="#,##0.00000000"/>
    <numFmt numFmtId="183" formatCode="0.0000000000000000%"/>
    <numFmt numFmtId="184" formatCode="0.000000000000000%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0.0000%"/>
    <numFmt numFmtId="196" formatCode="0.000%"/>
    <numFmt numFmtId="197" formatCode="0.0%"/>
    <numFmt numFmtId="198" formatCode="[$$-409]#,##0.00"/>
    <numFmt numFmtId="199" formatCode="0.0"/>
    <numFmt numFmtId="200" formatCode="0.000"/>
    <numFmt numFmtId="201" formatCode="&quot;$&quot;#,##0;[Red]\-&quot;$&quot;#,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[$$-409]#,##0.00_);\([$$-409]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.65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b/>
      <sz val="9"/>
      <color indexed="8"/>
      <name val="Calibri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indexed="63"/>
      <name val="Arial"/>
      <family val="2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76">
    <xf numFmtId="0" fontId="0" fillId="0" borderId="0" xfId="0" applyFont="1" applyAlignment="1">
      <alignment/>
    </xf>
    <xf numFmtId="0" fontId="4" fillId="0" borderId="10" xfId="53" applyFont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4" fillId="0" borderId="11" xfId="53" applyFont="1" applyBorder="1">
      <alignment/>
      <protection/>
    </xf>
    <xf numFmtId="0" fontId="4" fillId="0" borderId="12" xfId="53" applyFont="1" applyBorder="1">
      <alignment/>
      <protection/>
    </xf>
    <xf numFmtId="0" fontId="4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5" xfId="53" applyFont="1" applyBorder="1">
      <alignment/>
      <protection/>
    </xf>
    <xf numFmtId="0" fontId="6" fillId="0" borderId="0" xfId="53" applyFont="1" applyBorder="1" applyAlignment="1">
      <alignment horizontal="center"/>
      <protection/>
    </xf>
    <xf numFmtId="0" fontId="6" fillId="0" borderId="15" xfId="53" applyFont="1" applyBorder="1">
      <alignment/>
      <protection/>
    </xf>
    <xf numFmtId="10" fontId="5" fillId="0" borderId="0" xfId="57" applyNumberFormat="1" applyFont="1" applyBorder="1" applyAlignment="1">
      <alignment horizontal="center"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10" fontId="5" fillId="0" borderId="0" xfId="53" applyNumberFormat="1" applyFont="1" applyBorder="1" applyAlignment="1">
      <alignment horizontal="center"/>
      <protection/>
    </xf>
    <xf numFmtId="0" fontId="5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10" fontId="5" fillId="33" borderId="0" xfId="57" applyNumberFormat="1" applyFont="1" applyFill="1" applyBorder="1" applyAlignment="1">
      <alignment horizontal="center"/>
    </xf>
    <xf numFmtId="0" fontId="3" fillId="0" borderId="17" xfId="45" applyFont="1" applyBorder="1" applyAlignment="1" applyProtection="1">
      <alignment/>
      <protection/>
    </xf>
    <xf numFmtId="10" fontId="5" fillId="0" borderId="17" xfId="53" applyNumberFormat="1" applyFont="1" applyBorder="1" applyAlignment="1">
      <alignment horizontal="center"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17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 wrapText="1"/>
    </xf>
    <xf numFmtId="10" fontId="1" fillId="0" borderId="0" xfId="56" applyNumberFormat="1" applyFont="1" applyAlignment="1">
      <alignment/>
    </xf>
    <xf numFmtId="10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171" fontId="4" fillId="0" borderId="20" xfId="48" applyNumberFormat="1" applyFont="1" applyBorder="1" applyAlignment="1">
      <alignment/>
    </xf>
    <xf numFmtId="0" fontId="8" fillId="0" borderId="0" xfId="0" applyFont="1" applyBorder="1" applyAlignment="1">
      <alignment/>
    </xf>
    <xf numFmtId="1" fontId="4" fillId="0" borderId="20" xfId="0" applyNumberFormat="1" applyFont="1" applyBorder="1" applyAlignment="1">
      <alignment horizontal="right"/>
    </xf>
    <xf numFmtId="172" fontId="4" fillId="0" borderId="20" xfId="48" applyNumberFormat="1" applyFont="1" applyBorder="1" applyAlignment="1">
      <alignment/>
    </xf>
    <xf numFmtId="0" fontId="4" fillId="0" borderId="15" xfId="0" applyFont="1" applyBorder="1" applyAlignment="1">
      <alignment/>
    </xf>
    <xf numFmtId="1" fontId="4" fillId="0" borderId="21" xfId="48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171" fontId="8" fillId="0" borderId="20" xfId="48" applyNumberFormat="1" applyFont="1" applyBorder="1" applyAlignment="1">
      <alignment horizontal="right"/>
    </xf>
    <xf numFmtId="172" fontId="8" fillId="0" borderId="19" xfId="48" applyNumberFormat="1" applyFont="1" applyBorder="1" applyAlignment="1">
      <alignment/>
    </xf>
    <xf numFmtId="171" fontId="4" fillId="0" borderId="0" xfId="48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171" fontId="4" fillId="0" borderId="20" xfId="48" applyNumberFormat="1" applyFont="1" applyBorder="1" applyAlignment="1">
      <alignment/>
    </xf>
    <xf numFmtId="171" fontId="4" fillId="0" borderId="11" xfId="48" applyNumberFormat="1" applyFont="1" applyBorder="1" applyAlignment="1">
      <alignment/>
    </xf>
    <xf numFmtId="171" fontId="4" fillId="0" borderId="11" xfId="48" applyNumberFormat="1" applyFont="1" applyBorder="1" applyAlignment="1">
      <alignment/>
    </xf>
    <xf numFmtId="171" fontId="4" fillId="0" borderId="21" xfId="48" applyNumberFormat="1" applyFont="1" applyBorder="1" applyAlignment="1">
      <alignment/>
    </xf>
    <xf numFmtId="171" fontId="8" fillId="0" borderId="20" xfId="48" applyNumberFormat="1" applyFont="1" applyBorder="1" applyAlignment="1">
      <alignment/>
    </xf>
    <xf numFmtId="172" fontId="4" fillId="0" borderId="21" xfId="48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171" fontId="8" fillId="0" borderId="11" xfId="48" applyNumberFormat="1" applyFont="1" applyBorder="1" applyAlignment="1">
      <alignment/>
    </xf>
    <xf numFmtId="171" fontId="4" fillId="0" borderId="20" xfId="48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71" fontId="4" fillId="0" borderId="21" xfId="48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71" fontId="8" fillId="0" borderId="20" xfId="48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0" fontId="7" fillId="0" borderId="16" xfId="0" applyFont="1" applyFill="1" applyBorder="1" applyAlignment="1">
      <alignment/>
    </xf>
    <xf numFmtId="171" fontId="4" fillId="0" borderId="22" xfId="48" applyNumberFormat="1" applyFont="1" applyFill="1" applyBorder="1" applyAlignment="1">
      <alignment/>
    </xf>
    <xf numFmtId="0" fontId="4" fillId="0" borderId="18" xfId="0" applyFont="1" applyBorder="1" applyAlignment="1">
      <alignment/>
    </xf>
    <xf numFmtId="171" fontId="4" fillId="0" borderId="23" xfId="48" applyNumberFormat="1" applyFont="1" applyBorder="1" applyAlignment="1">
      <alignment/>
    </xf>
    <xf numFmtId="171" fontId="4" fillId="0" borderId="24" xfId="48" applyNumberFormat="1" applyFont="1" applyBorder="1" applyAlignment="1">
      <alignment/>
    </xf>
    <xf numFmtId="171" fontId="4" fillId="0" borderId="25" xfId="48" applyNumberFormat="1" applyFont="1" applyBorder="1" applyAlignment="1">
      <alignment/>
    </xf>
    <xf numFmtId="171" fontId="4" fillId="0" borderId="26" xfId="48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1" fontId="4" fillId="0" borderId="27" xfId="48" applyNumberFormat="1" applyFont="1" applyFill="1" applyBorder="1" applyAlignment="1">
      <alignment horizontal="center"/>
    </xf>
    <xf numFmtId="171" fontId="4" fillId="33" borderId="27" xfId="48" applyNumberFormat="1" applyFont="1" applyFill="1" applyBorder="1" applyAlignment="1">
      <alignment horizontal="center"/>
    </xf>
    <xf numFmtId="171" fontId="4" fillId="0" borderId="28" xfId="48" applyNumberFormat="1" applyFont="1" applyFill="1" applyBorder="1" applyAlignment="1">
      <alignment horizontal="center"/>
    </xf>
    <xf numFmtId="171" fontId="4" fillId="0" borderId="0" xfId="0" applyNumberFormat="1" applyFont="1" applyAlignment="1">
      <alignment/>
    </xf>
    <xf numFmtId="9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72" fontId="4" fillId="0" borderId="0" xfId="48" applyNumberFormat="1" applyFont="1" applyFill="1" applyBorder="1" applyAlignment="1">
      <alignment horizontal="right"/>
    </xf>
    <xf numFmtId="172" fontId="4" fillId="0" borderId="20" xfId="48" applyNumberFormat="1" applyFont="1" applyBorder="1" applyAlignment="1">
      <alignment horizontal="right"/>
    </xf>
    <xf numFmtId="172" fontId="4" fillId="0" borderId="11" xfId="48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171" fontId="8" fillId="0" borderId="11" xfId="48" applyNumberFormat="1" applyFont="1" applyBorder="1" applyAlignment="1">
      <alignment horizontal="right"/>
    </xf>
    <xf numFmtId="171" fontId="8" fillId="0" borderId="0" xfId="48" applyNumberFormat="1" applyFont="1" applyFill="1" applyBorder="1" applyAlignment="1">
      <alignment horizontal="right"/>
    </xf>
    <xf numFmtId="0" fontId="8" fillId="34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1" fontId="4" fillId="0" borderId="20" xfId="48" applyNumberFormat="1" applyFont="1" applyBorder="1" applyAlignment="1">
      <alignment horizontal="right"/>
    </xf>
    <xf numFmtId="171" fontId="4" fillId="0" borderId="11" xfId="48" applyNumberFormat="1" applyFont="1" applyBorder="1" applyAlignment="1">
      <alignment horizontal="right"/>
    </xf>
    <xf numFmtId="0" fontId="8" fillId="35" borderId="2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8" fillId="0" borderId="20" xfId="48" applyNumberFormat="1" applyFont="1" applyFill="1" applyBorder="1" applyAlignment="1">
      <alignment horizontal="right"/>
    </xf>
    <xf numFmtId="171" fontId="8" fillId="0" borderId="11" xfId="48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171" fontId="4" fillId="0" borderId="11" xfId="0" applyNumberFormat="1" applyFont="1" applyBorder="1" applyAlignment="1">
      <alignment/>
    </xf>
    <xf numFmtId="171" fontId="4" fillId="0" borderId="0" xfId="0" applyNumberFormat="1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171" fontId="4" fillId="0" borderId="0" xfId="48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171" fontId="4" fillId="0" borderId="0" xfId="48" applyNumberFormat="1" applyFont="1" applyFill="1" applyBorder="1" applyAlignment="1">
      <alignment/>
    </xf>
    <xf numFmtId="171" fontId="4" fillId="0" borderId="16" xfId="48" applyNumberFormat="1" applyFont="1" applyBorder="1" applyAlignment="1">
      <alignment/>
    </xf>
    <xf numFmtId="171" fontId="4" fillId="0" borderId="22" xfId="48" applyNumberFormat="1" applyFont="1" applyBorder="1" applyAlignment="1">
      <alignment/>
    </xf>
    <xf numFmtId="171" fontId="4" fillId="0" borderId="13" xfId="48" applyNumberFormat="1" applyFont="1" applyBorder="1" applyAlignment="1">
      <alignment/>
    </xf>
    <xf numFmtId="0" fontId="8" fillId="33" borderId="18" xfId="0" applyFont="1" applyFill="1" applyBorder="1" applyAlignment="1">
      <alignment/>
    </xf>
    <xf numFmtId="171" fontId="8" fillId="33" borderId="29" xfId="48" applyNumberFormat="1" applyFont="1" applyFill="1" applyBorder="1" applyAlignment="1">
      <alignment/>
    </xf>
    <xf numFmtId="171" fontId="8" fillId="33" borderId="18" xfId="48" applyNumberFormat="1" applyFont="1" applyFill="1" applyBorder="1" applyAlignment="1">
      <alignment/>
    </xf>
    <xf numFmtId="171" fontId="8" fillId="0" borderId="0" xfId="48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left"/>
    </xf>
    <xf numFmtId="10" fontId="8" fillId="35" borderId="18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172" fontId="8" fillId="0" borderId="22" xfId="0" applyNumberFormat="1" applyFont="1" applyFill="1" applyBorder="1" applyAlignment="1">
      <alignment horizontal="left"/>
    </xf>
    <xf numFmtId="171" fontId="10" fillId="34" borderId="22" xfId="48" applyNumberFormat="1" applyFont="1" applyFill="1" applyBorder="1" applyAlignment="1">
      <alignment horizontal="center"/>
    </xf>
    <xf numFmtId="171" fontId="8" fillId="0" borderId="0" xfId="48" applyNumberFormat="1" applyFont="1" applyFill="1" applyAlignment="1">
      <alignment/>
    </xf>
    <xf numFmtId="10" fontId="8" fillId="33" borderId="18" xfId="57" applyNumberFormat="1" applyFont="1" applyFill="1" applyBorder="1" applyAlignment="1">
      <alignment/>
    </xf>
    <xf numFmtId="9" fontId="4" fillId="0" borderId="0" xfId="57" applyFont="1" applyFill="1" applyAlignment="1">
      <alignment/>
    </xf>
    <xf numFmtId="173" fontId="4" fillId="0" borderId="0" xfId="0" applyNumberFormat="1" applyFont="1" applyFill="1" applyAlignment="1">
      <alignment/>
    </xf>
    <xf numFmtId="10" fontId="8" fillId="0" borderId="0" xfId="57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10" fontId="8" fillId="34" borderId="0" xfId="57" applyNumberFormat="1" applyFont="1" applyFill="1" applyBorder="1" applyAlignment="1">
      <alignment horizontal="right"/>
    </xf>
    <xf numFmtId="171" fontId="4" fillId="0" borderId="0" xfId="48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30" xfId="0" applyFont="1" applyBorder="1" applyAlignment="1">
      <alignment/>
    </xf>
    <xf numFmtId="172" fontId="4" fillId="0" borderId="31" xfId="0" applyNumberFormat="1" applyFont="1" applyBorder="1" applyAlignment="1">
      <alignment horizontal="center"/>
    </xf>
    <xf numFmtId="172" fontId="4" fillId="0" borderId="32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33" xfId="0" applyNumberFormat="1" applyFont="1" applyBorder="1" applyAlignment="1">
      <alignment/>
    </xf>
    <xf numFmtId="172" fontId="4" fillId="0" borderId="34" xfId="0" applyNumberFormat="1" applyFont="1" applyBorder="1" applyAlignment="1">
      <alignment/>
    </xf>
    <xf numFmtId="172" fontId="4" fillId="0" borderId="35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36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172" fontId="4" fillId="0" borderId="38" xfId="0" applyNumberFormat="1" applyFont="1" applyBorder="1" applyAlignment="1">
      <alignment/>
    </xf>
    <xf numFmtId="0" fontId="8" fillId="0" borderId="39" xfId="0" applyFont="1" applyBorder="1" applyAlignment="1">
      <alignment/>
    </xf>
    <xf numFmtId="172" fontId="8" fillId="0" borderId="40" xfId="0" applyNumberFormat="1" applyFont="1" applyBorder="1" applyAlignment="1">
      <alignment/>
    </xf>
    <xf numFmtId="171" fontId="8" fillId="0" borderId="41" xfId="0" applyNumberFormat="1" applyFont="1" applyBorder="1" applyAlignment="1">
      <alignment/>
    </xf>
    <xf numFmtId="171" fontId="8" fillId="0" borderId="42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0" fontId="8" fillId="0" borderId="39" xfId="0" applyFont="1" applyFill="1" applyBorder="1" applyAlignment="1">
      <alignment/>
    </xf>
    <xf numFmtId="0" fontId="4" fillId="0" borderId="43" xfId="0" applyFont="1" applyBorder="1" applyAlignment="1">
      <alignment/>
    </xf>
    <xf numFmtId="171" fontId="8" fillId="0" borderId="44" xfId="48" applyNumberFormat="1" applyFont="1" applyBorder="1" applyAlignment="1">
      <alignment/>
    </xf>
    <xf numFmtId="171" fontId="8" fillId="0" borderId="45" xfId="48" applyNumberFormat="1" applyFont="1" applyBorder="1" applyAlignment="1">
      <alignment/>
    </xf>
    <xf numFmtId="171" fontId="8" fillId="0" borderId="0" xfId="48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4" fontId="13" fillId="0" borderId="24" xfId="48" applyNumberFormat="1" applyFont="1" applyBorder="1" applyAlignment="1">
      <alignment horizontal="center" vertical="center"/>
    </xf>
    <xf numFmtId="4" fontId="13" fillId="0" borderId="46" xfId="48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4" fontId="13" fillId="0" borderId="26" xfId="48" applyNumberFormat="1" applyFont="1" applyBorder="1" applyAlignment="1">
      <alignment horizontal="center" vertical="center"/>
    </xf>
    <xf numFmtId="4" fontId="13" fillId="0" borderId="47" xfId="48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4" fontId="13" fillId="0" borderId="28" xfId="48" applyNumberFormat="1" applyFont="1" applyBorder="1" applyAlignment="1">
      <alignment horizontal="center" vertical="center"/>
    </xf>
    <xf numFmtId="4" fontId="13" fillId="0" borderId="48" xfId="48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71" fontId="13" fillId="0" borderId="0" xfId="48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1" fontId="8" fillId="33" borderId="44" xfId="48" applyNumberFormat="1" applyFont="1" applyFill="1" applyBorder="1" applyAlignment="1">
      <alignment/>
    </xf>
    <xf numFmtId="9" fontId="4" fillId="33" borderId="0" xfId="0" applyNumberFormat="1" applyFont="1" applyFill="1" applyAlignment="1">
      <alignment horizontal="center"/>
    </xf>
    <xf numFmtId="10" fontId="1" fillId="0" borderId="18" xfId="56" applyNumberFormat="1" applyFont="1" applyBorder="1" applyAlignment="1">
      <alignment/>
    </xf>
    <xf numFmtId="10" fontId="1" fillId="0" borderId="49" xfId="56" applyNumberFormat="1" applyFont="1" applyBorder="1" applyAlignment="1">
      <alignment/>
    </xf>
    <xf numFmtId="172" fontId="1" fillId="0" borderId="28" xfId="48" applyNumberFormat="1" applyFont="1" applyBorder="1" applyAlignment="1">
      <alignment/>
    </xf>
    <xf numFmtId="9" fontId="1" fillId="0" borderId="0" xfId="56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4" fillId="0" borderId="18" xfId="0" applyNumberFormat="1" applyFont="1" applyBorder="1" applyAlignment="1">
      <alignment horizontal="right"/>
    </xf>
    <xf numFmtId="171" fontId="0" fillId="0" borderId="18" xfId="0" applyNumberFormat="1" applyBorder="1" applyAlignment="1">
      <alignment horizontal="right"/>
    </xf>
    <xf numFmtId="4" fontId="0" fillId="0" borderId="18" xfId="0" applyNumberFormat="1" applyBorder="1" applyAlignment="1">
      <alignment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/>
    </xf>
    <xf numFmtId="4" fontId="0" fillId="0" borderId="49" xfId="0" applyNumberFormat="1" applyBorder="1" applyAlignment="1">
      <alignment/>
    </xf>
    <xf numFmtId="0" fontId="0" fillId="0" borderId="33" xfId="0" applyBorder="1" applyAlignment="1">
      <alignment horizontal="left"/>
    </xf>
    <xf numFmtId="0" fontId="0" fillId="0" borderId="52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36" xfId="0" applyBorder="1" applyAlignment="1">
      <alignment horizontal="left"/>
    </xf>
    <xf numFmtId="0" fontId="0" fillId="0" borderId="53" xfId="0" applyBorder="1" applyAlignment="1">
      <alignment/>
    </xf>
    <xf numFmtId="4" fontId="0" fillId="0" borderId="28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8" fillId="0" borderId="20" xfId="0" applyFont="1" applyFill="1" applyBorder="1" applyAlignment="1">
      <alignment/>
    </xf>
    <xf numFmtId="171" fontId="4" fillId="0" borderId="17" xfId="48" applyNumberFormat="1" applyFont="1" applyBorder="1" applyAlignment="1">
      <alignment/>
    </xf>
    <xf numFmtId="4" fontId="0" fillId="0" borderId="54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176" fontId="4" fillId="0" borderId="34" xfId="0" applyNumberFormat="1" applyFont="1" applyBorder="1" applyAlignment="1">
      <alignment/>
    </xf>
    <xf numFmtId="176" fontId="4" fillId="0" borderId="35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43" fontId="4" fillId="0" borderId="0" xfId="0" applyNumberFormat="1" applyFont="1" applyFill="1" applyAlignment="1">
      <alignment/>
    </xf>
    <xf numFmtId="4" fontId="0" fillId="0" borderId="49" xfId="0" applyNumberForma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13" fillId="33" borderId="26" xfId="48" applyNumberFormat="1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8" fillId="0" borderId="0" xfId="48" applyNumberFormat="1" applyFont="1" applyFill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0" xfId="0" applyFont="1" applyAlignment="1">
      <alignment/>
    </xf>
    <xf numFmtId="0" fontId="17" fillId="36" borderId="40" xfId="0" applyFont="1" applyFill="1" applyBorder="1" applyAlignment="1">
      <alignment/>
    </xf>
    <xf numFmtId="10" fontId="17" fillId="36" borderId="42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10" fontId="0" fillId="0" borderId="34" xfId="0" applyNumberFormat="1" applyBorder="1" applyAlignment="1">
      <alignment/>
    </xf>
    <xf numFmtId="0" fontId="0" fillId="0" borderId="34" xfId="0" applyFill="1" applyBorder="1" applyAlignment="1">
      <alignment horizontal="center"/>
    </xf>
    <xf numFmtId="10" fontId="0" fillId="0" borderId="34" xfId="56" applyNumberFormat="1" applyFont="1" applyBorder="1" applyAlignment="1">
      <alignment/>
    </xf>
    <xf numFmtId="0" fontId="2" fillId="0" borderId="0" xfId="54">
      <alignment/>
      <protection/>
    </xf>
    <xf numFmtId="0" fontId="21" fillId="0" borderId="0" xfId="54" applyFont="1">
      <alignment/>
      <protection/>
    </xf>
    <xf numFmtId="0" fontId="14" fillId="34" borderId="52" xfId="54" applyFont="1" applyFill="1" applyBorder="1">
      <alignment/>
      <protection/>
    </xf>
    <xf numFmtId="0" fontId="22" fillId="34" borderId="57" xfId="54" applyFont="1" applyFill="1" applyBorder="1">
      <alignment/>
      <protection/>
    </xf>
    <xf numFmtId="0" fontId="20" fillId="34" borderId="34" xfId="54" applyFont="1" applyFill="1" applyBorder="1" applyAlignment="1">
      <alignment horizontal="center"/>
      <protection/>
    </xf>
    <xf numFmtId="0" fontId="22" fillId="0" borderId="52" xfId="54" applyFont="1" applyBorder="1">
      <alignment/>
      <protection/>
    </xf>
    <xf numFmtId="0" fontId="22" fillId="0" borderId="57" xfId="54" applyFont="1" applyBorder="1">
      <alignment/>
      <protection/>
    </xf>
    <xf numFmtId="2" fontId="22" fillId="0" borderId="34" xfId="54" applyNumberFormat="1" applyFont="1" applyBorder="1" applyAlignment="1">
      <alignment horizontal="center"/>
      <protection/>
    </xf>
    <xf numFmtId="0" fontId="22" fillId="0" borderId="0" xfId="54" applyFont="1" applyBorder="1">
      <alignment/>
      <protection/>
    </xf>
    <xf numFmtId="2" fontId="22" fillId="0" borderId="0" xfId="54" applyNumberFormat="1" applyFont="1" applyBorder="1" applyAlignment="1">
      <alignment horizontal="center"/>
      <protection/>
    </xf>
    <xf numFmtId="0" fontId="20" fillId="0" borderId="34" xfId="54" applyFont="1" applyBorder="1">
      <alignment/>
      <protection/>
    </xf>
    <xf numFmtId="176" fontId="20" fillId="0" borderId="34" xfId="54" applyNumberFormat="1" applyFont="1" applyBorder="1" applyAlignment="1">
      <alignment horizontal="center"/>
      <protection/>
    </xf>
    <xf numFmtId="0" fontId="20" fillId="0" borderId="0" xfId="54" applyFont="1" applyFill="1" applyBorder="1">
      <alignment/>
      <protection/>
    </xf>
    <xf numFmtId="0" fontId="2" fillId="0" borderId="0" xfId="54" applyFont="1">
      <alignment/>
      <protection/>
    </xf>
    <xf numFmtId="44" fontId="2" fillId="34" borderId="34" xfId="50" applyFont="1" applyFill="1" applyBorder="1" applyAlignment="1">
      <alignment/>
    </xf>
    <xf numFmtId="0" fontId="0" fillId="34" borderId="34" xfId="0" applyFill="1" applyBorder="1" applyAlignment="1">
      <alignment/>
    </xf>
    <xf numFmtId="0" fontId="14" fillId="34" borderId="34" xfId="0" applyFont="1" applyFill="1" applyBorder="1" applyAlignment="1">
      <alignment/>
    </xf>
    <xf numFmtId="43" fontId="2" fillId="0" borderId="34" xfId="48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2" xfId="0" applyFont="1" applyFill="1" applyBorder="1" applyAlignment="1">
      <alignment/>
    </xf>
    <xf numFmtId="0" fontId="14" fillId="0" borderId="0" xfId="54" applyFont="1" applyFill="1" applyBorder="1" applyAlignment="1">
      <alignment horizontal="center"/>
      <protection/>
    </xf>
    <xf numFmtId="0" fontId="2" fillId="0" borderId="0" xfId="54" applyFill="1">
      <alignment/>
      <protection/>
    </xf>
    <xf numFmtId="0" fontId="2" fillId="33" borderId="34" xfId="54" applyFont="1" applyFill="1" applyBorder="1" applyAlignment="1">
      <alignment horizontal="center"/>
      <protection/>
    </xf>
    <xf numFmtId="0" fontId="2" fillId="33" borderId="34" xfId="54" applyFill="1" applyBorder="1" applyAlignment="1">
      <alignment horizontal="center"/>
      <protection/>
    </xf>
    <xf numFmtId="0" fontId="24" fillId="0" borderId="0" xfId="54" applyFont="1">
      <alignment/>
      <protection/>
    </xf>
    <xf numFmtId="0" fontId="2" fillId="0" borderId="58" xfId="54" applyFont="1" applyBorder="1" applyAlignment="1">
      <alignment horizontal="center"/>
      <protection/>
    </xf>
    <xf numFmtId="0" fontId="2" fillId="0" borderId="34" xfId="54" applyBorder="1">
      <alignment/>
      <protection/>
    </xf>
    <xf numFmtId="0" fontId="25" fillId="0" borderId="34" xfId="54" applyFont="1" applyBorder="1" applyAlignment="1">
      <alignment horizontal="center"/>
      <protection/>
    </xf>
    <xf numFmtId="2" fontId="2" fillId="0" borderId="34" xfId="54" applyNumberFormat="1" applyBorder="1">
      <alignment/>
      <protection/>
    </xf>
    <xf numFmtId="0" fontId="21" fillId="0" borderId="34" xfId="54" applyFont="1" applyBorder="1">
      <alignment/>
      <protection/>
    </xf>
    <xf numFmtId="0" fontId="24" fillId="0" borderId="34" xfId="54" applyFont="1" applyBorder="1" applyAlignment="1">
      <alignment horizontal="center"/>
      <protection/>
    </xf>
    <xf numFmtId="0" fontId="2" fillId="0" borderId="0" xfId="54" applyBorder="1">
      <alignment/>
      <protection/>
    </xf>
    <xf numFmtId="0" fontId="2" fillId="0" borderId="0" xfId="54" applyFill="1" applyBorder="1">
      <alignment/>
      <protection/>
    </xf>
    <xf numFmtId="0" fontId="21" fillId="0" borderId="0" xfId="54" applyFont="1" applyFill="1" applyBorder="1">
      <alignment/>
      <protection/>
    </xf>
    <xf numFmtId="0" fontId="2" fillId="34" borderId="0" xfId="54" applyFill="1">
      <alignment/>
      <protection/>
    </xf>
    <xf numFmtId="0" fontId="2" fillId="34" borderId="34" xfId="54" applyFill="1" applyBorder="1" applyAlignment="1">
      <alignment horizontal="center"/>
      <protection/>
    </xf>
    <xf numFmtId="0" fontId="2" fillId="0" borderId="0" xfId="54" applyFill="1" applyBorder="1" applyAlignment="1">
      <alignment horizontal="center"/>
      <protection/>
    </xf>
    <xf numFmtId="9" fontId="2" fillId="0" borderId="34" xfId="54" applyNumberFormat="1" applyBorder="1">
      <alignment/>
      <protection/>
    </xf>
    <xf numFmtId="1" fontId="2" fillId="0" borderId="34" xfId="54" applyNumberFormat="1" applyBorder="1">
      <alignment/>
      <protection/>
    </xf>
    <xf numFmtId="1" fontId="2" fillId="0" borderId="0" xfId="54" applyNumberFormat="1" applyFill="1" applyBorder="1">
      <alignment/>
      <protection/>
    </xf>
    <xf numFmtId="0" fontId="2" fillId="0" borderId="0" xfId="54" applyFont="1" applyBorder="1" applyAlignment="1">
      <alignment horizontal="left"/>
      <protection/>
    </xf>
    <xf numFmtId="0" fontId="2" fillId="0" borderId="0" xfId="54" applyBorder="1" applyAlignment="1">
      <alignment horizontal="left"/>
      <protection/>
    </xf>
    <xf numFmtId="9" fontId="2" fillId="0" borderId="0" xfId="54" applyNumberFormat="1" applyBorder="1">
      <alignment/>
      <protection/>
    </xf>
    <xf numFmtId="1" fontId="2" fillId="0" borderId="0" xfId="54" applyNumberFormat="1" applyBorder="1">
      <alignment/>
      <protection/>
    </xf>
    <xf numFmtId="1" fontId="2" fillId="0" borderId="0" xfId="54" applyNumberFormat="1" applyFont="1" applyBorder="1">
      <alignment/>
      <protection/>
    </xf>
    <xf numFmtId="1" fontId="2" fillId="0" borderId="0" xfId="54" applyNumberFormat="1" applyFont="1" applyFill="1" applyBorder="1">
      <alignment/>
      <protection/>
    </xf>
    <xf numFmtId="1" fontId="2" fillId="0" borderId="0" xfId="54" applyNumberFormat="1" applyAlignment="1">
      <alignment horizontal="right"/>
      <protection/>
    </xf>
    <xf numFmtId="1" fontId="2" fillId="0" borderId="0" xfId="54" applyNumberFormat="1" applyFill="1" applyAlignment="1">
      <alignment horizontal="right"/>
      <protection/>
    </xf>
    <xf numFmtId="1" fontId="2" fillId="0" borderId="0" xfId="54" applyNumberFormat="1" applyFont="1" applyAlignment="1">
      <alignment horizontal="right"/>
      <protection/>
    </xf>
    <xf numFmtId="1" fontId="2" fillId="0" borderId="0" xfId="54" applyNumberFormat="1" applyFont="1" applyFill="1" applyAlignment="1">
      <alignment horizontal="right"/>
      <protection/>
    </xf>
    <xf numFmtId="9" fontId="2" fillId="0" borderId="0" xfId="54" applyNumberFormat="1">
      <alignment/>
      <protection/>
    </xf>
    <xf numFmtId="0" fontId="2" fillId="0" borderId="0" xfId="54" applyFont="1" applyFill="1" applyBorder="1" applyAlignment="1">
      <alignment horizontal="left"/>
      <protection/>
    </xf>
    <xf numFmtId="0" fontId="14" fillId="0" borderId="0" xfId="54" applyFont="1" applyAlignment="1">
      <alignment horizontal="center"/>
      <protection/>
    </xf>
    <xf numFmtId="0" fontId="14" fillId="0" borderId="0" xfId="54" applyFont="1" applyFill="1" applyAlignment="1">
      <alignment horizontal="center"/>
      <protection/>
    </xf>
    <xf numFmtId="0" fontId="2" fillId="0" borderId="34" xfId="54" applyFont="1" applyFill="1" applyBorder="1" applyAlignment="1">
      <alignment horizontal="left"/>
      <protection/>
    </xf>
    <xf numFmtId="1" fontId="2" fillId="0" borderId="34" xfId="54" applyNumberFormat="1" applyFont="1" applyBorder="1" applyAlignment="1">
      <alignment horizontal="right"/>
      <protection/>
    </xf>
    <xf numFmtId="0" fontId="22" fillId="0" borderId="0" xfId="54" applyFont="1">
      <alignment/>
      <protection/>
    </xf>
    <xf numFmtId="0" fontId="22" fillId="34" borderId="34" xfId="54" applyFont="1" applyFill="1" applyBorder="1">
      <alignment/>
      <protection/>
    </xf>
    <xf numFmtId="0" fontId="22" fillId="0" borderId="34" xfId="54" applyFont="1" applyBorder="1">
      <alignment/>
      <protection/>
    </xf>
    <xf numFmtId="0" fontId="22" fillId="0" borderId="34" xfId="54" applyFont="1" applyBorder="1" applyAlignment="1">
      <alignment horizontal="center"/>
      <protection/>
    </xf>
    <xf numFmtId="9" fontId="22" fillId="0" borderId="34" xfId="54" applyNumberFormat="1" applyFont="1" applyBorder="1" applyAlignment="1">
      <alignment horizontal="center"/>
      <protection/>
    </xf>
    <xf numFmtId="0" fontId="20" fillId="34" borderId="34" xfId="54" applyFont="1" applyFill="1" applyBorder="1">
      <alignment/>
      <protection/>
    </xf>
    <xf numFmtId="2" fontId="20" fillId="34" borderId="34" xfId="54" applyNumberFormat="1" applyFont="1" applyFill="1" applyBorder="1" applyAlignment="1">
      <alignment horizontal="center"/>
      <protection/>
    </xf>
    <xf numFmtId="0" fontId="20" fillId="0" borderId="0" xfId="54" applyFont="1">
      <alignment/>
      <protection/>
    </xf>
    <xf numFmtId="0" fontId="24" fillId="0" borderId="34" xfId="54" applyFont="1" applyBorder="1">
      <alignment/>
      <protection/>
    </xf>
    <xf numFmtId="43" fontId="24" fillId="0" borderId="34" xfId="48" applyFont="1" applyBorder="1" applyAlignment="1">
      <alignment/>
    </xf>
    <xf numFmtId="39" fontId="24" fillId="0" borderId="34" xfId="48" applyNumberFormat="1" applyFont="1" applyBorder="1" applyAlignment="1">
      <alignment/>
    </xf>
    <xf numFmtId="0" fontId="24" fillId="0" borderId="34" xfId="54" applyFont="1" applyFill="1" applyBorder="1" applyAlignment="1">
      <alignment horizontal="center"/>
      <protection/>
    </xf>
    <xf numFmtId="206" fontId="24" fillId="0" borderId="34" xfId="48" applyNumberFormat="1" applyFont="1" applyBorder="1" applyAlignment="1">
      <alignment/>
    </xf>
    <xf numFmtId="0" fontId="27" fillId="0" borderId="0" xfId="54" applyFont="1" applyAlignment="1">
      <alignment horizontal="center"/>
      <protection/>
    </xf>
    <xf numFmtId="0" fontId="28" fillId="0" borderId="0" xfId="54" applyFont="1" applyAlignment="1">
      <alignment horizontal="justify"/>
      <protection/>
    </xf>
    <xf numFmtId="0" fontId="29" fillId="0" borderId="22" xfId="54" applyFont="1" applyBorder="1" applyAlignment="1">
      <alignment vertical="top" wrapText="1"/>
      <protection/>
    </xf>
    <xf numFmtId="44" fontId="29" fillId="0" borderId="13" xfId="50" applyFont="1" applyBorder="1" applyAlignment="1">
      <alignment horizontal="center" vertical="top" wrapText="1"/>
    </xf>
    <xf numFmtId="0" fontId="30" fillId="0" borderId="13" xfId="54" applyFont="1" applyBorder="1" applyAlignment="1">
      <alignment horizontal="justify" vertical="top" wrapText="1"/>
      <protection/>
    </xf>
    <xf numFmtId="0" fontId="20" fillId="34" borderId="52" xfId="54" applyFont="1" applyFill="1" applyBorder="1" applyAlignment="1">
      <alignment horizontal="center"/>
      <protection/>
    </xf>
    <xf numFmtId="0" fontId="20" fillId="34" borderId="59" xfId="54" applyFont="1" applyFill="1" applyBorder="1" applyAlignment="1">
      <alignment horizontal="center"/>
      <protection/>
    </xf>
    <xf numFmtId="0" fontId="20" fillId="34" borderId="57" xfId="54" applyFont="1" applyFill="1" applyBorder="1" applyAlignment="1">
      <alignment horizontal="center"/>
      <protection/>
    </xf>
    <xf numFmtId="0" fontId="20" fillId="34" borderId="34" xfId="0" applyFont="1" applyFill="1" applyBorder="1" applyAlignment="1">
      <alignment horizontal="center"/>
    </xf>
    <xf numFmtId="0" fontId="21" fillId="34" borderId="34" xfId="54" applyFont="1" applyFill="1" applyBorder="1" applyAlignment="1">
      <alignment horizontal="center"/>
      <protection/>
    </xf>
    <xf numFmtId="0" fontId="24" fillId="37" borderId="34" xfId="54" applyFont="1" applyFill="1" applyBorder="1" applyAlignment="1">
      <alignment horizontal="center"/>
      <protection/>
    </xf>
    <xf numFmtId="0" fontId="29" fillId="0" borderId="20" xfId="54" applyFont="1" applyBorder="1" applyAlignment="1">
      <alignment vertical="top" wrapText="1"/>
      <protection/>
    </xf>
    <xf numFmtId="0" fontId="29" fillId="0" borderId="22" xfId="54" applyFont="1" applyBorder="1" applyAlignment="1">
      <alignment vertical="top" wrapText="1"/>
      <protection/>
    </xf>
    <xf numFmtId="0" fontId="21" fillId="0" borderId="34" xfId="54" applyFont="1" applyBorder="1" applyAlignment="1">
      <alignment horizontal="center"/>
      <protection/>
    </xf>
    <xf numFmtId="0" fontId="29" fillId="0" borderId="60" xfId="54" applyFont="1" applyBorder="1" applyAlignment="1">
      <alignment horizontal="center" vertical="top" wrapText="1"/>
      <protection/>
    </xf>
    <xf numFmtId="0" fontId="29" fillId="0" borderId="22" xfId="54" applyFont="1" applyBorder="1" applyAlignment="1">
      <alignment horizontal="center" vertical="top" wrapText="1"/>
      <protection/>
    </xf>
    <xf numFmtId="0" fontId="23" fillId="37" borderId="34" xfId="54" applyFont="1" applyFill="1" applyBorder="1" applyAlignment="1">
      <alignment horizontal="center"/>
      <protection/>
    </xf>
    <xf numFmtId="0" fontId="14" fillId="37" borderId="52" xfId="54" applyFont="1" applyFill="1" applyBorder="1" applyAlignment="1">
      <alignment horizontal="center"/>
      <protection/>
    </xf>
    <xf numFmtId="0" fontId="14" fillId="37" borderId="59" xfId="54" applyFont="1" applyFill="1" applyBorder="1" applyAlignment="1">
      <alignment horizontal="center"/>
      <protection/>
    </xf>
    <xf numFmtId="0" fontId="14" fillId="37" borderId="57" xfId="54" applyFont="1" applyFill="1" applyBorder="1" applyAlignment="1">
      <alignment horizontal="center"/>
      <protection/>
    </xf>
    <xf numFmtId="0" fontId="2" fillId="33" borderId="34" xfId="54" applyFont="1" applyFill="1" applyBorder="1" applyAlignment="1">
      <alignment horizontal="center"/>
      <protection/>
    </xf>
    <xf numFmtId="0" fontId="2" fillId="33" borderId="34" xfId="54" applyFill="1" applyBorder="1" applyAlignment="1">
      <alignment horizontal="center"/>
      <protection/>
    </xf>
    <xf numFmtId="0" fontId="2" fillId="0" borderId="52" xfId="54" applyFont="1" applyBorder="1" applyAlignment="1">
      <alignment horizontal="left"/>
      <protection/>
    </xf>
    <xf numFmtId="0" fontId="2" fillId="0" borderId="59" xfId="54" applyBorder="1" applyAlignment="1">
      <alignment horizontal="left"/>
      <protection/>
    </xf>
    <xf numFmtId="0" fontId="2" fillId="0" borderId="57" xfId="54" applyBorder="1" applyAlignment="1">
      <alignment horizontal="left"/>
      <protection/>
    </xf>
    <xf numFmtId="0" fontId="26" fillId="0" borderId="0" xfId="54" applyFont="1">
      <alignment/>
      <protection/>
    </xf>
    <xf numFmtId="0" fontId="7" fillId="37" borderId="39" xfId="0" applyFont="1" applyFill="1" applyBorder="1" applyAlignment="1">
      <alignment horizontal="center"/>
    </xf>
    <xf numFmtId="0" fontId="7" fillId="37" borderId="61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0" fontId="7" fillId="38" borderId="61" xfId="0" applyFont="1" applyFill="1" applyBorder="1" applyAlignment="1">
      <alignment horizontal="center"/>
    </xf>
    <xf numFmtId="0" fontId="7" fillId="38" borderId="29" xfId="0" applyFont="1" applyFill="1" applyBorder="1" applyAlignment="1">
      <alignment horizontal="center"/>
    </xf>
    <xf numFmtId="0" fontId="25" fillId="36" borderId="39" xfId="0" applyFont="1" applyFill="1" applyBorder="1" applyAlignment="1">
      <alignment horizontal="center"/>
    </xf>
    <xf numFmtId="0" fontId="25" fillId="36" borderId="61" xfId="0" applyFont="1" applyFill="1" applyBorder="1" applyAlignment="1">
      <alignment horizontal="center"/>
    </xf>
    <xf numFmtId="0" fontId="25" fillId="36" borderId="29" xfId="0" applyFont="1" applyFill="1" applyBorder="1" applyAlignment="1">
      <alignment horizontal="center"/>
    </xf>
    <xf numFmtId="0" fontId="22" fillId="0" borderId="12" xfId="0" applyFont="1" applyBorder="1" applyAlignment="1">
      <alignment horizontal="left"/>
    </xf>
    <xf numFmtId="4" fontId="0" fillId="0" borderId="19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40" xfId="0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53" xfId="0" applyBorder="1" applyAlignment="1">
      <alignment horizontal="left"/>
    </xf>
    <xf numFmtId="0" fontId="17" fillId="36" borderId="39" xfId="0" applyFont="1" applyFill="1" applyBorder="1" applyAlignment="1">
      <alignment horizontal="center"/>
    </xf>
    <xf numFmtId="0" fontId="17" fillId="36" borderId="61" xfId="0" applyFont="1" applyFill="1" applyBorder="1" applyAlignment="1">
      <alignment horizontal="center"/>
    </xf>
    <xf numFmtId="0" fontId="17" fillId="36" borderId="29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40" xfId="0" applyFill="1" applyBorder="1" applyAlignment="1">
      <alignment horizontal="left"/>
    </xf>
    <xf numFmtId="0" fontId="0" fillId="36" borderId="62" xfId="0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Anexo1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0</xdr:rowOff>
    </xdr:from>
    <xdr:to>
      <xdr:col>4</xdr:col>
      <xdr:colOff>428625</xdr:colOff>
      <xdr:row>49</xdr:row>
      <xdr:rowOff>66675</xdr:rowOff>
    </xdr:to>
    <xdr:pic>
      <xdr:nvPicPr>
        <xdr:cNvPr id="1" name="Picture 1" descr="http://www.visitaguayaquil.com/data/imagenes/secciones/Datos/gyecifras_poblacionsex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886450"/>
          <a:ext cx="37433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paldo%20tesis2\TESIS%20HUGO\VI%20anex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 de caja 1 año"/>
      <sheetName val="Flujo de caja anual"/>
      <sheetName val="Flujo de caja anual (+C)"/>
      <sheetName val="Flujo de caja anual (- Vol)"/>
      <sheetName val="Flujo de caja anual (5 años)"/>
      <sheetName val="Costo de producción"/>
      <sheetName val="Calculo depreciación"/>
      <sheetName val="Valor de desecho"/>
      <sheetName val="Prestamo"/>
      <sheetName val="Tasa de descuento"/>
      <sheetName val="Tasa libre de riesgo"/>
      <sheetName val="Payback"/>
      <sheetName val="Analisis de Sensibilidad"/>
      <sheetName val="pauta"/>
      <sheetName val="Analisis TMAR vs VAN"/>
      <sheetName val="Anexo 1"/>
      <sheetName val="Anexo 2"/>
      <sheetName val="Anexo 3"/>
      <sheetName val="Anexo 4"/>
      <sheetName val="Anexo 5"/>
      <sheetName val="Anexo 6"/>
      <sheetName val="Variables"/>
    </sheetNames>
    <sheetDataSet>
      <sheetData sheetId="0">
        <row r="3">
          <cell r="A3" t="str">
            <v>Precio promedio unitario por lìnea</v>
          </cell>
        </row>
        <row r="14">
          <cell r="A14" t="str">
            <v>Costo de venta unitario</v>
          </cell>
        </row>
        <row r="18">
          <cell r="A18" t="str">
            <v>Total costo de ventas unitario</v>
          </cell>
        </row>
        <row r="20">
          <cell r="A20" t="str">
            <v>Costos de Venta</v>
          </cell>
        </row>
        <row r="24">
          <cell r="A24" t="str">
            <v>Total costo de venta</v>
          </cell>
        </row>
        <row r="28">
          <cell r="A28" t="str">
            <v>Inversion inicial</v>
          </cell>
        </row>
        <row r="29">
          <cell r="A29" t="str">
            <v>Registro sanitario</v>
          </cell>
        </row>
        <row r="33">
          <cell r="A33" t="str">
            <v>Total Inversion inicial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uta de T.V. "/>
      <sheetName val="Plan de Medios Prensa"/>
      <sheetName val="Promocion"/>
    </sheetNames>
    <sheetDataSet>
      <sheetData sheetId="0">
        <row r="22">
          <cell r="Z22">
            <v>11100</v>
          </cell>
        </row>
      </sheetData>
      <sheetData sheetId="1">
        <row r="19">
          <cell r="S19">
            <v>1500</v>
          </cell>
        </row>
      </sheetData>
      <sheetData sheetId="2">
        <row r="7">
          <cell r="N7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ages.stern.nyu.edu/~adamodar/New_Home_Page/datafile/Betas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10.00390625" defaultRowHeight="15"/>
  <cols>
    <col min="1" max="1" width="8.00390625" style="250" customWidth="1"/>
    <col min="2" max="2" width="10.00390625" style="250" customWidth="1"/>
    <col min="3" max="3" width="22.8515625" style="250" customWidth="1"/>
    <col min="4" max="5" width="11.00390625" style="250" customWidth="1"/>
    <col min="6" max="6" width="12.140625" style="250" customWidth="1"/>
    <col min="7" max="16384" width="10.00390625" style="250" customWidth="1"/>
  </cols>
  <sheetData>
    <row r="1" ht="15">
      <c r="A1" s="307" t="s">
        <v>230</v>
      </c>
    </row>
    <row r="6" spans="2:6" ht="15">
      <c r="B6" s="325" t="s">
        <v>148</v>
      </c>
      <c r="C6" s="326"/>
      <c r="D6" s="326"/>
      <c r="E6" s="326"/>
      <c r="F6" s="327"/>
    </row>
    <row r="7" ht="6.75" customHeight="1">
      <c r="B7" s="251"/>
    </row>
    <row r="8" spans="2:6" ht="15">
      <c r="B8" s="252" t="s">
        <v>149</v>
      </c>
      <c r="C8" s="253"/>
      <c r="D8" s="254" t="s">
        <v>150</v>
      </c>
      <c r="E8" s="254" t="s">
        <v>151</v>
      </c>
      <c r="F8" s="254" t="s">
        <v>152</v>
      </c>
    </row>
    <row r="9" spans="2:6" ht="14.25">
      <c r="B9" s="255" t="s">
        <v>153</v>
      </c>
      <c r="C9" s="256"/>
      <c r="D9" s="257">
        <v>0.13</v>
      </c>
      <c r="E9" s="257">
        <v>0.14</v>
      </c>
      <c r="F9" s="257">
        <v>0.16</v>
      </c>
    </row>
    <row r="10" spans="2:6" ht="14.25">
      <c r="B10" s="255" t="s">
        <v>154</v>
      </c>
      <c r="C10" s="256"/>
      <c r="D10" s="257">
        <v>0.06</v>
      </c>
      <c r="E10" s="257">
        <v>0.06</v>
      </c>
      <c r="F10" s="257">
        <v>0.06</v>
      </c>
    </row>
    <row r="11" spans="2:6" ht="14.25">
      <c r="B11" s="255" t="s">
        <v>155</v>
      </c>
      <c r="C11" s="256"/>
      <c r="D11" s="257">
        <v>0.02</v>
      </c>
      <c r="E11" s="257">
        <v>0.02</v>
      </c>
      <c r="F11" s="257">
        <v>0.02</v>
      </c>
    </row>
    <row r="12" spans="2:6" ht="15" customHeight="1">
      <c r="B12" s="255" t="s">
        <v>156</v>
      </c>
      <c r="C12" s="256"/>
      <c r="D12" s="257">
        <v>0.03</v>
      </c>
      <c r="E12" s="257">
        <v>0.03</v>
      </c>
      <c r="F12" s="257">
        <v>0.03</v>
      </c>
    </row>
    <row r="13" spans="2:6" ht="9" customHeight="1">
      <c r="B13" s="258"/>
      <c r="C13" s="258"/>
      <c r="D13" s="259"/>
      <c r="E13" s="259"/>
      <c r="F13" s="259"/>
    </row>
    <row r="14" spans="2:6" ht="15">
      <c r="B14" s="260" t="s">
        <v>157</v>
      </c>
      <c r="C14" s="260"/>
      <c r="D14" s="261">
        <f>SUM(D9:D12)</f>
        <v>0.24</v>
      </c>
      <c r="E14" s="261">
        <f>SUM(E9:E12)</f>
        <v>0.25</v>
      </c>
      <c r="F14" s="261">
        <f>SUM(F9:F12)</f>
        <v>0.27</v>
      </c>
    </row>
    <row r="15" ht="15">
      <c r="B15" s="262" t="s">
        <v>158</v>
      </c>
    </row>
    <row r="19" ht="12.75">
      <c r="B19" s="263"/>
    </row>
    <row r="20" spans="1:6" ht="15">
      <c r="A20"/>
      <c r="B20"/>
      <c r="C20"/>
      <c r="D20"/>
      <c r="E20"/>
      <c r="F20"/>
    </row>
    <row r="21" spans="1:6" ht="15">
      <c r="A21"/>
      <c r="B21" s="328" t="s">
        <v>168</v>
      </c>
      <c r="C21" s="328"/>
      <c r="D21" s="328"/>
      <c r="E21" s="328"/>
      <c r="F21" s="328"/>
    </row>
    <row r="22" spans="1:6" ht="15">
      <c r="A22"/>
      <c r="B22" s="269" t="s">
        <v>167</v>
      </c>
      <c r="C22" s="268"/>
      <c r="D22" s="267">
        <v>0.04</v>
      </c>
      <c r="E22" s="267">
        <v>0.04</v>
      </c>
      <c r="F22" s="267">
        <v>0.04</v>
      </c>
    </row>
    <row r="23" spans="1:6" ht="15">
      <c r="A23"/>
      <c r="B23" s="269" t="s">
        <v>166</v>
      </c>
      <c r="C23" s="268"/>
      <c r="D23" s="267">
        <v>0.02</v>
      </c>
      <c r="E23" s="267">
        <v>0.02</v>
      </c>
      <c r="F23" s="267">
        <v>0.02</v>
      </c>
    </row>
    <row r="24" spans="1:6" ht="15">
      <c r="A24"/>
      <c r="B24" s="269" t="s">
        <v>165</v>
      </c>
      <c r="C24" s="268"/>
      <c r="D24" s="267">
        <v>0.01</v>
      </c>
      <c r="E24" s="267">
        <v>0.01</v>
      </c>
      <c r="F24" s="267">
        <v>0.01</v>
      </c>
    </row>
    <row r="25" spans="1:6" ht="15">
      <c r="A25"/>
      <c r="B25" s="269" t="s">
        <v>164</v>
      </c>
      <c r="C25" s="268"/>
      <c r="D25" s="267">
        <v>0.01</v>
      </c>
      <c r="E25" s="267">
        <v>0.01</v>
      </c>
      <c r="F25" s="267">
        <v>0.01</v>
      </c>
    </row>
    <row r="26" spans="1:6" ht="15">
      <c r="A26"/>
      <c r="B26" s="269" t="s">
        <v>163</v>
      </c>
      <c r="C26" s="268"/>
      <c r="D26" s="267">
        <v>0.02</v>
      </c>
      <c r="E26" s="267">
        <v>0.02</v>
      </c>
      <c r="F26" s="267">
        <v>0.02</v>
      </c>
    </row>
    <row r="27" spans="1:6" ht="15">
      <c r="A27"/>
      <c r="B27" s="269" t="s">
        <v>162</v>
      </c>
      <c r="C27" s="268"/>
      <c r="D27" s="267">
        <v>0</v>
      </c>
      <c r="E27" s="267">
        <v>0</v>
      </c>
      <c r="F27" s="267">
        <v>0.03</v>
      </c>
    </row>
    <row r="28" spans="1:6" ht="15">
      <c r="A28"/>
      <c r="B28" s="270" t="s">
        <v>161</v>
      </c>
      <c r="C28" s="268"/>
      <c r="D28" s="267">
        <v>0</v>
      </c>
      <c r="E28" s="267">
        <v>0.01</v>
      </c>
      <c r="F28" s="267">
        <v>0</v>
      </c>
    </row>
    <row r="29" spans="1:6" ht="15">
      <c r="A29"/>
      <c r="B29" s="269" t="s">
        <v>160</v>
      </c>
      <c r="C29" s="268"/>
      <c r="D29" s="267">
        <v>0.03</v>
      </c>
      <c r="E29" s="267">
        <v>0.03</v>
      </c>
      <c r="F29" s="267">
        <v>0.03</v>
      </c>
    </row>
    <row r="30" spans="1:6" ht="15">
      <c r="A30"/>
      <c r="B30"/>
      <c r="C30"/>
      <c r="D30"/>
      <c r="E30"/>
      <c r="F30"/>
    </row>
    <row r="31" spans="1:6" ht="15">
      <c r="A31"/>
      <c r="B31" s="266" t="s">
        <v>159</v>
      </c>
      <c r="C31" s="265"/>
      <c r="D31" s="264">
        <f>SUM(D22:D30)</f>
        <v>0.13</v>
      </c>
      <c r="E31" s="264">
        <f>SUM(E22:E30)</f>
        <v>0.13999999999999999</v>
      </c>
      <c r="F31" s="264">
        <f>SUM(F22:F30)</f>
        <v>0.16</v>
      </c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</sheetData>
  <sheetProtection/>
  <mergeCells count="2">
    <mergeCell ref="B6:F6"/>
    <mergeCell ref="B21:F2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F6" sqref="F6"/>
    </sheetView>
  </sheetViews>
  <sheetFormatPr defaultColWidth="11.421875" defaultRowHeight="15"/>
  <cols>
    <col min="2" max="2" width="7.00390625" style="0" customWidth="1"/>
    <col min="3" max="5" width="14.421875" style="0" customWidth="1"/>
    <col min="6" max="6" width="13.140625" style="0" bestFit="1" customWidth="1"/>
    <col min="8" max="8" width="7.57421875" style="0" customWidth="1"/>
    <col min="9" max="9" width="8.421875" style="0" customWidth="1"/>
  </cols>
  <sheetData>
    <row r="2" ht="15">
      <c r="A2" s="307" t="s">
        <v>242</v>
      </c>
    </row>
    <row r="3" ht="15.75" thickBot="1"/>
    <row r="4" spans="1:4" ht="15.75" thickBot="1">
      <c r="A4" s="361" t="s">
        <v>122</v>
      </c>
      <c r="B4" s="362"/>
      <c r="C4" s="363"/>
      <c r="D4" s="197">
        <v>0.0931</v>
      </c>
    </row>
    <row r="5" spans="1:4" ht="15">
      <c r="A5" s="364" t="s">
        <v>123</v>
      </c>
      <c r="B5" s="365"/>
      <c r="C5" s="366"/>
      <c r="D5" s="198">
        <v>0.6</v>
      </c>
    </row>
    <row r="6" spans="1:4" ht="15.75" thickBot="1">
      <c r="A6" s="367" t="s">
        <v>124</v>
      </c>
      <c r="B6" s="368"/>
      <c r="C6" s="369"/>
      <c r="D6" s="199">
        <v>5</v>
      </c>
    </row>
    <row r="7" ht="15.75" thickBot="1">
      <c r="D7" s="200"/>
    </row>
    <row r="8" spans="2:6" ht="15.75" thickBot="1">
      <c r="B8" s="370" t="s">
        <v>125</v>
      </c>
      <c r="C8" s="371"/>
      <c r="D8" s="371"/>
      <c r="E8" s="371"/>
      <c r="F8" s="372"/>
    </row>
    <row r="9" spans="2:6" ht="14.25" customHeight="1" thickBot="1">
      <c r="B9" s="192"/>
      <c r="C9" s="192"/>
      <c r="D9" s="192"/>
      <c r="E9" s="192"/>
      <c r="F9" s="192"/>
    </row>
    <row r="10" spans="2:6" ht="15.75" thickBot="1">
      <c r="B10" s="236" t="s">
        <v>126</v>
      </c>
      <c r="C10" s="237" t="s">
        <v>127</v>
      </c>
      <c r="D10" s="237" t="s">
        <v>128</v>
      </c>
      <c r="E10" s="237" t="s">
        <v>129</v>
      </c>
      <c r="F10" s="238" t="s">
        <v>130</v>
      </c>
    </row>
    <row r="11" spans="2:6" ht="15">
      <c r="B11" s="239">
        <v>0</v>
      </c>
      <c r="C11" s="229"/>
      <c r="D11" s="229"/>
      <c r="E11" s="229"/>
      <c r="F11" s="222">
        <f>+D25</f>
        <v>-93469.528</v>
      </c>
    </row>
    <row r="12" spans="2:7" ht="15">
      <c r="B12" s="240">
        <v>1</v>
      </c>
      <c r="C12" s="223">
        <f>PMT($D$4,$D$6,$F$11,0)*-1</f>
        <v>-24223.9077241414</v>
      </c>
      <c r="D12" s="223">
        <f>+C12-E12</f>
        <v>-15521.894667341401</v>
      </c>
      <c r="E12" s="223">
        <f>+F11*$D$4</f>
        <v>-8702.0130568</v>
      </c>
      <c r="F12" s="230">
        <f>+F11-D12</f>
        <v>-77947.6333326586</v>
      </c>
      <c r="G12" s="234"/>
    </row>
    <row r="13" spans="2:6" ht="15">
      <c r="B13" s="240">
        <v>2</v>
      </c>
      <c r="C13" s="223">
        <f>PMT($D$4,$D$6,$F$11,0)*-1</f>
        <v>-24223.9077241414</v>
      </c>
      <c r="D13" s="223">
        <f>+C13-E13</f>
        <v>-16966.983060870887</v>
      </c>
      <c r="E13" s="223">
        <f>+F12*$D$4</f>
        <v>-7256.924663270516</v>
      </c>
      <c r="F13" s="230">
        <f>+F12-D13</f>
        <v>-60980.650271787716</v>
      </c>
    </row>
    <row r="14" spans="2:6" ht="15">
      <c r="B14" s="240">
        <v>3</v>
      </c>
      <c r="C14" s="223">
        <f>PMT($D$4,$D$6,$F$11,0)*-1</f>
        <v>-24223.9077241414</v>
      </c>
      <c r="D14" s="223">
        <f>+C14-E14</f>
        <v>-18546.609183837965</v>
      </c>
      <c r="E14" s="223">
        <f>+F13*$D$4</f>
        <v>-5677.298540303436</v>
      </c>
      <c r="F14" s="230">
        <f>+F13-D14</f>
        <v>-42434.04108794975</v>
      </c>
    </row>
    <row r="15" spans="1:6" ht="15">
      <c r="A15" s="201"/>
      <c r="B15" s="240">
        <v>4</v>
      </c>
      <c r="C15" s="223">
        <f>PMT($D$4,$D$6,$F$11,0)*-1</f>
        <v>-24223.9077241414</v>
      </c>
      <c r="D15" s="223">
        <f>+C15-E15</f>
        <v>-20273.29849885328</v>
      </c>
      <c r="E15" s="223">
        <f>+F14*$D$4</f>
        <v>-3950.6092252881217</v>
      </c>
      <c r="F15" s="230">
        <f>+F14-D15</f>
        <v>-22160.74258909647</v>
      </c>
    </row>
    <row r="16" spans="1:6" ht="15.75" thickBot="1">
      <c r="A16" s="201"/>
      <c r="B16" s="241">
        <v>5</v>
      </c>
      <c r="C16" s="223">
        <f>PMT($D$4,$D$6,$F$11,0)*-1</f>
        <v>-24223.9077241414</v>
      </c>
      <c r="D16" s="223">
        <f>+C16-E16</f>
        <v>-22160.74258909652</v>
      </c>
      <c r="E16" s="223">
        <f>+F15*$D$4</f>
        <v>-2063.1651350448815</v>
      </c>
      <c r="F16" s="230">
        <f>+F15-D16</f>
        <v>5.093170329928398E-11</v>
      </c>
    </row>
    <row r="17" spans="1:6" ht="15.75" thickBot="1">
      <c r="A17" s="202"/>
      <c r="B17" s="242"/>
      <c r="C17" s="203">
        <f>SUM(C12:C16)</f>
        <v>-121119.53862070701</v>
      </c>
      <c r="D17" s="203">
        <f>SUM(D12:D16)</f>
        <v>-93469.52800000006</v>
      </c>
      <c r="E17" s="203">
        <f>SUM(E12:E16)</f>
        <v>-27650.010620706955</v>
      </c>
      <c r="F17" s="204"/>
    </row>
    <row r="18" ht="15">
      <c r="A18" s="201"/>
    </row>
    <row r="20" spans="2:4" ht="15">
      <c r="B20" s="373" t="s">
        <v>131</v>
      </c>
      <c r="C20" s="373"/>
      <c r="D20" s="373"/>
    </row>
    <row r="21" ht="6" customHeight="1" thickBot="1"/>
    <row r="22" spans="2:4" ht="15.75" thickBot="1">
      <c r="B22" s="374" t="s">
        <v>71</v>
      </c>
      <c r="C22" s="375"/>
      <c r="D22" s="205">
        <f>+'fc 60% deuda'!B46</f>
        <v>-154095.04</v>
      </c>
    </row>
    <row r="23" spans="2:4" ht="15.75" thickBot="1">
      <c r="B23" s="206" t="s">
        <v>132</v>
      </c>
      <c r="C23" s="207"/>
      <c r="D23" s="208">
        <f>+'fc 60% deuda'!B48</f>
        <v>-1687.506666666668</v>
      </c>
    </row>
    <row r="24" spans="2:5" ht="15">
      <c r="B24" s="209" t="s">
        <v>133</v>
      </c>
      <c r="C24" s="210"/>
      <c r="D24" s="211">
        <f>SUM(D22:D23)</f>
        <v>-155782.5466666667</v>
      </c>
      <c r="E24" s="359">
        <f>+D24-D25</f>
        <v>-62313.018666666685</v>
      </c>
    </row>
    <row r="25" spans="2:5" ht="15.75" thickBot="1">
      <c r="B25" s="212" t="s">
        <v>134</v>
      </c>
      <c r="C25" s="213"/>
      <c r="D25" s="214">
        <f>+D24*$D$5</f>
        <v>-93469.528</v>
      </c>
      <c r="E25" s="360"/>
    </row>
    <row r="26" spans="4:5" ht="15">
      <c r="D26" t="s">
        <v>138</v>
      </c>
      <c r="E26" t="s">
        <v>137</v>
      </c>
    </row>
    <row r="32" ht="15">
      <c r="C32" s="243" t="s">
        <v>145</v>
      </c>
    </row>
    <row r="34" spans="3:4" ht="15">
      <c r="C34" s="246" t="s">
        <v>141</v>
      </c>
      <c r="D34" s="247">
        <f>+D4</f>
        <v>0.0931</v>
      </c>
    </row>
    <row r="35" spans="3:4" ht="15">
      <c r="C35" s="246" t="s">
        <v>142</v>
      </c>
      <c r="D35" s="247">
        <f>+D5</f>
        <v>0.6</v>
      </c>
    </row>
    <row r="36" spans="3:4" ht="15">
      <c r="C36" s="246" t="s">
        <v>143</v>
      </c>
      <c r="D36" s="247">
        <f>+'tasa de descuento'!$F$14</f>
        <v>0.10247414198615473</v>
      </c>
    </row>
    <row r="37" spans="3:4" ht="15">
      <c r="C37" s="246" t="s">
        <v>144</v>
      </c>
      <c r="D37" s="247">
        <f>1-D35</f>
        <v>0.4</v>
      </c>
    </row>
    <row r="38" spans="3:4" ht="15">
      <c r="C38" s="248" t="s">
        <v>147</v>
      </c>
      <c r="D38" s="249">
        <v>0.25</v>
      </c>
    </row>
    <row r="39" ht="15.75" thickBot="1"/>
    <row r="40" spans="3:4" ht="15.75" thickBot="1">
      <c r="C40" s="244" t="s">
        <v>146</v>
      </c>
      <c r="D40" s="245">
        <f>+D34*(1-D38)*D35+D36*D37</f>
        <v>0.08288465679446189</v>
      </c>
    </row>
  </sheetData>
  <sheetProtection/>
  <mergeCells count="7">
    <mergeCell ref="E24:E25"/>
    <mergeCell ref="A4:C4"/>
    <mergeCell ref="A5:C5"/>
    <mergeCell ref="A6:C6"/>
    <mergeCell ref="B8:F8"/>
    <mergeCell ref="B20:D20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7"/>
  <sheetViews>
    <sheetView zoomScalePageLayoutView="0" workbookViewId="0" topLeftCell="A1">
      <selection activeCell="M102" sqref="M102"/>
    </sheetView>
  </sheetViews>
  <sheetFormatPr defaultColWidth="11.421875" defaultRowHeight="15"/>
  <cols>
    <col min="1" max="1" width="32.28125" style="29" customWidth="1"/>
    <col min="2" max="2" width="14.8515625" style="29" customWidth="1"/>
    <col min="3" max="3" width="9.57421875" style="29" bestFit="1" customWidth="1"/>
    <col min="4" max="4" width="9.8515625" style="29" bestFit="1" customWidth="1"/>
    <col min="5" max="5" width="11.140625" style="29" customWidth="1"/>
    <col min="6" max="7" width="9.57421875" style="29" bestFit="1" customWidth="1"/>
    <col min="8" max="9" width="10.28125" style="29" hidden="1" customWidth="1"/>
    <col min="10" max="10" width="16.421875" style="29" hidden="1" customWidth="1"/>
    <col min="11" max="11" width="20.421875" style="29" hidden="1" customWidth="1"/>
    <col min="12" max="12" width="21.28125" style="29" hidden="1" customWidth="1"/>
    <col min="13" max="13" width="17.8515625" style="29" customWidth="1"/>
    <col min="14" max="14" width="14.140625" style="29" customWidth="1"/>
    <col min="15" max="16384" width="11.421875" style="29" customWidth="1"/>
  </cols>
  <sheetData>
    <row r="1" ht="14.25">
      <c r="A1" s="307" t="s">
        <v>243</v>
      </c>
    </row>
    <row r="2" ht="11.25"/>
    <row r="3" ht="11.25"/>
    <row r="4" spans="1:12" ht="11.25">
      <c r="A4" s="29" t="s">
        <v>84</v>
      </c>
      <c r="B4" s="80">
        <v>0.25</v>
      </c>
      <c r="H4" s="81"/>
      <c r="I4" s="81"/>
      <c r="J4" s="81"/>
      <c r="K4" s="81"/>
      <c r="L4" s="81"/>
    </row>
    <row r="5" spans="1:12" ht="12" thickBot="1">
      <c r="A5" s="29" t="s">
        <v>139</v>
      </c>
      <c r="B5" s="196">
        <v>1</v>
      </c>
      <c r="H5" s="81"/>
      <c r="I5" s="81"/>
      <c r="J5" s="81"/>
      <c r="K5" s="81"/>
      <c r="L5" s="81"/>
    </row>
    <row r="6" spans="1:12" ht="12" thickBot="1">
      <c r="A6" s="352" t="s">
        <v>86</v>
      </c>
      <c r="B6" s="353"/>
      <c r="C6" s="353"/>
      <c r="D6" s="353"/>
      <c r="E6" s="353"/>
      <c r="F6" s="353"/>
      <c r="G6" s="354"/>
      <c r="H6" s="28"/>
      <c r="I6" s="28"/>
      <c r="J6" s="28"/>
      <c r="K6" s="28"/>
      <c r="L6" s="28"/>
    </row>
    <row r="7" spans="1:12" ht="12" thickBot="1">
      <c r="A7" s="82" t="s">
        <v>87</v>
      </c>
      <c r="B7" s="34">
        <v>0</v>
      </c>
      <c r="C7" s="34">
        <v>1</v>
      </c>
      <c r="D7" s="34">
        <v>2</v>
      </c>
      <c r="E7" s="34">
        <v>3</v>
      </c>
      <c r="F7" s="35">
        <v>4</v>
      </c>
      <c r="G7" s="31">
        <v>5</v>
      </c>
      <c r="H7" s="83"/>
      <c r="I7" s="83"/>
      <c r="J7" s="83"/>
      <c r="K7" s="83"/>
      <c r="L7" s="83"/>
    </row>
    <row r="8" spans="1:12" ht="11.25">
      <c r="A8" s="82" t="str">
        <f>'[1]Flujo de caja 1 año'!A3</f>
        <v>Precio promedio unitario por lìnea</v>
      </c>
      <c r="B8" s="84"/>
      <c r="C8" s="85"/>
      <c r="D8" s="86"/>
      <c r="E8" s="86"/>
      <c r="F8" s="86"/>
      <c r="G8" s="85"/>
      <c r="H8" s="81"/>
      <c r="I8" s="81"/>
      <c r="J8" s="81"/>
      <c r="K8" s="81"/>
      <c r="L8" s="81"/>
    </row>
    <row r="9" spans="1:12" ht="11.25">
      <c r="A9" s="52" t="str">
        <f>+'fc primer año sin deuda'!A7</f>
        <v>Precio Inacake  crema helada</v>
      </c>
      <c r="B9" s="87"/>
      <c r="C9" s="88">
        <v>0.8</v>
      </c>
      <c r="D9" s="89">
        <f>C9</f>
        <v>0.8</v>
      </c>
      <c r="E9" s="89">
        <f>D9</f>
        <v>0.8</v>
      </c>
      <c r="F9" s="89">
        <f>E9</f>
        <v>0.8</v>
      </c>
      <c r="G9" s="89">
        <f>F9</f>
        <v>0.8</v>
      </c>
      <c r="H9" s="90"/>
      <c r="I9" s="90"/>
      <c r="J9" s="90"/>
      <c r="K9" s="90"/>
      <c r="L9" s="90"/>
    </row>
    <row r="10" spans="1:12" ht="11.25">
      <c r="A10" s="52" t="str">
        <f>+'fc primer año sin deuda'!A8</f>
        <v>Precio Bony  crema helada</v>
      </c>
      <c r="B10" s="87"/>
      <c r="C10" s="88">
        <v>0.8</v>
      </c>
      <c r="D10" s="89">
        <f aca="true" t="shared" si="0" ref="D10:G11">C10</f>
        <v>0.8</v>
      </c>
      <c r="E10" s="89">
        <f t="shared" si="0"/>
        <v>0.8</v>
      </c>
      <c r="F10" s="89">
        <f t="shared" si="0"/>
        <v>0.8</v>
      </c>
      <c r="G10" s="89">
        <f t="shared" si="0"/>
        <v>0.8</v>
      </c>
      <c r="H10" s="90"/>
      <c r="I10" s="90"/>
      <c r="J10" s="90"/>
      <c r="K10" s="90"/>
      <c r="L10" s="90"/>
    </row>
    <row r="11" spans="1:12" ht="11.25">
      <c r="A11" s="52" t="str">
        <f>+'fc primer año sin deuda'!A9</f>
        <v>Precio Tigreton  crema helada</v>
      </c>
      <c r="B11" s="87"/>
      <c r="C11" s="91">
        <v>0.85</v>
      </c>
      <c r="D11" s="89">
        <f t="shared" si="0"/>
        <v>0.85</v>
      </c>
      <c r="E11" s="89">
        <f t="shared" si="0"/>
        <v>0.85</v>
      </c>
      <c r="F11" s="89">
        <f t="shared" si="0"/>
        <v>0.85</v>
      </c>
      <c r="G11" s="89">
        <f t="shared" si="0"/>
        <v>0.85</v>
      </c>
      <c r="H11" s="90"/>
      <c r="I11" s="90"/>
      <c r="J11" s="90"/>
      <c r="K11" s="90"/>
      <c r="L11" s="90"/>
    </row>
    <row r="12" spans="1:12" ht="11.25">
      <c r="A12" s="52"/>
      <c r="B12" s="87"/>
      <c r="C12" s="88"/>
      <c r="D12" s="93"/>
      <c r="E12" s="93"/>
      <c r="F12" s="93"/>
      <c r="G12" s="88"/>
      <c r="H12" s="94"/>
      <c r="I12" s="94"/>
      <c r="J12" s="94"/>
      <c r="K12" s="94"/>
      <c r="L12" s="94"/>
    </row>
    <row r="13" spans="1:12" ht="11.25">
      <c r="A13" s="92" t="str">
        <f>+'fc primer año sin deuda'!A11</f>
        <v>Cantidades vendidas</v>
      </c>
      <c r="B13" s="87"/>
      <c r="C13" s="88"/>
      <c r="D13" s="93"/>
      <c r="E13" s="93"/>
      <c r="F13" s="93"/>
      <c r="G13" s="88"/>
      <c r="H13" s="94"/>
      <c r="I13" s="94"/>
      <c r="J13" s="94"/>
      <c r="K13" s="94"/>
      <c r="L13" s="94"/>
    </row>
    <row r="14" spans="1:12" ht="11.25">
      <c r="A14" s="52" t="str">
        <f>+'fc primer año sin deuda'!A12</f>
        <v>Unidades Inacake crema</v>
      </c>
      <c r="B14" s="50"/>
      <c r="C14" s="43">
        <f>+'fc primer año sin deuda'!N12</f>
        <v>105500</v>
      </c>
      <c r="D14" s="96">
        <f aca="true" t="shared" si="1" ref="D14:G16">C14</f>
        <v>105500</v>
      </c>
      <c r="E14" s="96">
        <f t="shared" si="1"/>
        <v>105500</v>
      </c>
      <c r="F14" s="96">
        <f t="shared" si="1"/>
        <v>105500</v>
      </c>
      <c r="G14" s="95">
        <f t="shared" si="1"/>
        <v>105500</v>
      </c>
      <c r="H14" s="97"/>
      <c r="I14" s="97"/>
      <c r="J14" s="97"/>
      <c r="K14" s="97"/>
      <c r="L14" s="97"/>
    </row>
    <row r="15" spans="1:12" ht="11.25">
      <c r="A15" s="52" t="str">
        <f>+'fc primer año sin deuda'!A13</f>
        <v>Unidades Bony crema</v>
      </c>
      <c r="B15" s="50"/>
      <c r="C15" s="43">
        <f>+'fc primer año sin deuda'!N13</f>
        <v>76500</v>
      </c>
      <c r="D15" s="96">
        <f t="shared" si="1"/>
        <v>76500</v>
      </c>
      <c r="E15" s="96">
        <f t="shared" si="1"/>
        <v>76500</v>
      </c>
      <c r="F15" s="96">
        <f t="shared" si="1"/>
        <v>76500</v>
      </c>
      <c r="G15" s="95">
        <f t="shared" si="1"/>
        <v>76500</v>
      </c>
      <c r="H15" s="97"/>
      <c r="I15" s="97"/>
      <c r="J15" s="97"/>
      <c r="K15" s="97"/>
      <c r="L15" s="97"/>
    </row>
    <row r="16" spans="1:12" ht="11.25">
      <c r="A16" s="52" t="str">
        <f>+'fc primer año sin deuda'!A14</f>
        <v>Unidades tigreton crema</v>
      </c>
      <c r="B16" s="50"/>
      <c r="C16" s="43">
        <f>+'fc primer año sin deuda'!N14</f>
        <v>105500</v>
      </c>
      <c r="D16" s="96">
        <f t="shared" si="1"/>
        <v>105500</v>
      </c>
      <c r="E16" s="96">
        <f t="shared" si="1"/>
        <v>105500</v>
      </c>
      <c r="F16" s="96">
        <f t="shared" si="1"/>
        <v>105500</v>
      </c>
      <c r="G16" s="95">
        <f t="shared" si="1"/>
        <v>105500</v>
      </c>
      <c r="H16" s="97"/>
      <c r="I16" s="97"/>
      <c r="J16" s="97"/>
      <c r="K16" s="97"/>
      <c r="L16" s="97"/>
    </row>
    <row r="17" spans="1:12" ht="11.25">
      <c r="A17" s="52" t="str">
        <f>+'fc primer año sin deuda'!A15</f>
        <v>Total Ingresos</v>
      </c>
      <c r="B17" s="87"/>
      <c r="C17" s="98">
        <f>(C9*C14)+(C10*C15)+(C11*C16)</f>
        <v>235275</v>
      </c>
      <c r="D17" s="99">
        <f>(D9*D14)+(D10*D15)+(D11*D16)</f>
        <v>235275</v>
      </c>
      <c r="E17" s="99">
        <f>(E9*E14)+(E10*E15)+(E11*E16)</f>
        <v>235275</v>
      </c>
      <c r="F17" s="99">
        <f>(F9*F14)+(F10*F15)+(F11*F16)</f>
        <v>235275</v>
      </c>
      <c r="G17" s="98">
        <f>(G9*G14)+(G10*G15)+(G11*G16)</f>
        <v>235275</v>
      </c>
      <c r="H17" s="100"/>
      <c r="I17" s="100"/>
      <c r="J17" s="100"/>
      <c r="K17" s="100"/>
      <c r="L17" s="100"/>
    </row>
    <row r="18" spans="1:12" ht="11.25">
      <c r="A18" s="92"/>
      <c r="B18" s="87"/>
      <c r="C18" s="52"/>
      <c r="D18" s="93"/>
      <c r="E18" s="93"/>
      <c r="F18" s="93"/>
      <c r="G18" s="88"/>
      <c r="H18" s="94"/>
      <c r="I18" s="94"/>
      <c r="J18" s="94"/>
      <c r="K18" s="94"/>
      <c r="L18" s="94"/>
    </row>
    <row r="19" spans="1:12" ht="11.25">
      <c r="A19" s="92" t="str">
        <f>'[1]Flujo de caja 1 año'!A14</f>
        <v>Costo de venta unitario</v>
      </c>
      <c r="B19" s="87"/>
      <c r="C19" s="88"/>
      <c r="D19" s="93"/>
      <c r="E19" s="93"/>
      <c r="F19" s="93"/>
      <c r="G19" s="88"/>
      <c r="H19" s="94"/>
      <c r="I19" s="94"/>
      <c r="J19" s="94"/>
      <c r="K19" s="94"/>
      <c r="L19" s="94"/>
    </row>
    <row r="20" spans="1:12" ht="11.25">
      <c r="A20" s="52" t="str">
        <f>+'fc primer año sin deuda'!A18</f>
        <v>Costo Inacake crema</v>
      </c>
      <c r="B20" s="87"/>
      <c r="C20" s="91">
        <v>0.24</v>
      </c>
      <c r="D20" s="89">
        <f aca="true" t="shared" si="2" ref="D20:G22">C20</f>
        <v>0.24</v>
      </c>
      <c r="E20" s="89">
        <f t="shared" si="2"/>
        <v>0.24</v>
      </c>
      <c r="F20" s="89">
        <f t="shared" si="2"/>
        <v>0.24</v>
      </c>
      <c r="G20" s="89">
        <f t="shared" si="2"/>
        <v>0.24</v>
      </c>
      <c r="H20" s="90"/>
      <c r="I20" s="90"/>
      <c r="J20" s="90"/>
      <c r="K20" s="90"/>
      <c r="L20" s="90"/>
    </row>
    <row r="21" spans="1:12" ht="11.25">
      <c r="A21" s="52" t="str">
        <f>+'fc primer año sin deuda'!A19</f>
        <v>Costo Bony crema</v>
      </c>
      <c r="B21" s="87"/>
      <c r="C21" s="91">
        <v>0.25</v>
      </c>
      <c r="D21" s="89">
        <f t="shared" si="2"/>
        <v>0.25</v>
      </c>
      <c r="E21" s="89">
        <f t="shared" si="2"/>
        <v>0.25</v>
      </c>
      <c r="F21" s="89">
        <f t="shared" si="2"/>
        <v>0.25</v>
      </c>
      <c r="G21" s="89">
        <f t="shared" si="2"/>
        <v>0.25</v>
      </c>
      <c r="H21" s="90"/>
      <c r="I21" s="90"/>
      <c r="J21" s="90"/>
      <c r="K21" s="90"/>
      <c r="L21" s="90"/>
    </row>
    <row r="22" spans="1:12" ht="11.25">
      <c r="A22" s="52" t="str">
        <f>+'fc primer año sin deuda'!A20</f>
        <v>Costo Tigreton crema</v>
      </c>
      <c r="B22" s="87"/>
      <c r="C22" s="91">
        <v>0.27</v>
      </c>
      <c r="D22" s="89">
        <f t="shared" si="2"/>
        <v>0.27</v>
      </c>
      <c r="E22" s="89">
        <f t="shared" si="2"/>
        <v>0.27</v>
      </c>
      <c r="F22" s="89">
        <f t="shared" si="2"/>
        <v>0.27</v>
      </c>
      <c r="G22" s="89">
        <f t="shared" si="2"/>
        <v>0.27</v>
      </c>
      <c r="H22" s="90"/>
      <c r="I22" s="90"/>
      <c r="J22" s="90"/>
      <c r="K22" s="90"/>
      <c r="L22" s="90"/>
    </row>
    <row r="23" spans="1:12" ht="11.25">
      <c r="A23" s="92" t="str">
        <f>'[1]Flujo de caja 1 año'!A18</f>
        <v>Total costo de ventas unitario</v>
      </c>
      <c r="B23" s="87"/>
      <c r="C23" s="101">
        <f>SUM(C20:C22)</f>
        <v>0.76</v>
      </c>
      <c r="D23" s="102">
        <f>SUM(D20:D22)</f>
        <v>0.76</v>
      </c>
      <c r="E23" s="102">
        <f>SUM(E20:E22)</f>
        <v>0.76</v>
      </c>
      <c r="F23" s="102">
        <f>SUM(F20:F22)</f>
        <v>0.76</v>
      </c>
      <c r="G23" s="101">
        <f>SUM(G20:G22)</f>
        <v>0.76</v>
      </c>
      <c r="H23" s="103"/>
      <c r="I23" s="103"/>
      <c r="J23" s="103"/>
      <c r="K23" s="103"/>
      <c r="L23" s="103"/>
    </row>
    <row r="24" spans="1:12" ht="11.25">
      <c r="A24" s="92"/>
      <c r="B24" s="87"/>
      <c r="C24" s="88"/>
      <c r="D24" s="93"/>
      <c r="E24" s="93"/>
      <c r="F24" s="93"/>
      <c r="G24" s="88"/>
      <c r="H24" s="94"/>
      <c r="I24" s="94"/>
      <c r="J24" s="94"/>
      <c r="K24" s="94"/>
      <c r="L24" s="94"/>
    </row>
    <row r="25" spans="1:12" ht="11.25">
      <c r="A25" s="92" t="str">
        <f>'[1]Flujo de caja 1 año'!A20</f>
        <v>Costos de Venta</v>
      </c>
      <c r="B25" s="87"/>
      <c r="C25" s="88"/>
      <c r="D25" s="93"/>
      <c r="E25" s="93"/>
      <c r="F25" s="93"/>
      <c r="G25" s="88"/>
      <c r="H25" s="94"/>
      <c r="I25" s="94"/>
      <c r="J25" s="94"/>
      <c r="K25" s="94"/>
      <c r="L25" s="94"/>
    </row>
    <row r="26" spans="1:14" ht="11.25">
      <c r="A26" s="52" t="str">
        <f>+'fc primer año sin deuda'!A24</f>
        <v>Costo Inacake crema</v>
      </c>
      <c r="B26" s="44"/>
      <c r="C26" s="95">
        <f>+C20*C14</f>
        <v>25320</v>
      </c>
      <c r="D26" s="95">
        <f>D20*D14</f>
        <v>25320</v>
      </c>
      <c r="E26" s="95">
        <f>E20*E14</f>
        <v>25320</v>
      </c>
      <c r="F26" s="95">
        <f>F20*F14</f>
        <v>25320</v>
      </c>
      <c r="G26" s="95">
        <f>G20*G14</f>
        <v>25320</v>
      </c>
      <c r="H26" s="90"/>
      <c r="I26" s="90"/>
      <c r="J26" s="90"/>
      <c r="K26" s="90"/>
      <c r="L26" s="90"/>
      <c r="M26" s="104"/>
      <c r="N26" s="104"/>
    </row>
    <row r="27" spans="1:14" ht="11.25">
      <c r="A27" s="52" t="str">
        <f>+'fc primer año sin deuda'!A25</f>
        <v>Costo Bony crema</v>
      </c>
      <c r="B27" s="44"/>
      <c r="C27" s="95">
        <f>+C21*C15</f>
        <v>19125</v>
      </c>
      <c r="D27" s="95">
        <f aca="true" t="shared" si="3" ref="D27:G28">D21*D15</f>
        <v>19125</v>
      </c>
      <c r="E27" s="95">
        <f t="shared" si="3"/>
        <v>19125</v>
      </c>
      <c r="F27" s="95">
        <f t="shared" si="3"/>
        <v>19125</v>
      </c>
      <c r="G27" s="95">
        <f t="shared" si="3"/>
        <v>19125</v>
      </c>
      <c r="H27" s="90"/>
      <c r="I27" s="90"/>
      <c r="J27" s="90"/>
      <c r="K27" s="90"/>
      <c r="L27" s="90"/>
      <c r="M27" s="104"/>
      <c r="N27" s="104"/>
    </row>
    <row r="28" spans="1:14" ht="11.25">
      <c r="A28" s="52" t="str">
        <f>+'fc primer año sin deuda'!A26</f>
        <v>Costo Tigreton crema</v>
      </c>
      <c r="B28" s="44"/>
      <c r="C28" s="95">
        <f>+C22*C16</f>
        <v>28485.000000000004</v>
      </c>
      <c r="D28" s="95">
        <f t="shared" si="3"/>
        <v>28485.000000000004</v>
      </c>
      <c r="E28" s="95">
        <f t="shared" si="3"/>
        <v>28485.000000000004</v>
      </c>
      <c r="F28" s="95">
        <f t="shared" si="3"/>
        <v>28485.000000000004</v>
      </c>
      <c r="G28" s="95">
        <f t="shared" si="3"/>
        <v>28485.000000000004</v>
      </c>
      <c r="H28" s="90"/>
      <c r="I28" s="90"/>
      <c r="J28" s="90"/>
      <c r="K28" s="90"/>
      <c r="L28" s="90"/>
      <c r="M28" s="104"/>
      <c r="N28" s="104"/>
    </row>
    <row r="29" spans="1:14" ht="13.5" customHeight="1">
      <c r="A29" s="92" t="str">
        <f>'[1]Flujo de caja 1 año'!A24</f>
        <v>Total costo de venta</v>
      </c>
      <c r="B29" s="44"/>
      <c r="C29" s="98">
        <f>SUM(C26:C28)</f>
        <v>72930</v>
      </c>
      <c r="D29" s="98">
        <f>SUM(D26:D28)</f>
        <v>72930</v>
      </c>
      <c r="E29" s="98">
        <f>SUM(E26:E28)</f>
        <v>72930</v>
      </c>
      <c r="F29" s="98">
        <f>SUM(F26:F28)</f>
        <v>72930</v>
      </c>
      <c r="G29" s="98">
        <f>SUM(G26:G28)</f>
        <v>72930</v>
      </c>
      <c r="H29" s="103"/>
      <c r="I29" s="103"/>
      <c r="J29" s="103"/>
      <c r="K29" s="103"/>
      <c r="L29" s="103"/>
      <c r="M29" s="104"/>
      <c r="N29" s="104"/>
    </row>
    <row r="30" spans="1:14" ht="13.5" customHeight="1">
      <c r="A30" s="92"/>
      <c r="B30" s="44"/>
      <c r="C30" s="38"/>
      <c r="D30" s="39"/>
      <c r="E30" s="39"/>
      <c r="F30" s="39"/>
      <c r="G30" s="38"/>
      <c r="H30" s="105"/>
      <c r="I30" s="105"/>
      <c r="J30" s="105"/>
      <c r="K30" s="105"/>
      <c r="L30" s="105"/>
      <c r="M30" s="104"/>
      <c r="N30" s="104"/>
    </row>
    <row r="31" spans="1:14" ht="13.5" customHeight="1">
      <c r="A31" s="92" t="s">
        <v>88</v>
      </c>
      <c r="B31" s="44"/>
      <c r="C31" s="95">
        <v>20000</v>
      </c>
      <c r="D31" s="95">
        <v>20000</v>
      </c>
      <c r="E31" s="95">
        <v>20000</v>
      </c>
      <c r="F31" s="95">
        <v>20000</v>
      </c>
      <c r="G31" s="95">
        <v>20000</v>
      </c>
      <c r="H31" s="106"/>
      <c r="I31" s="106"/>
      <c r="J31" s="106"/>
      <c r="K31" s="106"/>
      <c r="L31" s="106"/>
      <c r="M31" s="104"/>
      <c r="N31" s="104"/>
    </row>
    <row r="32" spans="1:14" ht="13.5" customHeight="1">
      <c r="A32" s="92" t="s">
        <v>140</v>
      </c>
      <c r="B32" s="44"/>
      <c r="C32" s="95">
        <v>14503.3550946667</v>
      </c>
      <c r="D32" s="95">
        <v>12094.8744387842</v>
      </c>
      <c r="E32" s="95">
        <v>9462.16423383906</v>
      </c>
      <c r="F32" s="95">
        <v>6584.34870881354</v>
      </c>
      <c r="G32" s="95">
        <v>3438.60855840814</v>
      </c>
      <c r="H32" s="106"/>
      <c r="I32" s="106"/>
      <c r="J32" s="106"/>
      <c r="K32" s="106"/>
      <c r="L32" s="106"/>
      <c r="M32" s="104"/>
      <c r="N32" s="104"/>
    </row>
    <row r="33" spans="1:14" ht="11.25">
      <c r="A33" s="92"/>
      <c r="B33" s="109"/>
      <c r="C33" s="47"/>
      <c r="D33" s="110"/>
      <c r="E33" s="110"/>
      <c r="F33" s="110"/>
      <c r="G33" s="47"/>
      <c r="H33" s="111"/>
      <c r="I33" s="111"/>
      <c r="J33" s="111"/>
      <c r="K33" s="111"/>
      <c r="L33" s="111"/>
      <c r="M33" s="104"/>
      <c r="N33" s="104"/>
    </row>
    <row r="34" spans="1:14" ht="11.25">
      <c r="A34" s="112" t="s">
        <v>89</v>
      </c>
      <c r="B34" s="109"/>
      <c r="C34" s="47">
        <f>C17-C29-C31-C32</f>
        <v>127841.6449053333</v>
      </c>
      <c r="D34" s="47">
        <f>D17-D29-D31-D32</f>
        <v>130250.1255612158</v>
      </c>
      <c r="E34" s="47">
        <f>E17-E29-E31-E32</f>
        <v>132882.83576616095</v>
      </c>
      <c r="F34" s="47">
        <f>F17-F29-F31-F32</f>
        <v>135760.65129118646</v>
      </c>
      <c r="G34" s="47">
        <f>G17-G29-G31-G32</f>
        <v>138906.39144159187</v>
      </c>
      <c r="H34" s="111"/>
      <c r="I34" s="111"/>
      <c r="J34" s="111"/>
      <c r="K34" s="111"/>
      <c r="L34" s="111"/>
      <c r="M34" s="104"/>
      <c r="N34" s="104"/>
    </row>
    <row r="35" spans="1:14" ht="11.25">
      <c r="A35" s="113" t="s">
        <v>90</v>
      </c>
      <c r="B35" s="44"/>
      <c r="C35" s="114">
        <f>C64</f>
        <v>31960.411226333326</v>
      </c>
      <c r="D35" s="115">
        <f aca="true" t="shared" si="4" ref="C35:G36">D64</f>
        <v>32562.53139030395</v>
      </c>
      <c r="E35" s="115">
        <f t="shared" si="4"/>
        <v>33220.70894154024</v>
      </c>
      <c r="F35" s="115">
        <f t="shared" si="4"/>
        <v>33940.162822796614</v>
      </c>
      <c r="G35" s="114">
        <f t="shared" si="4"/>
        <v>34726.59786039797</v>
      </c>
      <c r="H35" s="49"/>
      <c r="I35" s="49"/>
      <c r="J35" s="49"/>
      <c r="K35" s="49"/>
      <c r="L35" s="49"/>
      <c r="M35" s="104"/>
      <c r="N35" s="104"/>
    </row>
    <row r="36" spans="1:14" ht="11.25">
      <c r="A36" s="113" t="s">
        <v>91</v>
      </c>
      <c r="B36" s="44"/>
      <c r="C36" s="114">
        <f t="shared" si="4"/>
        <v>14382.185051849998</v>
      </c>
      <c r="D36" s="115">
        <f t="shared" si="4"/>
        <v>14653.139125636777</v>
      </c>
      <c r="E36" s="115">
        <f t="shared" si="4"/>
        <v>14949.319023693104</v>
      </c>
      <c r="F36" s="115">
        <f t="shared" si="4"/>
        <v>15273.073270258476</v>
      </c>
      <c r="G36" s="114">
        <f t="shared" si="4"/>
        <v>15626.969037179084</v>
      </c>
      <c r="H36" s="49"/>
      <c r="I36" s="49"/>
      <c r="J36" s="49"/>
      <c r="K36" s="49"/>
      <c r="L36" s="49"/>
      <c r="M36" s="104"/>
      <c r="N36" s="104"/>
    </row>
    <row r="37" spans="1:14" s="121" customFormat="1" ht="11.25">
      <c r="A37" s="116" t="s">
        <v>92</v>
      </c>
      <c r="B37" s="117"/>
      <c r="C37" s="118">
        <f>C34-C35-C36</f>
        <v>81499.04862714998</v>
      </c>
      <c r="D37" s="119">
        <f>D34-D35-D36</f>
        <v>83034.45504527507</v>
      </c>
      <c r="E37" s="119">
        <f>E34-E35-E36</f>
        <v>84712.8078009276</v>
      </c>
      <c r="F37" s="119">
        <f>F34-F35-F36</f>
        <v>86547.41519813136</v>
      </c>
      <c r="G37" s="118">
        <f>G34-G35-G36</f>
        <v>88552.82454401482</v>
      </c>
      <c r="H37" s="111"/>
      <c r="I37" s="111"/>
      <c r="J37" s="111"/>
      <c r="K37" s="111"/>
      <c r="L37" s="111"/>
      <c r="M37" s="120"/>
      <c r="N37" s="120"/>
    </row>
    <row r="38" spans="1:14" s="121" customFormat="1" ht="11.25">
      <c r="A38" s="220" t="s">
        <v>136</v>
      </c>
      <c r="B38" s="117"/>
      <c r="C38" s="118">
        <v>25869.824445569</v>
      </c>
      <c r="D38" s="119">
        <v>28278.3051014515</v>
      </c>
      <c r="E38" s="119">
        <v>30911.0153063966</v>
      </c>
      <c r="F38" s="119">
        <v>33788.8308314221</v>
      </c>
      <c r="G38" s="119">
        <v>36934.5709818275</v>
      </c>
      <c r="H38" s="111"/>
      <c r="I38" s="111"/>
      <c r="J38" s="111"/>
      <c r="K38" s="111"/>
      <c r="L38" s="111"/>
      <c r="M38" s="120"/>
      <c r="N38" s="120"/>
    </row>
    <row r="39" spans="1:14" s="121" customFormat="1" ht="11.25">
      <c r="A39" s="220"/>
      <c r="B39" s="117"/>
      <c r="C39" s="118"/>
      <c r="D39" s="119"/>
      <c r="E39" s="119"/>
      <c r="F39" s="119"/>
      <c r="G39" s="118"/>
      <c r="H39" s="111"/>
      <c r="I39" s="111"/>
      <c r="J39" s="111"/>
      <c r="K39" s="111"/>
      <c r="L39" s="111"/>
      <c r="M39" s="120"/>
      <c r="N39" s="120"/>
    </row>
    <row r="40" spans="1:14" ht="11.25">
      <c r="A40" s="92"/>
      <c r="B40" s="44"/>
      <c r="C40" s="114"/>
      <c r="D40" s="115"/>
      <c r="E40" s="115"/>
      <c r="F40" s="115"/>
      <c r="G40" s="114"/>
      <c r="H40" s="49"/>
      <c r="I40" s="49"/>
      <c r="J40" s="49"/>
      <c r="K40" s="49"/>
      <c r="L40" s="49"/>
      <c r="M40" s="104"/>
      <c r="N40" s="104"/>
    </row>
    <row r="41" spans="1:14" ht="11.25">
      <c r="A41" s="92" t="str">
        <f>'[1]Flujo de caja 1 año'!A28</f>
        <v>Inversion inicial</v>
      </c>
      <c r="B41" s="44"/>
      <c r="C41" s="114"/>
      <c r="D41" s="115"/>
      <c r="E41" s="115"/>
      <c r="F41" s="115"/>
      <c r="G41" s="114"/>
      <c r="H41" s="49"/>
      <c r="I41" s="49"/>
      <c r="J41" s="49"/>
      <c r="K41" s="49"/>
      <c r="L41" s="49"/>
      <c r="M41" s="104"/>
      <c r="N41" s="104"/>
    </row>
    <row r="42" spans="1:14" ht="11.25">
      <c r="A42" s="52" t="str">
        <f>'[1]Flujo de caja 1 año'!A29</f>
        <v>Registro sanitario</v>
      </c>
      <c r="B42" s="122">
        <f>+'fc primer año sin deuda'!N32*-1</f>
        <v>-6400</v>
      </c>
      <c r="C42" s="114"/>
      <c r="D42" s="115"/>
      <c r="E42" s="115"/>
      <c r="F42" s="115"/>
      <c r="G42" s="114"/>
      <c r="H42" s="49"/>
      <c r="I42" s="49"/>
      <c r="J42" s="49"/>
      <c r="K42" s="49"/>
      <c r="L42" s="49"/>
      <c r="M42" s="104"/>
      <c r="N42" s="104"/>
    </row>
    <row r="43" spans="1:14" ht="11.25">
      <c r="A43" s="52" t="s">
        <v>72</v>
      </c>
      <c r="B43" s="122">
        <f>+'fc primer año sin deuda'!N33*-1</f>
        <v>-39695.04</v>
      </c>
      <c r="C43" s="114"/>
      <c r="D43" s="115"/>
      <c r="E43" s="115"/>
      <c r="F43" s="115"/>
      <c r="G43" s="114"/>
      <c r="H43" s="49"/>
      <c r="I43" s="49"/>
      <c r="J43" s="49"/>
      <c r="K43" s="49"/>
      <c r="L43" s="81"/>
      <c r="M43" s="104"/>
      <c r="N43" s="104"/>
    </row>
    <row r="44" spans="1:14" ht="11.25">
      <c r="A44" s="52" t="s">
        <v>73</v>
      </c>
      <c r="B44" s="122">
        <f>+'fc primer año sin deuda'!N34*-1</f>
        <v>-8000</v>
      </c>
      <c r="C44" s="114"/>
      <c r="D44" s="115"/>
      <c r="E44" s="115"/>
      <c r="F44" s="115"/>
      <c r="G44" s="114"/>
      <c r="H44" s="49"/>
      <c r="I44" s="49"/>
      <c r="J44" s="49"/>
      <c r="K44" s="49"/>
      <c r="L44" s="81"/>
      <c r="M44" s="104"/>
      <c r="N44" s="104"/>
    </row>
    <row r="45" spans="1:14" ht="11.25">
      <c r="A45" s="52" t="s">
        <v>114</v>
      </c>
      <c r="B45" s="123">
        <f>+'fc primer año sin deuda'!N35*-1</f>
        <v>-100000</v>
      </c>
      <c r="C45" s="124"/>
      <c r="D45" s="125"/>
      <c r="E45" s="125"/>
      <c r="F45" s="125"/>
      <c r="G45" s="124"/>
      <c r="H45" s="126"/>
      <c r="I45" s="126"/>
      <c r="J45" s="126"/>
      <c r="K45" s="126"/>
      <c r="L45" s="81"/>
      <c r="M45" s="104"/>
      <c r="N45" s="104"/>
    </row>
    <row r="46" spans="1:14" ht="11.25">
      <c r="A46" s="92" t="str">
        <f>'[1]Flujo de caja 1 año'!A33</f>
        <v>Total Inversion inicial</v>
      </c>
      <c r="B46" s="127">
        <f>SUM(B42:B45)</f>
        <v>-154095.04</v>
      </c>
      <c r="C46" s="54"/>
      <c r="D46" s="55"/>
      <c r="E46" s="55"/>
      <c r="F46" s="55"/>
      <c r="G46" s="54"/>
      <c r="H46" s="128"/>
      <c r="I46" s="128"/>
      <c r="J46" s="128"/>
      <c r="K46" s="128"/>
      <c r="L46" s="81"/>
      <c r="M46" s="104"/>
      <c r="N46" s="104"/>
    </row>
    <row r="47" spans="1:14" ht="11.25">
      <c r="A47" s="92"/>
      <c r="B47" s="129"/>
      <c r="C47" s="114"/>
      <c r="D47" s="56"/>
      <c r="E47" s="56"/>
      <c r="F47" s="56"/>
      <c r="G47" s="40"/>
      <c r="H47" s="130"/>
      <c r="I47" s="130"/>
      <c r="J47" s="130"/>
      <c r="K47" s="130"/>
      <c r="L47" s="81"/>
      <c r="M47" s="104"/>
      <c r="N47" s="104"/>
    </row>
    <row r="48" spans="1:14" ht="12" thickBot="1">
      <c r="A48" s="92" t="s">
        <v>93</v>
      </c>
      <c r="B48" s="131">
        <f>-+'fc primer año sin deuda'!C45*-1</f>
        <v>-1687.506666666668</v>
      </c>
      <c r="C48" s="132">
        <v>0</v>
      </c>
      <c r="D48" s="133">
        <v>0</v>
      </c>
      <c r="E48" s="133">
        <v>0</v>
      </c>
      <c r="F48" s="133">
        <v>0</v>
      </c>
      <c r="G48" s="132">
        <f>-B48</f>
        <v>1687.506666666668</v>
      </c>
      <c r="H48" s="130"/>
      <c r="I48" s="130"/>
      <c r="J48" s="130"/>
      <c r="K48" s="130"/>
      <c r="L48" s="81"/>
      <c r="M48" s="104"/>
      <c r="N48" s="104"/>
    </row>
    <row r="49" spans="1:14" ht="12" thickBot="1">
      <c r="A49" s="92" t="s">
        <v>135</v>
      </c>
      <c r="B49" s="221">
        <v>93469.53</v>
      </c>
      <c r="C49" s="133"/>
      <c r="D49" s="133"/>
      <c r="E49" s="133"/>
      <c r="F49" s="133"/>
      <c r="G49" s="132"/>
      <c r="H49" s="130"/>
      <c r="I49" s="130"/>
      <c r="J49" s="130"/>
      <c r="K49" s="130"/>
      <c r="L49" s="81"/>
      <c r="M49" s="104"/>
      <c r="N49" s="104"/>
    </row>
    <row r="50" spans="1:21" s="33" customFormat="1" ht="12" thickBot="1">
      <c r="A50" s="134" t="s">
        <v>94</v>
      </c>
      <c r="B50" s="135">
        <f>+B46+B48+B49</f>
        <v>-62313.01666666669</v>
      </c>
      <c r="C50" s="135">
        <f>C37-C38</f>
        <v>55629.22418158098</v>
      </c>
      <c r="D50" s="135">
        <f>D37-D38</f>
        <v>54756.14994382357</v>
      </c>
      <c r="E50" s="135">
        <f>E37-E38</f>
        <v>53801.79249453101</v>
      </c>
      <c r="F50" s="135">
        <f>F37-F38</f>
        <v>52758.58436670926</v>
      </c>
      <c r="G50" s="135">
        <f>G37-G38+G48</f>
        <v>53305.760228853986</v>
      </c>
      <c r="H50" s="137"/>
      <c r="I50" s="137"/>
      <c r="J50" s="137"/>
      <c r="K50" s="137"/>
      <c r="L50" s="137"/>
      <c r="M50" s="138"/>
      <c r="N50" s="138"/>
      <c r="O50" s="139"/>
      <c r="P50" s="139"/>
      <c r="Q50" s="139"/>
      <c r="R50" s="139"/>
      <c r="S50" s="139"/>
      <c r="T50" s="139"/>
      <c r="U50" s="139"/>
    </row>
    <row r="51" spans="1:21" s="33" customFormat="1" ht="12" thickBot="1">
      <c r="A51" s="140" t="s">
        <v>95</v>
      </c>
      <c r="B51" s="141">
        <f>IRR(B50:G50)</f>
        <v>0.837855330885314</v>
      </c>
      <c r="C51" s="142"/>
      <c r="D51" s="142"/>
      <c r="E51" s="142"/>
      <c r="F51" s="142"/>
      <c r="G51" s="142"/>
      <c r="H51" s="143"/>
      <c r="I51" s="143"/>
      <c r="J51" s="143"/>
      <c r="K51" s="143"/>
      <c r="L51" s="143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2" s="33" customFormat="1" ht="12" thickBot="1">
      <c r="A52" s="144" t="s">
        <v>96</v>
      </c>
      <c r="B52" s="145">
        <f>SUM(H52:L52)+B50</f>
        <v>141787.58466482043</v>
      </c>
      <c r="C52" s="235"/>
      <c r="D52" s="142"/>
      <c r="F52" s="142"/>
      <c r="G52" s="142"/>
      <c r="H52" s="146">
        <f>+C50/((1+$B$54)^C7)</f>
        <v>50458.529649831544</v>
      </c>
      <c r="I52" s="146">
        <f>+D50/((1+$B$54)^D7)</f>
        <v>45050.13325399926</v>
      </c>
      <c r="J52" s="146">
        <f>+E50/((1+$B$54)^E7)</f>
        <v>40150.550930562706</v>
      </c>
      <c r="K52" s="146">
        <f>+F50/((1+$B$54)^F7)</f>
        <v>35712.43686166746</v>
      </c>
      <c r="L52" s="146">
        <f>+G50/((1+$B$54)^G7)</f>
        <v>32728.950635426158</v>
      </c>
      <c r="R52" s="146"/>
      <c r="S52" s="146"/>
      <c r="T52" s="146"/>
      <c r="U52" s="146"/>
      <c r="V52" s="146"/>
    </row>
    <row r="53" spans="1:21" s="33" customFormat="1" ht="12" thickBot="1">
      <c r="A53" s="75" t="s">
        <v>97</v>
      </c>
      <c r="B53" s="147">
        <f>+'tasa de descuento'!F14</f>
        <v>0.10247414198615473</v>
      </c>
      <c r="C53" s="148"/>
      <c r="D53" s="228"/>
      <c r="J53" s="143"/>
      <c r="K53" s="143"/>
      <c r="L53" s="143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s="33" customFormat="1" ht="11.25">
      <c r="A54" s="138"/>
      <c r="B54" s="149">
        <f>B53</f>
        <v>0.10247414198615473</v>
      </c>
      <c r="C54" s="149"/>
      <c r="J54" s="143"/>
      <c r="K54" s="143"/>
      <c r="L54" s="143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s="33" customFormat="1" ht="11.25">
      <c r="A55" s="142" t="s">
        <v>98</v>
      </c>
      <c r="B55" s="150">
        <v>0.07</v>
      </c>
      <c r="C55" s="149"/>
      <c r="J55" s="143"/>
      <c r="K55" s="143"/>
      <c r="L55" s="143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s="33" customFormat="1" ht="11.25">
      <c r="A56" s="151" t="s">
        <v>99</v>
      </c>
      <c r="B56" s="152" t="s">
        <v>100</v>
      </c>
      <c r="C56" s="153"/>
      <c r="F56" s="67"/>
      <c r="J56" s="143"/>
      <c r="K56" s="143"/>
      <c r="L56" s="143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s="155" customFormat="1" ht="12" thickBot="1">
      <c r="A57" s="29"/>
      <c r="B57" s="29"/>
      <c r="C57" s="154"/>
      <c r="D57" s="154"/>
      <c r="E57" s="154"/>
      <c r="F57" s="154"/>
      <c r="G57" s="154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7" ht="12" thickBot="1">
      <c r="A58" s="30" t="s">
        <v>101</v>
      </c>
      <c r="C58" s="154"/>
      <c r="D58" s="154"/>
      <c r="E58" s="154"/>
      <c r="F58" s="154"/>
      <c r="G58" s="154"/>
    </row>
    <row r="59" spans="1:12" ht="11.25">
      <c r="A59" s="84" t="s">
        <v>102</v>
      </c>
      <c r="B59" s="156"/>
      <c r="C59" s="157">
        <f>IF(C34&lt;0,0,C34)</f>
        <v>127841.6449053333</v>
      </c>
      <c r="D59" s="157">
        <f>IF(D34&lt;0,0,D34)</f>
        <v>130250.1255612158</v>
      </c>
      <c r="E59" s="157">
        <f>IF(E34&lt;0,0,E34)</f>
        <v>132882.83576616095</v>
      </c>
      <c r="F59" s="157">
        <f>IF(F34&lt;0,0,F34)</f>
        <v>135760.65129118646</v>
      </c>
      <c r="G59" s="158">
        <f>IF(G34&lt;0,0,G34)</f>
        <v>138906.39144159187</v>
      </c>
      <c r="H59" s="159"/>
      <c r="I59" s="159"/>
      <c r="J59" s="159"/>
      <c r="K59" s="159"/>
      <c r="L59" s="159"/>
    </row>
    <row r="60" spans="1:12" ht="11.25">
      <c r="A60" s="50" t="s">
        <v>103</v>
      </c>
      <c r="B60" s="160"/>
      <c r="C60" s="161">
        <f>+IF(C34&gt;0,0,C34)</f>
        <v>0</v>
      </c>
      <c r="D60" s="161">
        <f>+IF(D34&gt;0,0,D34)</f>
        <v>0</v>
      </c>
      <c r="E60" s="161">
        <f>+IF(E34&gt;0,0,E34)</f>
        <v>0</v>
      </c>
      <c r="F60" s="161">
        <f>+IF(F34&gt;0,0,F34)</f>
        <v>0</v>
      </c>
      <c r="G60" s="162">
        <f>+IF(G34&gt;0,0,G34)</f>
        <v>0</v>
      </c>
      <c r="H60" s="163"/>
      <c r="I60" s="163"/>
      <c r="J60" s="163"/>
      <c r="K60" s="163"/>
      <c r="L60" s="163"/>
    </row>
    <row r="61" spans="1:12" ht="11.25">
      <c r="A61" s="50" t="s">
        <v>104</v>
      </c>
      <c r="B61" s="160"/>
      <c r="C61" s="161">
        <f>+B62</f>
        <v>0</v>
      </c>
      <c r="D61" s="161">
        <f>+C62</f>
        <v>0</v>
      </c>
      <c r="E61" s="161">
        <f>+D62</f>
        <v>0</v>
      </c>
      <c r="F61" s="161">
        <f>+E62</f>
        <v>0</v>
      </c>
      <c r="G61" s="162">
        <f>+F62</f>
        <v>0</v>
      </c>
      <c r="H61" s="163"/>
      <c r="I61" s="163"/>
      <c r="J61" s="163"/>
      <c r="K61" s="163"/>
      <c r="L61" s="163"/>
    </row>
    <row r="62" spans="1:12" ht="11.25">
      <c r="A62" s="50" t="s">
        <v>105</v>
      </c>
      <c r="B62" s="160"/>
      <c r="C62" s="161">
        <f>IF(+C61+C60+C59&lt;0,+C61+C60+C59,0)</f>
        <v>0</v>
      </c>
      <c r="D62" s="161">
        <f>IF(+D61+D60+D59&lt;0,+D61+D60+D59,0)</f>
        <v>0</v>
      </c>
      <c r="E62" s="161">
        <f>IF(+E61+E60+E59&lt;0,+E61+E60+E59,0)</f>
        <v>0</v>
      </c>
      <c r="F62" s="161">
        <f>IF(+F61+F60+F59&lt;0,+F61+F60+F59,0)</f>
        <v>0</v>
      </c>
      <c r="G62" s="162">
        <f>IF(+G61+G60+G59&lt;0,+G61+G60+G59,0)</f>
        <v>0</v>
      </c>
      <c r="H62" s="163"/>
      <c r="I62" s="163"/>
      <c r="J62" s="163"/>
      <c r="K62" s="163"/>
      <c r="L62" s="163"/>
    </row>
    <row r="63" spans="1:12" ht="12" thickBot="1">
      <c r="A63" s="164" t="s">
        <v>106</v>
      </c>
      <c r="B63" s="165"/>
      <c r="C63" s="166">
        <f>IF(+C61+C60+C59&lt;0,0,+C61+C60+C59)</f>
        <v>127841.6449053333</v>
      </c>
      <c r="D63" s="166">
        <f>IF(+D61+D60+D59&lt;0,0,+D61+D60+D59)</f>
        <v>130250.1255612158</v>
      </c>
      <c r="E63" s="166">
        <f>IF(+E61+E60+E59&lt;0,0,+E61+E60+E59)</f>
        <v>132882.83576616095</v>
      </c>
      <c r="F63" s="166">
        <f>IF(+F61+F60+F59&lt;0,0,+F61+F60+F59)</f>
        <v>135760.65129118646</v>
      </c>
      <c r="G63" s="167">
        <f>IF(+G61+G60+G59&lt;0,0,+G61+G60+G59)</f>
        <v>138906.39144159187</v>
      </c>
      <c r="H63" s="163"/>
      <c r="I63" s="163"/>
      <c r="J63" s="163"/>
      <c r="K63" s="163"/>
      <c r="L63" s="163"/>
    </row>
    <row r="64" spans="1:21" ht="12" thickBot="1">
      <c r="A64" s="168" t="s">
        <v>107</v>
      </c>
      <c r="B64" s="169"/>
      <c r="C64" s="170">
        <f>+C63*$B$4</f>
        <v>31960.411226333326</v>
      </c>
      <c r="D64" s="170">
        <f>+D63*$B$4</f>
        <v>32562.53139030395</v>
      </c>
      <c r="E64" s="170">
        <f>+E63*$B$4</f>
        <v>33220.70894154024</v>
      </c>
      <c r="F64" s="170">
        <f>+F63*$B$4</f>
        <v>33940.162822796614</v>
      </c>
      <c r="G64" s="171">
        <f>+G63*$B$4</f>
        <v>34726.59786039797</v>
      </c>
      <c r="H64" s="172"/>
      <c r="I64" s="172"/>
      <c r="J64" s="172"/>
      <c r="K64" s="172"/>
      <c r="L64" s="172"/>
      <c r="M64" s="155"/>
      <c r="N64" s="155"/>
      <c r="O64" s="155"/>
      <c r="P64" s="155"/>
      <c r="Q64" s="155"/>
      <c r="R64" s="155"/>
      <c r="S64" s="155"/>
      <c r="T64" s="155"/>
      <c r="U64" s="155"/>
    </row>
    <row r="65" spans="1:21" s="155" customFormat="1" ht="12" thickBot="1">
      <c r="A65" s="173" t="s">
        <v>108</v>
      </c>
      <c r="B65" s="174"/>
      <c r="C65" s="195">
        <f>(C63-C64)*0.15</f>
        <v>14382.185051849998</v>
      </c>
      <c r="D65" s="175">
        <f>(D63-D64)*0.15</f>
        <v>14653.139125636777</v>
      </c>
      <c r="E65" s="175">
        <f>(E63-E64)*0.15</f>
        <v>14949.319023693104</v>
      </c>
      <c r="F65" s="175">
        <f>(F63-F64)*0.15</f>
        <v>15273.073270258476</v>
      </c>
      <c r="G65" s="176">
        <f>(G63-G64)*0.15</f>
        <v>15626.969037179084</v>
      </c>
      <c r="H65" s="177"/>
      <c r="I65" s="177"/>
      <c r="J65" s="177"/>
      <c r="K65" s="177"/>
      <c r="L65" s="177"/>
      <c r="M65" s="29"/>
      <c r="N65" s="29"/>
      <c r="O65" s="29"/>
      <c r="P65" s="29"/>
      <c r="Q65" s="29"/>
      <c r="R65" s="29"/>
      <c r="S65" s="29"/>
      <c r="T65" s="29"/>
      <c r="U65" s="29"/>
    </row>
    <row r="67" spans="1:5" ht="14.25" customHeight="1">
      <c r="A67" s="104"/>
      <c r="B67" s="104"/>
      <c r="C67" s="104"/>
      <c r="D67" s="104"/>
      <c r="E67" s="104"/>
    </row>
    <row r="68" spans="1:5" ht="11.25" hidden="1">
      <c r="A68" s="104"/>
      <c r="B68" s="104"/>
      <c r="C68" s="104"/>
      <c r="D68" s="104"/>
      <c r="E68" s="104"/>
    </row>
    <row r="69" spans="1:5" ht="11.25" hidden="1">
      <c r="A69" s="104"/>
      <c r="B69" s="104"/>
      <c r="C69" s="104"/>
      <c r="D69" s="104"/>
      <c r="E69" s="104"/>
    </row>
    <row r="70" spans="1:5" ht="11.25" hidden="1">
      <c r="A70" s="104"/>
      <c r="B70" s="104"/>
      <c r="C70" s="104"/>
      <c r="D70" s="104"/>
      <c r="E70" s="104"/>
    </row>
    <row r="71" spans="1:5" ht="11.25" hidden="1">
      <c r="A71" s="104"/>
      <c r="B71" s="104"/>
      <c r="C71" s="104"/>
      <c r="D71" s="104"/>
      <c r="E71" s="104"/>
    </row>
    <row r="72" spans="1:5" ht="11.25" hidden="1">
      <c r="A72" s="104"/>
      <c r="B72" s="104"/>
      <c r="C72" s="104"/>
      <c r="D72" s="104"/>
      <c r="E72" s="104"/>
    </row>
    <row r="73" spans="1:5" ht="11.25" hidden="1">
      <c r="A73" s="104"/>
      <c r="B73" s="104"/>
      <c r="C73" s="104"/>
      <c r="D73" s="104"/>
      <c r="E73" s="104"/>
    </row>
    <row r="74" spans="1:5" ht="11.25" hidden="1">
      <c r="A74" s="104"/>
      <c r="B74" s="104"/>
      <c r="C74" s="104"/>
      <c r="D74" s="104"/>
      <c r="E74" s="104"/>
    </row>
    <row r="75" spans="1:5" ht="11.25" hidden="1">
      <c r="A75" s="104"/>
      <c r="B75" s="104"/>
      <c r="C75" s="104"/>
      <c r="D75" s="104"/>
      <c r="E75" s="104"/>
    </row>
    <row r="76" spans="1:5" ht="11.25" hidden="1">
      <c r="A76" s="104"/>
      <c r="B76" s="104"/>
      <c r="C76" s="104"/>
      <c r="D76" s="104"/>
      <c r="E76" s="104"/>
    </row>
    <row r="77" spans="1:5" ht="11.25" hidden="1">
      <c r="A77" s="104"/>
      <c r="B77" s="104"/>
      <c r="C77" s="104"/>
      <c r="D77" s="104"/>
      <c r="E77" s="104"/>
    </row>
    <row r="78" spans="1:5" ht="11.25" hidden="1">
      <c r="A78" s="104"/>
      <c r="B78" s="104"/>
      <c r="C78" s="104"/>
      <c r="D78" s="104"/>
      <c r="E78" s="104"/>
    </row>
    <row r="79" spans="1:5" ht="11.25" hidden="1">
      <c r="A79" s="104"/>
      <c r="B79" s="104"/>
      <c r="C79" s="104"/>
      <c r="D79" s="104"/>
      <c r="E79" s="104"/>
    </row>
    <row r="80" spans="1:5" ht="11.25" hidden="1">
      <c r="A80" s="104"/>
      <c r="B80" s="104"/>
      <c r="C80" s="104"/>
      <c r="D80" s="104"/>
      <c r="E80" s="104"/>
    </row>
    <row r="81" spans="1:5" ht="11.25" hidden="1">
      <c r="A81" s="104"/>
      <c r="B81" s="104"/>
      <c r="C81" s="104"/>
      <c r="D81" s="104"/>
      <c r="E81" s="104"/>
    </row>
    <row r="82" spans="1:5" ht="11.25" hidden="1">
      <c r="A82" s="104"/>
      <c r="B82" s="104"/>
      <c r="C82" s="104"/>
      <c r="D82" s="104"/>
      <c r="E82" s="104"/>
    </row>
    <row r="83" spans="1:5" ht="11.25" hidden="1">
      <c r="A83" s="104"/>
      <c r="B83" s="104"/>
      <c r="C83" s="104"/>
      <c r="D83" s="104"/>
      <c r="E83" s="104"/>
    </row>
    <row r="84" spans="1:5" ht="11.25" hidden="1">
      <c r="A84" s="104"/>
      <c r="B84" s="104"/>
      <c r="C84" s="104"/>
      <c r="D84" s="104"/>
      <c r="E84" s="104"/>
    </row>
    <row r="85" spans="1:5" ht="11.25" hidden="1">
      <c r="A85" s="104"/>
      <c r="B85" s="104"/>
      <c r="C85" s="104"/>
      <c r="D85" s="104"/>
      <c r="E85" s="104"/>
    </row>
    <row r="86" spans="1:5" ht="11.25" hidden="1">
      <c r="A86" s="104"/>
      <c r="B86" s="104"/>
      <c r="C86" s="104"/>
      <c r="D86" s="104"/>
      <c r="E86" s="104"/>
    </row>
    <row r="87" spans="1:5" ht="11.25" hidden="1">
      <c r="A87" s="104"/>
      <c r="B87" s="104"/>
      <c r="C87" s="104"/>
      <c r="D87" s="104"/>
      <c r="E87" s="104"/>
    </row>
    <row r="88" spans="1:5" ht="11.25" hidden="1">
      <c r="A88" s="104"/>
      <c r="B88" s="104"/>
      <c r="C88" s="104"/>
      <c r="D88" s="104"/>
      <c r="E88" s="104"/>
    </row>
    <row r="89" spans="1:5" ht="11.25" hidden="1">
      <c r="A89" s="104"/>
      <c r="B89" s="104"/>
      <c r="C89" s="104"/>
      <c r="D89" s="104"/>
      <c r="E89" s="104"/>
    </row>
    <row r="90" spans="1:5" ht="11.25" hidden="1">
      <c r="A90" s="104"/>
      <c r="B90" s="104"/>
      <c r="C90" s="104"/>
      <c r="D90" s="104"/>
      <c r="E90" s="104"/>
    </row>
    <row r="91" spans="1:5" ht="11.25" hidden="1">
      <c r="A91" s="104"/>
      <c r="B91" s="104"/>
      <c r="C91" s="104"/>
      <c r="D91" s="104"/>
      <c r="E91" s="104"/>
    </row>
    <row r="92" spans="1:5" ht="11.25" hidden="1">
      <c r="A92" s="104"/>
      <c r="B92" s="104"/>
      <c r="C92" s="104"/>
      <c r="D92" s="104"/>
      <c r="E92" s="104"/>
    </row>
    <row r="93" spans="1:5" ht="11.25" hidden="1">
      <c r="A93" s="104"/>
      <c r="B93" s="104"/>
      <c r="C93" s="104"/>
      <c r="D93" s="104"/>
      <c r="E93" s="104"/>
    </row>
    <row r="94" spans="1:5" ht="11.25" hidden="1">
      <c r="A94" s="104"/>
      <c r="B94" s="104"/>
      <c r="C94" s="104"/>
      <c r="D94" s="104"/>
      <c r="E94" s="104"/>
    </row>
    <row r="95" spans="1:5" ht="11.25" hidden="1">
      <c r="A95" s="104"/>
      <c r="B95" s="104"/>
      <c r="C95" s="104"/>
      <c r="D95" s="104"/>
      <c r="E95" s="104"/>
    </row>
    <row r="96" spans="1:5" ht="11.25" hidden="1">
      <c r="A96" s="104"/>
      <c r="B96" s="104"/>
      <c r="C96" s="104"/>
      <c r="D96" s="104"/>
      <c r="E96" s="104"/>
    </row>
    <row r="97" spans="1:5" ht="12" thickBot="1">
      <c r="A97" s="104"/>
      <c r="B97" s="104"/>
      <c r="C97" s="104"/>
      <c r="D97" s="104"/>
      <c r="E97" s="104"/>
    </row>
    <row r="98" spans="1:5" ht="11.25">
      <c r="A98" s="84" t="s">
        <v>125</v>
      </c>
      <c r="B98" s="215"/>
      <c r="C98" s="215"/>
      <c r="D98" s="215"/>
      <c r="E98" s="86"/>
    </row>
    <row r="99" spans="1:5" ht="11.25">
      <c r="A99" s="217"/>
      <c r="B99" s="216"/>
      <c r="C99" s="216"/>
      <c r="D99" s="216"/>
      <c r="E99" s="218"/>
    </row>
    <row r="100" spans="1:5" ht="11.25">
      <c r="A100" s="217" t="s">
        <v>126</v>
      </c>
      <c r="B100" s="224" t="s">
        <v>127</v>
      </c>
      <c r="C100" s="224" t="s">
        <v>128</v>
      </c>
      <c r="D100" s="224" t="s">
        <v>129</v>
      </c>
      <c r="E100" s="225" t="s">
        <v>130</v>
      </c>
    </row>
    <row r="101" spans="1:5" ht="11.25">
      <c r="A101" s="217">
        <v>0</v>
      </c>
      <c r="B101" s="224"/>
      <c r="C101" s="224"/>
      <c r="D101" s="224"/>
      <c r="E101" s="225">
        <v>-155782.5466666667</v>
      </c>
    </row>
    <row r="102" spans="1:5" ht="11.25">
      <c r="A102" s="217">
        <v>1</v>
      </c>
      <c r="B102" s="224">
        <v>-40373.17954023567</v>
      </c>
      <c r="C102" s="224">
        <v>-25869.824445569004</v>
      </c>
      <c r="D102" s="224">
        <v>-14503.35509466667</v>
      </c>
      <c r="E102" s="225">
        <v>-129912.72222109769</v>
      </c>
    </row>
    <row r="103" spans="1:5" ht="11.25">
      <c r="A103" s="217">
        <v>2</v>
      </c>
      <c r="B103" s="224">
        <v>-40373.17954023567</v>
      </c>
      <c r="C103" s="224">
        <v>-28278.30510145148</v>
      </c>
      <c r="D103" s="224">
        <v>-12094.874438784196</v>
      </c>
      <c r="E103" s="225">
        <v>-101634.41711964621</v>
      </c>
    </row>
    <row r="104" spans="1:5" ht="11.25">
      <c r="A104" s="217">
        <v>3</v>
      </c>
      <c r="B104" s="224">
        <v>-40373.17954023567</v>
      </c>
      <c r="C104" s="224">
        <v>-30911.01530639661</v>
      </c>
      <c r="D104" s="224">
        <v>-9462.164233839063</v>
      </c>
      <c r="E104" s="225">
        <v>-70723.4018132496</v>
      </c>
    </row>
    <row r="105" spans="1:5" ht="11.25">
      <c r="A105" s="217">
        <v>4</v>
      </c>
      <c r="B105" s="224">
        <v>-40373.17954023567</v>
      </c>
      <c r="C105" s="224">
        <v>-33788.830831422136</v>
      </c>
      <c r="D105" s="224">
        <v>-6584.348708813538</v>
      </c>
      <c r="E105" s="225">
        <v>-36934.57098182746</v>
      </c>
    </row>
    <row r="106" spans="1:5" ht="12" thickBot="1">
      <c r="A106" s="219">
        <v>5</v>
      </c>
      <c r="B106" s="226">
        <v>-40373.17954023567</v>
      </c>
      <c r="C106" s="226">
        <v>-36934.570981827535</v>
      </c>
      <c r="D106" s="226">
        <v>-3438.608558408137</v>
      </c>
      <c r="E106" s="227">
        <v>7.275957614183426E-11</v>
      </c>
    </row>
    <row r="107" spans="2:4" ht="11.25">
      <c r="B107" s="29">
        <v>-201865.89770117836</v>
      </c>
      <c r="C107" s="29">
        <v>-155782.54666666675</v>
      </c>
      <c r="D107" s="29">
        <v>-46083.35103451161</v>
      </c>
    </row>
  </sheetData>
  <sheetProtection/>
  <mergeCells count="1">
    <mergeCell ref="A6:G6"/>
  </mergeCells>
  <printOptions/>
  <pageMargins left="0.75" right="0.75" top="1" bottom="1" header="0" footer="0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A1" sqref="A1"/>
    </sheetView>
  </sheetViews>
  <sheetFormatPr defaultColWidth="11.421875" defaultRowHeight="15"/>
  <cols>
    <col min="2" max="2" width="7.00390625" style="0" customWidth="1"/>
    <col min="3" max="5" width="14.421875" style="0" customWidth="1"/>
    <col min="6" max="6" width="13.140625" style="0" bestFit="1" customWidth="1"/>
  </cols>
  <sheetData>
    <row r="1" ht="15">
      <c r="A1" s="307" t="s">
        <v>244</v>
      </c>
    </row>
    <row r="3" ht="15.75" thickBot="1"/>
    <row r="4" spans="1:4" ht="15.75" thickBot="1">
      <c r="A4" s="361" t="s">
        <v>122</v>
      </c>
      <c r="B4" s="362"/>
      <c r="C4" s="363"/>
      <c r="D4" s="197">
        <v>0.0931</v>
      </c>
    </row>
    <row r="5" spans="1:4" ht="15">
      <c r="A5" s="364" t="s">
        <v>123</v>
      </c>
      <c r="B5" s="365"/>
      <c r="C5" s="366"/>
      <c r="D5" s="198">
        <v>1</v>
      </c>
    </row>
    <row r="6" spans="1:4" ht="15.75" thickBot="1">
      <c r="A6" s="367" t="s">
        <v>124</v>
      </c>
      <c r="B6" s="368"/>
      <c r="C6" s="369"/>
      <c r="D6" s="199">
        <v>5</v>
      </c>
    </row>
    <row r="7" ht="15.75" thickBot="1">
      <c r="D7" s="200"/>
    </row>
    <row r="8" spans="2:6" ht="15.75" thickBot="1">
      <c r="B8" s="370" t="s">
        <v>125</v>
      </c>
      <c r="C8" s="371"/>
      <c r="D8" s="371"/>
      <c r="E8" s="371"/>
      <c r="F8" s="372"/>
    </row>
    <row r="9" spans="2:6" ht="13.5" customHeight="1" thickBot="1">
      <c r="B9" s="192"/>
      <c r="C9" s="192"/>
      <c r="D9" s="192"/>
      <c r="E9" s="192"/>
      <c r="F9" s="192"/>
    </row>
    <row r="10" spans="2:6" ht="15.75" thickBot="1">
      <c r="B10" s="236" t="s">
        <v>126</v>
      </c>
      <c r="C10" s="237" t="s">
        <v>127</v>
      </c>
      <c r="D10" s="237" t="s">
        <v>128</v>
      </c>
      <c r="E10" s="237" t="s">
        <v>129</v>
      </c>
      <c r="F10" s="238" t="s">
        <v>130</v>
      </c>
    </row>
    <row r="11" spans="2:6" ht="15">
      <c r="B11" s="239">
        <v>0</v>
      </c>
      <c r="C11" s="229"/>
      <c r="D11" s="229"/>
      <c r="E11" s="229"/>
      <c r="F11" s="222">
        <f>+D25</f>
        <v>-155782.5466666667</v>
      </c>
    </row>
    <row r="12" spans="2:7" ht="15">
      <c r="B12" s="240">
        <v>1</v>
      </c>
      <c r="C12" s="223">
        <f>PMT($D$4,$D$6,$F$11,0)*-1</f>
        <v>-40373.17954023567</v>
      </c>
      <c r="D12" s="223">
        <f>+C12-E12</f>
        <v>-25869.824445569004</v>
      </c>
      <c r="E12" s="223">
        <f>+F11*$D$4</f>
        <v>-14503.35509466667</v>
      </c>
      <c r="F12" s="230">
        <f>+F11-D12</f>
        <v>-129912.72222109769</v>
      </c>
      <c r="G12" s="234"/>
    </row>
    <row r="13" spans="2:6" ht="15">
      <c r="B13" s="240">
        <v>2</v>
      </c>
      <c r="C13" s="223">
        <f>PMT($D$4,$D$6,$F$11,0)*-1</f>
        <v>-40373.17954023567</v>
      </c>
      <c r="D13" s="223">
        <f>+C13-E13</f>
        <v>-28278.30510145148</v>
      </c>
      <c r="E13" s="223">
        <f>+F12*$D$4</f>
        <v>-12094.874438784196</v>
      </c>
      <c r="F13" s="230">
        <f>+F12-D13</f>
        <v>-101634.41711964621</v>
      </c>
    </row>
    <row r="14" spans="2:6" ht="15">
      <c r="B14" s="240">
        <v>3</v>
      </c>
      <c r="C14" s="223">
        <f>PMT($D$4,$D$6,$F$11,0)*-1</f>
        <v>-40373.17954023567</v>
      </c>
      <c r="D14" s="223">
        <f>+C14-E14</f>
        <v>-30911.01530639661</v>
      </c>
      <c r="E14" s="223">
        <f>+F13*$D$4</f>
        <v>-9462.164233839063</v>
      </c>
      <c r="F14" s="230">
        <f>+F13-D14</f>
        <v>-70723.4018132496</v>
      </c>
    </row>
    <row r="15" spans="1:6" ht="15">
      <c r="A15" s="201"/>
      <c r="B15" s="240">
        <v>4</v>
      </c>
      <c r="C15" s="223">
        <f>PMT($D$4,$D$6,$F$11,0)*-1</f>
        <v>-40373.17954023567</v>
      </c>
      <c r="D15" s="223">
        <f>+C15-E15</f>
        <v>-33788.830831422136</v>
      </c>
      <c r="E15" s="223">
        <f>+F14*$D$4</f>
        <v>-6584.348708813538</v>
      </c>
      <c r="F15" s="230">
        <f>+F14-D15</f>
        <v>-36934.57098182746</v>
      </c>
    </row>
    <row r="16" spans="1:6" ht="15.75" thickBot="1">
      <c r="A16" s="201"/>
      <c r="B16" s="241">
        <v>5</v>
      </c>
      <c r="C16" s="223">
        <f>PMT($D$4,$D$6,$F$11,0)*-1</f>
        <v>-40373.17954023567</v>
      </c>
      <c r="D16" s="223">
        <f>+C16-E16</f>
        <v>-36934.570981827535</v>
      </c>
      <c r="E16" s="223">
        <f>+F15*$D$4</f>
        <v>-3438.608558408137</v>
      </c>
      <c r="F16" s="230">
        <f>+F15-D16</f>
        <v>7.275957614183426E-11</v>
      </c>
    </row>
    <row r="17" spans="1:6" ht="15.75" thickBot="1">
      <c r="A17" s="202"/>
      <c r="B17" s="242"/>
      <c r="C17" s="203">
        <f>SUM(C12:C16)</f>
        <v>-201865.89770117836</v>
      </c>
      <c r="D17" s="203">
        <f>SUM(D12:D16)</f>
        <v>-155782.54666666675</v>
      </c>
      <c r="E17" s="203">
        <f>SUM(E12:E16)</f>
        <v>-46083.35103451161</v>
      </c>
      <c r="F17" s="204"/>
    </row>
    <row r="18" ht="15">
      <c r="A18" s="201"/>
    </row>
    <row r="19" ht="15.75" thickBot="1"/>
    <row r="20" spans="2:4" ht="15.75" thickBot="1">
      <c r="B20" s="370" t="s">
        <v>131</v>
      </c>
      <c r="C20" s="371"/>
      <c r="D20" s="372"/>
    </row>
    <row r="21" ht="6" customHeight="1" thickBot="1"/>
    <row r="22" spans="2:4" ht="15.75" thickBot="1">
      <c r="B22" s="374" t="s">
        <v>71</v>
      </c>
      <c r="C22" s="375"/>
      <c r="D22" s="205">
        <f>+'fc 60% deuda'!B46</f>
        <v>-154095.04</v>
      </c>
    </row>
    <row r="23" spans="2:4" ht="15.75" thickBot="1">
      <c r="B23" s="206" t="s">
        <v>132</v>
      </c>
      <c r="C23" s="207"/>
      <c r="D23" s="208">
        <f>+'fc 60% deuda'!B48</f>
        <v>-1687.506666666668</v>
      </c>
    </row>
    <row r="24" spans="2:5" ht="15">
      <c r="B24" s="209" t="s">
        <v>133</v>
      </c>
      <c r="C24" s="210"/>
      <c r="D24" s="211">
        <f>SUM(D22:D23)</f>
        <v>-155782.5466666667</v>
      </c>
      <c r="E24" s="359">
        <f>+D24-D25</f>
        <v>0</v>
      </c>
    </row>
    <row r="25" spans="2:5" ht="15.75" thickBot="1">
      <c r="B25" s="212" t="s">
        <v>134</v>
      </c>
      <c r="C25" s="213"/>
      <c r="D25" s="214">
        <f>+D24*$D$5</f>
        <v>-155782.5466666667</v>
      </c>
      <c r="E25" s="360"/>
    </row>
    <row r="26" spans="4:5" ht="15">
      <c r="D26" t="s">
        <v>138</v>
      </c>
      <c r="E26" t="s">
        <v>137</v>
      </c>
    </row>
    <row r="30" ht="15">
      <c r="C30" s="243" t="s">
        <v>145</v>
      </c>
    </row>
    <row r="32" spans="3:4" ht="15">
      <c r="C32" s="246" t="s">
        <v>141</v>
      </c>
      <c r="D32" s="247">
        <f>+D4</f>
        <v>0.0931</v>
      </c>
    </row>
    <row r="33" spans="3:4" ht="15">
      <c r="C33" s="246" t="s">
        <v>142</v>
      </c>
      <c r="D33" s="247">
        <f>+D5</f>
        <v>1</v>
      </c>
    </row>
    <row r="34" spans="3:4" ht="15">
      <c r="C34" s="246" t="s">
        <v>143</v>
      </c>
      <c r="D34" s="247">
        <f>+'tasa de descuento'!$F$14</f>
        <v>0.10247414198615473</v>
      </c>
    </row>
    <row r="35" spans="3:4" ht="15">
      <c r="C35" s="246" t="s">
        <v>144</v>
      </c>
      <c r="D35" s="247">
        <f>1-D33</f>
        <v>0</v>
      </c>
    </row>
    <row r="36" spans="3:4" ht="15">
      <c r="C36" s="248" t="s">
        <v>147</v>
      </c>
      <c r="D36" s="249">
        <v>0.25</v>
      </c>
    </row>
    <row r="37" ht="15.75" thickBot="1"/>
    <row r="38" spans="3:4" ht="15.75" thickBot="1">
      <c r="C38" s="244" t="s">
        <v>146</v>
      </c>
      <c r="D38" s="245">
        <f>+D32*(1-D36)*D33+D34*D35</f>
        <v>0.069825</v>
      </c>
    </row>
  </sheetData>
  <sheetProtection/>
  <mergeCells count="7">
    <mergeCell ref="B20:D20"/>
    <mergeCell ref="B22:C22"/>
    <mergeCell ref="E24:E25"/>
    <mergeCell ref="A4:C4"/>
    <mergeCell ref="A5:C5"/>
    <mergeCell ref="A6:C6"/>
    <mergeCell ref="B8:F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E2" sqref="D2:E2"/>
    </sheetView>
  </sheetViews>
  <sheetFormatPr defaultColWidth="10.00390625" defaultRowHeight="15"/>
  <cols>
    <col min="1" max="1" width="10.00390625" style="250" customWidth="1"/>
    <col min="2" max="2" width="19.140625" style="250" customWidth="1"/>
    <col min="3" max="16384" width="10.00390625" style="250" customWidth="1"/>
  </cols>
  <sheetData>
    <row r="1" ht="15">
      <c r="A1" s="307" t="s">
        <v>231</v>
      </c>
    </row>
    <row r="2" ht="14.25">
      <c r="A2" s="307"/>
    </row>
    <row r="3" ht="14.25">
      <c r="A3" s="307"/>
    </row>
    <row r="4" spans="2:5" ht="15.75">
      <c r="B4" s="329" t="s">
        <v>202</v>
      </c>
      <c r="C4" s="329"/>
      <c r="D4" s="329"/>
      <c r="E4" s="329"/>
    </row>
    <row r="5" spans="2:5" ht="9.75" customHeight="1">
      <c r="B5" s="307"/>
      <c r="C5" s="307"/>
      <c r="D5" s="307"/>
      <c r="E5" s="307"/>
    </row>
    <row r="6" spans="2:5" ht="15">
      <c r="B6" s="308" t="s">
        <v>203</v>
      </c>
      <c r="C6" s="254" t="s">
        <v>204</v>
      </c>
      <c r="D6" s="254" t="s">
        <v>205</v>
      </c>
      <c r="E6" s="254" t="s">
        <v>206</v>
      </c>
    </row>
    <row r="7" spans="2:5" ht="14.25">
      <c r="B7" s="309" t="s">
        <v>207</v>
      </c>
      <c r="C7" s="310">
        <v>0.24</v>
      </c>
      <c r="D7" s="310">
        <v>0.25</v>
      </c>
      <c r="E7" s="310">
        <v>0.27</v>
      </c>
    </row>
    <row r="8" spans="2:5" ht="14.25">
      <c r="B8" s="309" t="s">
        <v>208</v>
      </c>
      <c r="C8" s="311">
        <v>1.5</v>
      </c>
      <c r="D8" s="311">
        <v>1.5</v>
      </c>
      <c r="E8" s="311">
        <v>1.5</v>
      </c>
    </row>
    <row r="9" spans="2:5" ht="14.25">
      <c r="B9" s="309" t="s">
        <v>209</v>
      </c>
      <c r="C9" s="311">
        <v>0.2</v>
      </c>
      <c r="D9" s="311">
        <v>0.2</v>
      </c>
      <c r="E9" s="311">
        <v>0.2</v>
      </c>
    </row>
    <row r="10" spans="2:5" ht="14.25">
      <c r="B10" s="309" t="s">
        <v>210</v>
      </c>
      <c r="C10" s="257">
        <f>+C7*(1+C8)</f>
        <v>0.6</v>
      </c>
      <c r="D10" s="257">
        <f>+D7*(1+D8)</f>
        <v>0.625</v>
      </c>
      <c r="E10" s="257">
        <f>+E7*(1+E8)</f>
        <v>0.675</v>
      </c>
    </row>
    <row r="11" spans="2:5" ht="14.25">
      <c r="B11" s="309" t="s">
        <v>211</v>
      </c>
      <c r="C11" s="257">
        <f>+C10*(1+C9)</f>
        <v>0.72</v>
      </c>
      <c r="D11" s="257">
        <f>+D10*(1+D9)</f>
        <v>0.75</v>
      </c>
      <c r="E11" s="257">
        <f>+E10*(1+E9)</f>
        <v>0.81</v>
      </c>
    </row>
    <row r="12" spans="2:5" ht="15">
      <c r="B12" s="312" t="s">
        <v>212</v>
      </c>
      <c r="C12" s="313">
        <v>0.8</v>
      </c>
      <c r="D12" s="313">
        <v>0.8</v>
      </c>
      <c r="E12" s="313">
        <v>0.85</v>
      </c>
    </row>
    <row r="13" spans="2:5" ht="15">
      <c r="B13" s="314" t="s">
        <v>213</v>
      </c>
      <c r="C13" s="307"/>
      <c r="D13" s="307"/>
      <c r="E13" s="307"/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16" sqref="A16"/>
    </sheetView>
  </sheetViews>
  <sheetFormatPr defaultColWidth="10.00390625" defaultRowHeight="15"/>
  <cols>
    <col min="1" max="1" width="10.00390625" style="250" customWidth="1"/>
    <col min="2" max="2" width="29.421875" style="250" customWidth="1"/>
    <col min="3" max="3" width="18.140625" style="250" customWidth="1"/>
    <col min="4" max="16384" width="10.00390625" style="250" customWidth="1"/>
  </cols>
  <sheetData>
    <row r="1" ht="15">
      <c r="A1" s="307" t="s">
        <v>254</v>
      </c>
    </row>
    <row r="6" spans="2:3" ht="18">
      <c r="B6" s="330" t="s">
        <v>214</v>
      </c>
      <c r="C6" s="330"/>
    </row>
    <row r="7" spans="2:3" ht="10.5" customHeight="1">
      <c r="B7" s="275"/>
      <c r="C7" s="275"/>
    </row>
    <row r="8" spans="2:3" ht="18">
      <c r="B8" s="315" t="s">
        <v>82</v>
      </c>
      <c r="C8" s="316">
        <f>6400</f>
        <v>6400</v>
      </c>
    </row>
    <row r="9" spans="2:3" ht="18">
      <c r="B9" s="315" t="s">
        <v>72</v>
      </c>
      <c r="C9" s="317">
        <f>+'[2]Pauta de T.V. '!Z22+'[2]Plan de Medios Prensa'!S19</f>
        <v>12600</v>
      </c>
    </row>
    <row r="10" spans="2:3" ht="18">
      <c r="B10" s="315" t="s">
        <v>235</v>
      </c>
      <c r="C10" s="316">
        <f>+'[2]Promocion'!N7</f>
        <v>4000</v>
      </c>
    </row>
    <row r="11" spans="2:3" ht="18">
      <c r="B11" s="315" t="s">
        <v>114</v>
      </c>
      <c r="C11" s="316">
        <v>100000</v>
      </c>
    </row>
    <row r="13" spans="2:3" ht="18">
      <c r="B13" s="318" t="s">
        <v>215</v>
      </c>
      <c r="C13" s="319">
        <f>+C11+C10+C9+C8</f>
        <v>123000</v>
      </c>
    </row>
    <row r="14" ht="15">
      <c r="B14" s="314" t="s">
        <v>213</v>
      </c>
    </row>
    <row r="21" ht="16.5">
      <c r="A21" s="320"/>
    </row>
    <row r="22" ht="12.75">
      <c r="A22" s="321" t="s">
        <v>216</v>
      </c>
    </row>
    <row r="23" spans="1:3" ht="15.75">
      <c r="A23" s="321"/>
      <c r="B23" s="333" t="s">
        <v>233</v>
      </c>
      <c r="C23" s="333"/>
    </row>
    <row r="24" spans="2:3" ht="12.75">
      <c r="B24" s="331" t="s">
        <v>217</v>
      </c>
      <c r="C24" s="334" t="s">
        <v>218</v>
      </c>
    </row>
    <row r="25" spans="2:3" ht="8.25" customHeight="1" thickBot="1">
      <c r="B25" s="332"/>
      <c r="C25" s="335"/>
    </row>
    <row r="26" spans="2:3" ht="18.75" customHeight="1" thickBot="1">
      <c r="B26" s="322" t="s">
        <v>234</v>
      </c>
      <c r="C26" s="323">
        <v>20000</v>
      </c>
    </row>
    <row r="27" spans="2:3" ht="39" customHeight="1" thickBot="1">
      <c r="B27" s="322" t="s">
        <v>219</v>
      </c>
      <c r="C27" s="324" t="s">
        <v>220</v>
      </c>
    </row>
    <row r="28" spans="2:3" ht="13.5" thickBot="1">
      <c r="B28" s="322" t="s">
        <v>221</v>
      </c>
      <c r="C28" s="324" t="s">
        <v>222</v>
      </c>
    </row>
    <row r="29" spans="2:3" ht="13.5" thickBot="1">
      <c r="B29" s="322" t="s">
        <v>223</v>
      </c>
      <c r="C29" s="324" t="s">
        <v>224</v>
      </c>
    </row>
    <row r="30" spans="2:3" ht="17.25" customHeight="1" thickBot="1">
      <c r="B30" s="322" t="s">
        <v>225</v>
      </c>
      <c r="C30" s="324" t="s">
        <v>226</v>
      </c>
    </row>
    <row r="31" spans="2:3" ht="13.5" thickBot="1">
      <c r="B31" s="322" t="s">
        <v>227</v>
      </c>
      <c r="C31" s="324">
        <v>80073</v>
      </c>
    </row>
    <row r="32" spans="2:3" ht="13.5" thickBot="1">
      <c r="B32" s="322" t="s">
        <v>228</v>
      </c>
      <c r="C32" s="324">
        <v>2003</v>
      </c>
    </row>
  </sheetData>
  <sheetProtection/>
  <mergeCells count="4">
    <mergeCell ref="B6:C6"/>
    <mergeCell ref="B24:B25"/>
    <mergeCell ref="B23:C23"/>
    <mergeCell ref="C24:C2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10.00390625" defaultRowHeight="15"/>
  <cols>
    <col min="1" max="1" width="10.00390625" style="250" customWidth="1"/>
    <col min="2" max="2" width="14.00390625" style="250" customWidth="1"/>
    <col min="3" max="3" width="7.421875" style="250" bestFit="1" customWidth="1"/>
    <col min="4" max="4" width="28.28125" style="250" bestFit="1" customWidth="1"/>
    <col min="5" max="5" width="12.00390625" style="250" customWidth="1"/>
    <col min="6" max="6" width="10.140625" style="250" bestFit="1" customWidth="1"/>
    <col min="7" max="9" width="5.421875" style="272" customWidth="1"/>
    <col min="10" max="10" width="20.28125" style="250" customWidth="1"/>
    <col min="11" max="16384" width="10.00390625" style="250" customWidth="1"/>
  </cols>
  <sheetData>
    <row r="1" spans="1:8" ht="15">
      <c r="A1" s="307" t="s">
        <v>236</v>
      </c>
      <c r="H1" s="307" t="s">
        <v>232</v>
      </c>
    </row>
    <row r="5" spans="2:9" ht="12.75">
      <c r="B5" s="337" t="s">
        <v>169</v>
      </c>
      <c r="C5" s="338"/>
      <c r="D5" s="338"/>
      <c r="E5" s="338"/>
      <c r="F5" s="339"/>
      <c r="G5" s="271"/>
      <c r="H5" s="271"/>
      <c r="I5" s="271"/>
    </row>
    <row r="6" spans="10:13" ht="15.75" customHeight="1">
      <c r="J6" s="336" t="s">
        <v>170</v>
      </c>
      <c r="K6" s="336"/>
      <c r="L6" s="336"/>
      <c r="M6" s="336"/>
    </row>
    <row r="7" spans="2:13" ht="10.5" customHeight="1">
      <c r="B7" s="273" t="s">
        <v>171</v>
      </c>
      <c r="C7" s="340" t="s">
        <v>172</v>
      </c>
      <c r="D7" s="341"/>
      <c r="E7" s="274" t="s">
        <v>173</v>
      </c>
      <c r="J7" s="275"/>
      <c r="K7" s="275"/>
      <c r="L7" s="275"/>
      <c r="M7" s="275"/>
    </row>
    <row r="8" spans="3:13" ht="18">
      <c r="C8" s="276" t="s">
        <v>174</v>
      </c>
      <c r="D8" s="276" t="s">
        <v>175</v>
      </c>
      <c r="E8" s="277"/>
      <c r="J8" s="278" t="s">
        <v>176</v>
      </c>
      <c r="K8" s="278" t="s">
        <v>177</v>
      </c>
      <c r="L8" s="278" t="s">
        <v>178</v>
      </c>
      <c r="M8" s="278" t="s">
        <v>179</v>
      </c>
    </row>
    <row r="9" spans="2:13" ht="18">
      <c r="B9" s="279" t="s">
        <v>180</v>
      </c>
      <c r="C9" s="277">
        <v>168214</v>
      </c>
      <c r="D9" s="277">
        <v>164347</v>
      </c>
      <c r="E9" s="277">
        <f>+C9+D9</f>
        <v>332561</v>
      </c>
      <c r="J9" s="280" t="s">
        <v>181</v>
      </c>
      <c r="K9" s="281">
        <v>9000</v>
      </c>
      <c r="L9" s="281">
        <v>9000</v>
      </c>
      <c r="M9" s="281">
        <v>9000</v>
      </c>
    </row>
    <row r="10" spans="2:13" ht="18">
      <c r="B10" s="282"/>
      <c r="C10" s="282"/>
      <c r="D10" s="282"/>
      <c r="E10" s="282"/>
      <c r="F10" s="283"/>
      <c r="G10" s="283"/>
      <c r="H10" s="283"/>
      <c r="I10" s="283"/>
      <c r="J10" s="280" t="s">
        <v>182</v>
      </c>
      <c r="K10" s="281">
        <v>6500</v>
      </c>
      <c r="L10" s="281">
        <v>6500</v>
      </c>
      <c r="M10" s="281">
        <v>6500</v>
      </c>
    </row>
    <row r="11" spans="10:13" ht="18">
      <c r="J11" s="280" t="s">
        <v>183</v>
      </c>
      <c r="K11" s="281">
        <v>9000</v>
      </c>
      <c r="L11" s="281">
        <v>9000</v>
      </c>
      <c r="M11" s="281">
        <v>9000</v>
      </c>
    </row>
    <row r="12" spans="2:10" ht="15.75">
      <c r="B12" s="250" t="s">
        <v>184</v>
      </c>
      <c r="J12" s="284" t="s">
        <v>185</v>
      </c>
    </row>
    <row r="14" spans="2:4" ht="12.75">
      <c r="B14" s="285" t="s">
        <v>186</v>
      </c>
      <c r="D14" s="285">
        <f>+E9</f>
        <v>332561</v>
      </c>
    </row>
    <row r="15" spans="5:9" ht="12.75">
      <c r="E15" s="286" t="s">
        <v>187</v>
      </c>
      <c r="F15" s="286" t="s">
        <v>188</v>
      </c>
      <c r="G15" s="287"/>
      <c r="H15" s="287"/>
      <c r="I15" s="287"/>
    </row>
    <row r="16" spans="2:9" ht="12.75">
      <c r="B16" s="342" t="s">
        <v>189</v>
      </c>
      <c r="C16" s="343"/>
      <c r="D16" s="344"/>
      <c r="E16" s="288">
        <v>0.97</v>
      </c>
      <c r="F16" s="289">
        <f>+D14*E16</f>
        <v>322584.17</v>
      </c>
      <c r="G16" s="290"/>
      <c r="H16" s="290"/>
      <c r="I16" s="290"/>
    </row>
    <row r="17" spans="2:9" ht="12.75">
      <c r="B17" s="291" t="s">
        <v>190</v>
      </c>
      <c r="C17" s="292"/>
      <c r="D17" s="292"/>
      <c r="E17" s="293">
        <v>0.8</v>
      </c>
      <c r="F17" s="294">
        <f>+F16*E17</f>
        <v>258067.336</v>
      </c>
      <c r="G17" s="290"/>
      <c r="H17" s="290"/>
      <c r="I17" s="290"/>
    </row>
    <row r="18" spans="2:9" ht="12.75">
      <c r="B18" s="291" t="s">
        <v>191</v>
      </c>
      <c r="C18" s="292"/>
      <c r="D18" s="292"/>
      <c r="E18" s="293">
        <v>0.33</v>
      </c>
      <c r="F18" s="294">
        <f>+E18*F17</f>
        <v>85162.22088000001</v>
      </c>
      <c r="G18" s="290"/>
      <c r="H18" s="290"/>
      <c r="I18" s="290"/>
    </row>
    <row r="19" spans="2:9" ht="12.75">
      <c r="B19" s="291" t="s">
        <v>192</v>
      </c>
      <c r="C19" s="292"/>
      <c r="D19" s="292"/>
      <c r="E19" s="293">
        <v>0.97</v>
      </c>
      <c r="F19" s="295">
        <f>+F18*E19</f>
        <v>82607.3542536</v>
      </c>
      <c r="G19" s="296"/>
      <c r="H19" s="296"/>
      <c r="I19" s="296"/>
    </row>
    <row r="20" spans="2:9" ht="12.75">
      <c r="B20" s="291" t="s">
        <v>193</v>
      </c>
      <c r="C20" s="292"/>
      <c r="D20" s="292"/>
      <c r="E20" s="293">
        <v>0.36</v>
      </c>
      <c r="F20" s="294">
        <f>+F19*E20</f>
        <v>29738.647531296</v>
      </c>
      <c r="G20" s="290"/>
      <c r="H20" s="290"/>
      <c r="I20" s="290"/>
    </row>
    <row r="21" spans="2:9" ht="12.75">
      <c r="B21" s="291" t="s">
        <v>194</v>
      </c>
      <c r="E21" s="293">
        <v>0.27</v>
      </c>
      <c r="F21" s="297">
        <f>+F19*E21</f>
        <v>22303.985648472</v>
      </c>
      <c r="G21" s="298"/>
      <c r="H21" s="298"/>
      <c r="I21" s="298"/>
    </row>
    <row r="22" spans="2:9" ht="12.75">
      <c r="B22" s="291" t="s">
        <v>195</v>
      </c>
      <c r="E22" s="293">
        <v>0.37</v>
      </c>
      <c r="F22" s="299">
        <f>+F19*E22</f>
        <v>30564.721073832</v>
      </c>
      <c r="G22" s="300"/>
      <c r="H22" s="300"/>
      <c r="I22" s="300"/>
    </row>
    <row r="23" spans="2:9" ht="12.75">
      <c r="B23" s="291"/>
      <c r="E23" s="293"/>
      <c r="F23" s="299"/>
      <c r="G23" s="300"/>
      <c r="H23" s="300"/>
      <c r="I23" s="300"/>
    </row>
    <row r="25" spans="2:5" ht="12.75">
      <c r="B25" s="263" t="s">
        <v>196</v>
      </c>
      <c r="E25" s="301">
        <v>0.3</v>
      </c>
    </row>
    <row r="27" spans="2:9" ht="12.75">
      <c r="B27" s="302"/>
      <c r="F27" s="303"/>
      <c r="G27" s="304"/>
      <c r="H27" s="304"/>
      <c r="I27" s="304"/>
    </row>
    <row r="28" spans="2:9" ht="12.75">
      <c r="B28" s="302"/>
      <c r="F28" s="303"/>
      <c r="G28" s="304"/>
      <c r="H28" s="304"/>
      <c r="I28" s="304"/>
    </row>
    <row r="29" spans="2:9" ht="12.75">
      <c r="B29" s="302"/>
      <c r="D29" s="305" t="s">
        <v>197</v>
      </c>
      <c r="E29" s="306">
        <f>+F20*$E$25</f>
        <v>8921.5942593888</v>
      </c>
      <c r="F29" s="303"/>
      <c r="G29" s="304"/>
      <c r="H29" s="304"/>
      <c r="I29" s="304"/>
    </row>
    <row r="30" spans="4:9" ht="12.75">
      <c r="D30" s="305" t="s">
        <v>198</v>
      </c>
      <c r="E30" s="306">
        <f>+F21*$E$25</f>
        <v>6691.1956945416</v>
      </c>
      <c r="F30" s="303"/>
      <c r="G30" s="304"/>
      <c r="H30" s="304"/>
      <c r="I30" s="304"/>
    </row>
    <row r="31" spans="2:9" ht="12.75">
      <c r="B31" s="302"/>
      <c r="D31" s="305" t="s">
        <v>199</v>
      </c>
      <c r="E31" s="306">
        <f>+F22*$E$25</f>
        <v>9169.4163221496</v>
      </c>
      <c r="F31" s="303"/>
      <c r="G31" s="304"/>
      <c r="H31" s="304"/>
      <c r="I31" s="304"/>
    </row>
    <row r="32" spans="6:9" ht="12.75">
      <c r="F32" s="303"/>
      <c r="G32" s="304"/>
      <c r="H32" s="304"/>
      <c r="I32" s="304"/>
    </row>
    <row r="34" ht="12.75">
      <c r="B34" s="345"/>
    </row>
    <row r="35" ht="12.75">
      <c r="B35" s="345"/>
    </row>
    <row r="36" ht="12.75">
      <c r="B36" s="345"/>
    </row>
    <row r="37" ht="12.75">
      <c r="B37" s="345"/>
    </row>
    <row r="38" ht="12.75">
      <c r="B38" s="345"/>
    </row>
    <row r="39" ht="12.75">
      <c r="B39" s="345"/>
    </row>
    <row r="40" ht="12.75">
      <c r="B40" s="345"/>
    </row>
    <row r="41" ht="12.75">
      <c r="B41" s="345"/>
    </row>
    <row r="42" ht="12.75">
      <c r="B42" s="345"/>
    </row>
    <row r="43" ht="12.75">
      <c r="B43" s="345"/>
    </row>
    <row r="44" ht="12.75">
      <c r="B44" s="345"/>
    </row>
    <row r="45" ht="12.75">
      <c r="B45" s="345"/>
    </row>
    <row r="46" ht="12.75">
      <c r="B46" s="345"/>
    </row>
    <row r="47" ht="12.75">
      <c r="B47" s="345"/>
    </row>
    <row r="48" ht="12.75">
      <c r="B48" s="345"/>
    </row>
    <row r="49" ht="12.75">
      <c r="B49" s="345"/>
    </row>
    <row r="50" ht="12.75"/>
    <row r="51" spans="2:4" ht="12.75">
      <c r="B51" s="263" t="s">
        <v>200</v>
      </c>
      <c r="D51" s="250" t="s">
        <v>201</v>
      </c>
    </row>
  </sheetData>
  <sheetProtection/>
  <mergeCells count="5">
    <mergeCell ref="J6:M6"/>
    <mergeCell ref="B5:F5"/>
    <mergeCell ref="C7:D7"/>
    <mergeCell ref="B16:D16"/>
    <mergeCell ref="B34:B4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1" sqref="A1"/>
    </sheetView>
  </sheetViews>
  <sheetFormatPr defaultColWidth="11.421875" defaultRowHeight="15"/>
  <cols>
    <col min="3" max="3" width="9.421875" style="0" bestFit="1" customWidth="1"/>
    <col min="7" max="7" width="32.140625" style="0" bestFit="1" customWidth="1"/>
    <col min="8" max="8" width="65.28125" style="0" bestFit="1" customWidth="1"/>
    <col min="9" max="9" width="0.5625" style="0" customWidth="1"/>
  </cols>
  <sheetData>
    <row r="1" ht="15">
      <c r="A1" s="307" t="s">
        <v>237</v>
      </c>
    </row>
    <row r="5" spans="1:2" ht="15">
      <c r="A5" s="21" t="s">
        <v>13</v>
      </c>
      <c r="B5" s="21" t="s">
        <v>14</v>
      </c>
    </row>
    <row r="6" spans="1:3" ht="15">
      <c r="A6" s="22" t="s">
        <v>15</v>
      </c>
      <c r="B6" s="25">
        <v>11.23</v>
      </c>
      <c r="C6" s="26">
        <f aca="true" t="shared" si="0" ref="C6:C37">(B6-B7)/B7</f>
        <v>0.01628959276018097</v>
      </c>
    </row>
    <row r="7" spans="1:3" ht="15">
      <c r="A7" s="24">
        <v>39264</v>
      </c>
      <c r="B7" s="25">
        <v>11.05</v>
      </c>
      <c r="C7" s="26">
        <f t="shared" si="0"/>
        <v>-0.012511170688114281</v>
      </c>
    </row>
    <row r="8" spans="1:3" ht="15">
      <c r="A8" s="24">
        <v>39234</v>
      </c>
      <c r="B8" s="25">
        <v>11.19</v>
      </c>
      <c r="C8" s="26">
        <f t="shared" si="0"/>
        <v>0.11676646706586827</v>
      </c>
    </row>
    <row r="9" spans="1:3" ht="15">
      <c r="A9" s="24">
        <v>39203</v>
      </c>
      <c r="B9" s="25">
        <v>10.02</v>
      </c>
      <c r="C9" s="26">
        <f t="shared" si="0"/>
        <v>-0.07734806629834254</v>
      </c>
    </row>
    <row r="10" spans="1:3" ht="15">
      <c r="A10" s="22" t="s">
        <v>16</v>
      </c>
      <c r="B10" s="25">
        <v>10.86</v>
      </c>
      <c r="C10" s="26">
        <f t="shared" si="0"/>
        <v>-0.011828935395814448</v>
      </c>
    </row>
    <row r="11" spans="1:3" ht="15.75" thickBot="1">
      <c r="A11" s="24">
        <v>39142</v>
      </c>
      <c r="B11" s="25">
        <v>10.99</v>
      </c>
      <c r="C11" s="26">
        <f t="shared" si="0"/>
        <v>0.23068309070548718</v>
      </c>
    </row>
    <row r="12" spans="1:9" ht="15.75">
      <c r="A12" s="24">
        <v>39114</v>
      </c>
      <c r="B12" s="25">
        <v>8.93</v>
      </c>
      <c r="C12" s="26">
        <f t="shared" si="0"/>
        <v>-0.037715517241379275</v>
      </c>
      <c r="E12" s="7"/>
      <c r="F12" s="8"/>
      <c r="G12" s="8"/>
      <c r="H12" s="5"/>
      <c r="I12" s="1"/>
    </row>
    <row r="13" spans="1:9" ht="15.75">
      <c r="A13" s="22" t="s">
        <v>17</v>
      </c>
      <c r="B13" s="25">
        <v>9.28</v>
      </c>
      <c r="C13" s="26">
        <f t="shared" si="0"/>
        <v>0.019780219780219748</v>
      </c>
      <c r="E13" s="9"/>
      <c r="F13" s="10" t="s">
        <v>0</v>
      </c>
      <c r="G13" s="10"/>
      <c r="H13" s="3"/>
      <c r="I13" s="4"/>
    </row>
    <row r="14" spans="1:9" ht="15.75">
      <c r="A14" s="22" t="s">
        <v>18</v>
      </c>
      <c r="B14" s="25">
        <v>9.1</v>
      </c>
      <c r="C14" s="26">
        <f t="shared" si="0"/>
        <v>0.06807511737089203</v>
      </c>
      <c r="E14" s="11" t="s">
        <v>1</v>
      </c>
      <c r="F14" s="18">
        <f>+F17</f>
        <v>0.10247414198615473</v>
      </c>
      <c r="G14" s="12"/>
      <c r="H14" s="3"/>
      <c r="I14" s="4"/>
    </row>
    <row r="15" spans="1:9" ht="15.75">
      <c r="A15" s="24">
        <v>39022</v>
      </c>
      <c r="B15" s="25">
        <v>8.52</v>
      </c>
      <c r="C15" s="26">
        <f t="shared" si="0"/>
        <v>0.0415647921760391</v>
      </c>
      <c r="E15" s="11" t="s">
        <v>2</v>
      </c>
      <c r="F15" s="13"/>
      <c r="G15" s="14"/>
      <c r="H15" s="3"/>
      <c r="I15" s="4"/>
    </row>
    <row r="16" spans="1:9" ht="15.75">
      <c r="A16" s="24">
        <v>38991</v>
      </c>
      <c r="B16" s="25">
        <v>8.18</v>
      </c>
      <c r="C16" s="26">
        <f t="shared" si="0"/>
        <v>0.008631319358816312</v>
      </c>
      <c r="E16" s="9"/>
      <c r="F16" s="13"/>
      <c r="G16" s="14"/>
      <c r="H16" s="3"/>
      <c r="I16" s="4"/>
    </row>
    <row r="17" spans="1:9" ht="15.75">
      <c r="A17" s="24">
        <v>38961</v>
      </c>
      <c r="B17" s="25">
        <v>8.11</v>
      </c>
      <c r="C17" s="26">
        <f t="shared" si="0"/>
        <v>0.19264705882352937</v>
      </c>
      <c r="E17" s="9" t="s">
        <v>3</v>
      </c>
      <c r="F17" s="15">
        <f>+F18+((F20-F18)*F21)+F19</f>
        <v>0.10247414198615473</v>
      </c>
      <c r="G17" s="14"/>
      <c r="H17" s="3"/>
      <c r="I17" s="4"/>
    </row>
    <row r="18" spans="1:9" ht="16.5" thickBot="1">
      <c r="A18" s="22" t="s">
        <v>19</v>
      </c>
      <c r="B18" s="25">
        <v>6.8</v>
      </c>
      <c r="C18" s="26">
        <f t="shared" si="0"/>
        <v>0.13522537562604334</v>
      </c>
      <c r="E18" s="9" t="s">
        <v>4</v>
      </c>
      <c r="F18" s="15">
        <v>0.045</v>
      </c>
      <c r="G18" s="14" t="s">
        <v>5</v>
      </c>
      <c r="H18" s="19" t="s">
        <v>47</v>
      </c>
      <c r="I18" s="2"/>
    </row>
    <row r="19" spans="1:9" ht="15.75">
      <c r="A19" s="24">
        <v>38899</v>
      </c>
      <c r="B19" s="25">
        <v>5.99</v>
      </c>
      <c r="C19" s="26">
        <f t="shared" si="0"/>
        <v>0.013536379018612533</v>
      </c>
      <c r="E19" s="9" t="s">
        <v>6</v>
      </c>
      <c r="F19" s="15">
        <v>0.0725</v>
      </c>
      <c r="G19" s="14" t="s">
        <v>7</v>
      </c>
      <c r="H19" s="3" t="s">
        <v>46</v>
      </c>
      <c r="I19" s="4"/>
    </row>
    <row r="20" spans="1:9" ht="15.75">
      <c r="A20" s="24">
        <v>38869</v>
      </c>
      <c r="B20" s="25">
        <v>5.91</v>
      </c>
      <c r="C20" s="26">
        <f t="shared" si="0"/>
        <v>-0.0678233438485804</v>
      </c>
      <c r="E20" s="9" t="s">
        <v>8</v>
      </c>
      <c r="F20" s="12">
        <f>+C99</f>
        <v>0.023223394182832938</v>
      </c>
      <c r="G20" s="14" t="s">
        <v>9</v>
      </c>
      <c r="H20" s="3"/>
      <c r="I20" s="4"/>
    </row>
    <row r="21" spans="1:9" ht="16.5" thickBot="1">
      <c r="A21" s="24">
        <v>38838</v>
      </c>
      <c r="B21" s="25">
        <v>6.34</v>
      </c>
      <c r="C21" s="26">
        <f t="shared" si="0"/>
        <v>-0.012461059190031164</v>
      </c>
      <c r="E21" s="16" t="s">
        <v>10</v>
      </c>
      <c r="F21" s="20">
        <v>0.69</v>
      </c>
      <c r="G21" s="17" t="s">
        <v>12</v>
      </c>
      <c r="H21" s="19" t="s">
        <v>11</v>
      </c>
      <c r="I21" s="6"/>
    </row>
    <row r="22" spans="1:3" ht="15">
      <c r="A22" s="22" t="s">
        <v>20</v>
      </c>
      <c r="B22" s="25">
        <v>6.42</v>
      </c>
      <c r="C22" s="26">
        <f t="shared" si="0"/>
        <v>0.07178631051752916</v>
      </c>
    </row>
    <row r="23" spans="1:3" ht="15">
      <c r="A23" s="24">
        <v>38777</v>
      </c>
      <c r="B23" s="25">
        <v>5.99</v>
      </c>
      <c r="C23" s="26">
        <f t="shared" si="0"/>
        <v>-0.2531172069825436</v>
      </c>
    </row>
    <row r="24" spans="1:3" ht="15">
      <c r="A24" s="24">
        <v>38749</v>
      </c>
      <c r="B24" s="25">
        <v>8.02</v>
      </c>
      <c r="C24" s="26">
        <f t="shared" si="0"/>
        <v>0.16231884057971002</v>
      </c>
    </row>
    <row r="25" spans="1:3" ht="15">
      <c r="A25" s="22" t="s">
        <v>21</v>
      </c>
      <c r="B25" s="25">
        <v>6.9</v>
      </c>
      <c r="C25" s="26">
        <f t="shared" si="0"/>
        <v>-0.011461318051575941</v>
      </c>
    </row>
    <row r="26" spans="1:3" ht="15">
      <c r="A26" s="22" t="s">
        <v>22</v>
      </c>
      <c r="B26" s="25">
        <v>6.98</v>
      </c>
      <c r="C26" s="26">
        <f t="shared" si="0"/>
        <v>-0.06308724832214761</v>
      </c>
    </row>
    <row r="27" spans="1:3" ht="15">
      <c r="A27" s="24">
        <v>38657</v>
      </c>
      <c r="B27" s="25">
        <v>7.45</v>
      </c>
      <c r="C27" s="26">
        <f t="shared" si="0"/>
        <v>-0.05336721728081321</v>
      </c>
    </row>
    <row r="28" spans="1:3" ht="15">
      <c r="A28" s="24">
        <v>38626</v>
      </c>
      <c r="B28" s="25">
        <v>7.87</v>
      </c>
      <c r="C28" s="26">
        <f t="shared" si="0"/>
        <v>0.04100529100529107</v>
      </c>
    </row>
    <row r="29" spans="1:3" ht="15">
      <c r="A29" s="24">
        <v>38596</v>
      </c>
      <c r="B29" s="25">
        <v>7.56</v>
      </c>
      <c r="C29" s="26">
        <f t="shared" si="0"/>
        <v>-0.16186252771618626</v>
      </c>
    </row>
    <row r="30" spans="1:3" ht="15">
      <c r="A30" s="22" t="s">
        <v>23</v>
      </c>
      <c r="B30" s="25">
        <v>9.02</v>
      </c>
      <c r="C30" s="26">
        <f t="shared" si="0"/>
        <v>-0.08053007135575951</v>
      </c>
    </row>
    <row r="31" spans="1:3" ht="15">
      <c r="A31" s="24">
        <v>38534</v>
      </c>
      <c r="B31" s="25">
        <v>9.81</v>
      </c>
      <c r="C31" s="26">
        <f t="shared" si="0"/>
        <v>0.1109852774631937</v>
      </c>
    </row>
    <row r="32" spans="1:3" ht="15">
      <c r="A32" s="24">
        <v>38504</v>
      </c>
      <c r="B32" s="25">
        <v>8.83</v>
      </c>
      <c r="C32" s="26">
        <f t="shared" si="0"/>
        <v>0.0315420560747663</v>
      </c>
    </row>
    <row r="33" spans="1:3" ht="15">
      <c r="A33" s="24">
        <v>38473</v>
      </c>
      <c r="B33" s="25">
        <v>8.56</v>
      </c>
      <c r="C33" s="26">
        <f t="shared" si="0"/>
        <v>0.22812051649928275</v>
      </c>
    </row>
    <row r="34" spans="1:3" ht="15">
      <c r="A34" s="22" t="s">
        <v>24</v>
      </c>
      <c r="B34" s="25">
        <v>6.97</v>
      </c>
      <c r="C34" s="26">
        <f t="shared" si="0"/>
        <v>0.13333333333333322</v>
      </c>
    </row>
    <row r="35" spans="1:3" ht="15">
      <c r="A35" s="24">
        <v>38412</v>
      </c>
      <c r="B35" s="25">
        <v>6.15</v>
      </c>
      <c r="C35" s="26">
        <f t="shared" si="0"/>
        <v>0.028428093645484934</v>
      </c>
    </row>
    <row r="36" spans="1:3" ht="15">
      <c r="A36" s="24">
        <v>38384</v>
      </c>
      <c r="B36" s="25">
        <v>5.98</v>
      </c>
      <c r="C36" s="26">
        <f t="shared" si="0"/>
        <v>-0.08282208588957042</v>
      </c>
    </row>
    <row r="37" spans="1:3" ht="15">
      <c r="A37" s="22" t="s">
        <v>25</v>
      </c>
      <c r="B37" s="25">
        <v>6.52</v>
      </c>
      <c r="C37" s="26">
        <f t="shared" si="0"/>
        <v>0.0866666666666666</v>
      </c>
    </row>
    <row r="38" spans="1:3" ht="15">
      <c r="A38" s="22" t="s">
        <v>26</v>
      </c>
      <c r="B38" s="25">
        <v>6</v>
      </c>
      <c r="C38" s="26">
        <f aca="true" t="shared" si="1" ref="C38:C69">(B38-B39)/B39</f>
        <v>-0.08952959028831561</v>
      </c>
    </row>
    <row r="39" spans="1:3" ht="15">
      <c r="A39" s="24">
        <v>38292</v>
      </c>
      <c r="B39" s="25">
        <v>6.59</v>
      </c>
      <c r="C39" s="26">
        <f t="shared" si="1"/>
        <v>-0.12483399734395755</v>
      </c>
    </row>
    <row r="40" spans="1:3" ht="15">
      <c r="A40" s="24">
        <v>38261</v>
      </c>
      <c r="B40" s="25">
        <v>7.53</v>
      </c>
      <c r="C40" s="26">
        <f t="shared" si="1"/>
        <v>-0.020806241872561786</v>
      </c>
    </row>
    <row r="41" spans="1:3" ht="15">
      <c r="A41" s="24">
        <v>38231</v>
      </c>
      <c r="B41" s="25">
        <v>7.69</v>
      </c>
      <c r="C41" s="26">
        <f t="shared" si="1"/>
        <v>-0.11912943871706758</v>
      </c>
    </row>
    <row r="42" spans="1:3" ht="15">
      <c r="A42" s="22" t="s">
        <v>27</v>
      </c>
      <c r="B42" s="25">
        <v>8.73</v>
      </c>
      <c r="C42" s="26">
        <f t="shared" si="1"/>
        <v>-0.10369609856262832</v>
      </c>
    </row>
    <row r="43" spans="1:3" ht="15">
      <c r="A43" s="24">
        <v>38169</v>
      </c>
      <c r="B43" s="25">
        <v>9.74</v>
      </c>
      <c r="C43" s="26">
        <f t="shared" si="1"/>
        <v>-0.09814814814814819</v>
      </c>
    </row>
    <row r="44" spans="1:3" ht="15">
      <c r="A44" s="24">
        <v>38139</v>
      </c>
      <c r="B44" s="25">
        <v>10.8</v>
      </c>
      <c r="C44" s="26">
        <f t="shared" si="1"/>
        <v>0.005586592178770996</v>
      </c>
    </row>
    <row r="45" spans="1:3" ht="15">
      <c r="A45" s="24">
        <v>38108</v>
      </c>
      <c r="B45" s="25">
        <v>10.74</v>
      </c>
      <c r="C45" s="26">
        <f t="shared" si="1"/>
        <v>-0.19850746268656716</v>
      </c>
    </row>
    <row r="46" spans="1:3" ht="15">
      <c r="A46" s="22" t="s">
        <v>28</v>
      </c>
      <c r="B46" s="25">
        <v>13.4</v>
      </c>
      <c r="C46" s="26">
        <f t="shared" si="1"/>
        <v>0.1138819617622611</v>
      </c>
    </row>
    <row r="47" spans="1:3" ht="15">
      <c r="A47" s="24">
        <v>38047</v>
      </c>
      <c r="B47" s="25">
        <v>12.03</v>
      </c>
      <c r="C47" s="26">
        <f t="shared" si="1"/>
        <v>0.10875576036866358</v>
      </c>
    </row>
    <row r="48" spans="1:3" ht="15">
      <c r="A48" s="24">
        <v>38018</v>
      </c>
      <c r="B48" s="25">
        <v>10.85</v>
      </c>
      <c r="C48" s="26">
        <f t="shared" si="1"/>
        <v>0.2645687645687645</v>
      </c>
    </row>
    <row r="49" spans="1:3" ht="15">
      <c r="A49" s="22" t="s">
        <v>29</v>
      </c>
      <c r="B49" s="25">
        <v>8.58</v>
      </c>
      <c r="C49" s="26">
        <f t="shared" si="1"/>
        <v>0.08607594936708857</v>
      </c>
    </row>
    <row r="50" spans="1:3" ht="15">
      <c r="A50" s="22" t="s">
        <v>30</v>
      </c>
      <c r="B50" s="25">
        <v>7.9</v>
      </c>
      <c r="C50" s="26">
        <f t="shared" si="1"/>
        <v>-0.13566739606126915</v>
      </c>
    </row>
    <row r="51" spans="1:3" ht="15">
      <c r="A51" s="24">
        <v>37926</v>
      </c>
      <c r="B51" s="25">
        <v>9.14</v>
      </c>
      <c r="C51" s="26">
        <f t="shared" si="1"/>
        <v>0.07529411764705889</v>
      </c>
    </row>
    <row r="52" spans="1:3" ht="15">
      <c r="A52" s="24">
        <v>37895</v>
      </c>
      <c r="B52" s="25">
        <v>8.5</v>
      </c>
      <c r="C52" s="26">
        <f t="shared" si="1"/>
        <v>0.2686567164179104</v>
      </c>
    </row>
    <row r="53" spans="1:3" ht="15">
      <c r="A53" s="24">
        <v>37865</v>
      </c>
      <c r="B53" s="25">
        <v>6.7</v>
      </c>
      <c r="C53" s="26">
        <f t="shared" si="1"/>
        <v>0.015151515151515233</v>
      </c>
    </row>
    <row r="54" spans="1:3" ht="15">
      <c r="A54" s="22" t="s">
        <v>31</v>
      </c>
      <c r="B54" s="25">
        <v>6.6</v>
      </c>
      <c r="C54" s="26">
        <f t="shared" si="1"/>
        <v>0.0819672131147541</v>
      </c>
    </row>
    <row r="55" spans="1:3" ht="15">
      <c r="A55" s="24">
        <v>37803</v>
      </c>
      <c r="B55" s="25">
        <v>6.1</v>
      </c>
      <c r="C55" s="26">
        <f t="shared" si="1"/>
        <v>0.12962962962962948</v>
      </c>
    </row>
    <row r="56" spans="1:3" ht="15">
      <c r="A56" s="24">
        <v>37773</v>
      </c>
      <c r="B56" s="25">
        <v>5.4</v>
      </c>
      <c r="C56" s="26">
        <f t="shared" si="1"/>
        <v>0</v>
      </c>
    </row>
    <row r="57" spans="1:3" ht="15">
      <c r="A57" s="24">
        <v>37742</v>
      </c>
      <c r="B57" s="25">
        <v>5.4</v>
      </c>
      <c r="C57" s="26">
        <f t="shared" si="1"/>
        <v>0</v>
      </c>
    </row>
    <row r="58" spans="1:3" ht="15">
      <c r="A58" s="22" t="s">
        <v>32</v>
      </c>
      <c r="B58" s="25">
        <v>5.4</v>
      </c>
      <c r="C58" s="26">
        <f t="shared" si="1"/>
        <v>0</v>
      </c>
    </row>
    <row r="59" spans="1:3" ht="15">
      <c r="A59" s="24">
        <v>37681</v>
      </c>
      <c r="B59" s="25">
        <v>5.4</v>
      </c>
      <c r="C59" s="26">
        <f t="shared" si="1"/>
        <v>-0.15625</v>
      </c>
    </row>
    <row r="60" spans="1:3" ht="15">
      <c r="A60" s="24">
        <v>37653</v>
      </c>
      <c r="B60" s="25">
        <v>6.4</v>
      </c>
      <c r="C60" s="26">
        <f t="shared" si="1"/>
        <v>0.12280701754385967</v>
      </c>
    </row>
    <row r="61" spans="1:3" ht="15">
      <c r="A61" s="22" t="s">
        <v>33</v>
      </c>
      <c r="B61" s="25">
        <v>5.7</v>
      </c>
      <c r="C61" s="26">
        <f t="shared" si="1"/>
        <v>0.05555555555555552</v>
      </c>
    </row>
    <row r="62" spans="1:3" ht="15">
      <c r="A62" s="22" t="s">
        <v>34</v>
      </c>
      <c r="B62" s="25">
        <v>5.4</v>
      </c>
      <c r="C62" s="26">
        <f t="shared" si="1"/>
        <v>0.05882352941176485</v>
      </c>
    </row>
    <row r="63" spans="1:3" ht="15">
      <c r="A63" s="24">
        <v>37561</v>
      </c>
      <c r="B63" s="25">
        <v>5.1</v>
      </c>
      <c r="C63" s="26">
        <f t="shared" si="1"/>
        <v>-0.2272727272727273</v>
      </c>
    </row>
    <row r="64" spans="1:3" ht="15">
      <c r="A64" s="24">
        <v>37530</v>
      </c>
      <c r="B64" s="25">
        <v>6.6</v>
      </c>
      <c r="C64" s="26">
        <f t="shared" si="1"/>
        <v>-0.1081081081081082</v>
      </c>
    </row>
    <row r="65" spans="1:3" ht="15">
      <c r="A65" s="24">
        <v>37500</v>
      </c>
      <c r="B65" s="25">
        <v>7.4</v>
      </c>
      <c r="C65" s="26">
        <f t="shared" si="1"/>
        <v>0</v>
      </c>
    </row>
    <row r="66" spans="1:3" ht="15">
      <c r="A66" s="22" t="s">
        <v>35</v>
      </c>
      <c r="B66" s="25">
        <v>7.4</v>
      </c>
      <c r="C66" s="26">
        <f t="shared" si="1"/>
        <v>-0.06329113924050632</v>
      </c>
    </row>
    <row r="67" spans="1:3" ht="15">
      <c r="A67" s="24">
        <v>37438</v>
      </c>
      <c r="B67" s="25">
        <v>7.9</v>
      </c>
      <c r="C67" s="26">
        <f t="shared" si="1"/>
        <v>0.025974025974025997</v>
      </c>
    </row>
    <row r="68" spans="1:3" ht="15">
      <c r="A68" s="24">
        <v>37408</v>
      </c>
      <c r="B68" s="25">
        <v>7.7</v>
      </c>
      <c r="C68" s="26">
        <f t="shared" si="1"/>
        <v>0.013157894736842176</v>
      </c>
    </row>
    <row r="69" spans="1:3" ht="15">
      <c r="A69" s="24">
        <v>37377</v>
      </c>
      <c r="B69" s="25">
        <v>7.6</v>
      </c>
      <c r="C69" s="26">
        <f t="shared" si="1"/>
        <v>-0.08433734939759048</v>
      </c>
    </row>
    <row r="70" spans="1:3" ht="15">
      <c r="A70" s="22" t="s">
        <v>36</v>
      </c>
      <c r="B70" s="25">
        <v>8.3</v>
      </c>
      <c r="C70" s="26">
        <f aca="true" t="shared" si="2" ref="C70:C97">(B70-B71)/B71</f>
        <v>0.050632911392405104</v>
      </c>
    </row>
    <row r="71" spans="1:3" ht="15">
      <c r="A71" s="24">
        <v>37316</v>
      </c>
      <c r="B71" s="25">
        <v>7.9</v>
      </c>
      <c r="C71" s="26">
        <f t="shared" si="2"/>
        <v>0.1969696969696971</v>
      </c>
    </row>
    <row r="72" spans="1:3" ht="15">
      <c r="A72" s="24">
        <v>37288</v>
      </c>
      <c r="B72" s="25">
        <v>6.6</v>
      </c>
      <c r="C72" s="26">
        <f t="shared" si="2"/>
        <v>0</v>
      </c>
    </row>
    <row r="73" spans="1:3" ht="15">
      <c r="A73" s="24">
        <v>37288</v>
      </c>
      <c r="B73" s="25">
        <v>6.6</v>
      </c>
      <c r="C73" s="26">
        <f t="shared" si="2"/>
        <v>0.3469387755102039</v>
      </c>
    </row>
    <row r="74" spans="1:3" ht="15">
      <c r="A74" s="22" t="s">
        <v>37</v>
      </c>
      <c r="B74" s="25">
        <v>4.9</v>
      </c>
      <c r="C74" s="26">
        <f t="shared" si="2"/>
        <v>0.11363636363636363</v>
      </c>
    </row>
    <row r="75" spans="1:3" ht="15">
      <c r="A75" s="22" t="s">
        <v>38</v>
      </c>
      <c r="B75" s="25">
        <v>4.4</v>
      </c>
      <c r="C75" s="26">
        <f t="shared" si="2"/>
        <v>0.2222222222222223</v>
      </c>
    </row>
    <row r="76" spans="1:3" ht="15">
      <c r="A76" s="24">
        <v>37196</v>
      </c>
      <c r="B76" s="25">
        <v>3.6</v>
      </c>
      <c r="C76" s="26">
        <f t="shared" si="2"/>
        <v>-0.24999999999999994</v>
      </c>
    </row>
    <row r="77" spans="1:3" ht="15">
      <c r="A77" s="24">
        <v>37165</v>
      </c>
      <c r="B77" s="25">
        <v>4.8</v>
      </c>
      <c r="C77" s="26">
        <f t="shared" si="2"/>
        <v>0.4545454545454546</v>
      </c>
    </row>
    <row r="78" spans="1:3" ht="15">
      <c r="A78" s="24">
        <v>37135</v>
      </c>
      <c r="B78" s="25">
        <v>3.3</v>
      </c>
      <c r="C78" s="26">
        <f t="shared" si="2"/>
        <v>0.03124999999999989</v>
      </c>
    </row>
    <row r="79" spans="1:3" ht="15">
      <c r="A79" s="22" t="s">
        <v>39</v>
      </c>
      <c r="B79" s="25">
        <v>3.2</v>
      </c>
      <c r="C79" s="26">
        <f t="shared" si="2"/>
        <v>-0.11111111111111108</v>
      </c>
    </row>
    <row r="80" spans="1:3" ht="15">
      <c r="A80" s="24">
        <v>37073</v>
      </c>
      <c r="B80" s="25">
        <v>3.6</v>
      </c>
      <c r="C80" s="26">
        <f t="shared" si="2"/>
        <v>0.2857142857142858</v>
      </c>
    </row>
    <row r="81" spans="1:3" ht="15">
      <c r="A81" s="24">
        <v>37043</v>
      </c>
      <c r="B81" s="25">
        <v>2.8</v>
      </c>
      <c r="C81" s="26">
        <f t="shared" si="2"/>
        <v>-0.06666666666666672</v>
      </c>
    </row>
    <row r="82" spans="1:3" ht="15">
      <c r="A82" s="24">
        <v>37012</v>
      </c>
      <c r="B82" s="25">
        <v>3</v>
      </c>
      <c r="C82" s="26">
        <f t="shared" si="2"/>
        <v>0.44230769230769224</v>
      </c>
    </row>
    <row r="83" spans="1:3" ht="15">
      <c r="A83" s="22" t="s">
        <v>40</v>
      </c>
      <c r="B83" s="25">
        <v>2.08</v>
      </c>
      <c r="C83" s="26">
        <f t="shared" si="2"/>
        <v>0.15555555555555556</v>
      </c>
    </row>
    <row r="84" spans="1:3" ht="15">
      <c r="A84" s="24">
        <v>36951</v>
      </c>
      <c r="B84" s="25">
        <v>1.8</v>
      </c>
      <c r="C84" s="26">
        <f t="shared" si="2"/>
        <v>-0.24999999999999994</v>
      </c>
    </row>
    <row r="85" spans="1:3" ht="15">
      <c r="A85" s="24">
        <v>36923</v>
      </c>
      <c r="B85" s="25">
        <v>2.4</v>
      </c>
      <c r="C85" s="26">
        <f t="shared" si="2"/>
        <v>-0.25000000000000006</v>
      </c>
    </row>
    <row r="86" spans="1:3" ht="15">
      <c r="A86" s="22" t="s">
        <v>41</v>
      </c>
      <c r="B86" s="25">
        <v>3.2</v>
      </c>
      <c r="C86" s="26">
        <f t="shared" si="2"/>
        <v>0.39130434782608714</v>
      </c>
    </row>
    <row r="87" spans="1:3" ht="15">
      <c r="A87" s="22" t="s">
        <v>42</v>
      </c>
      <c r="B87" s="25">
        <v>2.3</v>
      </c>
      <c r="C87" s="26">
        <f t="shared" si="2"/>
        <v>0</v>
      </c>
    </row>
    <row r="88" spans="1:3" ht="15">
      <c r="A88" s="24">
        <v>36831</v>
      </c>
      <c r="B88" s="25">
        <v>2.3</v>
      </c>
      <c r="C88" s="26">
        <f t="shared" si="2"/>
        <v>-0.2333333333333334</v>
      </c>
    </row>
    <row r="89" spans="1:3" ht="15">
      <c r="A89" s="24">
        <v>36800</v>
      </c>
      <c r="B89" s="25">
        <v>3</v>
      </c>
      <c r="C89" s="26">
        <f t="shared" si="2"/>
        <v>-0.28571428571428575</v>
      </c>
    </row>
    <row r="90" spans="1:3" ht="15">
      <c r="A90" s="24">
        <v>36770</v>
      </c>
      <c r="B90" s="25">
        <v>4.2</v>
      </c>
      <c r="C90" s="26">
        <f t="shared" si="2"/>
        <v>-0.06666666666666662</v>
      </c>
    </row>
    <row r="91" spans="1:3" ht="15">
      <c r="A91" s="22" t="s">
        <v>43</v>
      </c>
      <c r="B91" s="25">
        <v>4.5</v>
      </c>
      <c r="C91" s="26">
        <f t="shared" si="2"/>
        <v>0.022727272727272645</v>
      </c>
    </row>
    <row r="92" spans="1:3" ht="15">
      <c r="A92" s="24">
        <v>36708</v>
      </c>
      <c r="B92" s="25">
        <v>4.4</v>
      </c>
      <c r="C92" s="26">
        <f t="shared" si="2"/>
        <v>-0.1698113207547169</v>
      </c>
    </row>
    <row r="93" spans="1:3" ht="15">
      <c r="A93" s="24">
        <v>36678</v>
      </c>
      <c r="B93" s="25">
        <v>5.3</v>
      </c>
      <c r="C93" s="26">
        <f t="shared" si="2"/>
        <v>0.08163265306122437</v>
      </c>
    </row>
    <row r="94" spans="1:3" ht="15">
      <c r="A94" s="24">
        <v>36647</v>
      </c>
      <c r="B94" s="25">
        <v>4.9</v>
      </c>
      <c r="C94" s="26">
        <f t="shared" si="2"/>
        <v>-0.10909090909090903</v>
      </c>
    </row>
    <row r="95" spans="1:3" ht="15">
      <c r="A95" s="22" t="s">
        <v>44</v>
      </c>
      <c r="B95" s="25">
        <v>5.5</v>
      </c>
      <c r="C95" s="26">
        <f t="shared" si="2"/>
        <v>0.5277777777777778</v>
      </c>
    </row>
    <row r="96" spans="1:3" ht="15">
      <c r="A96" s="24">
        <v>36586</v>
      </c>
      <c r="B96" s="25">
        <v>3.6</v>
      </c>
      <c r="C96" s="26">
        <f t="shared" si="2"/>
        <v>-0.02702702702702705</v>
      </c>
    </row>
    <row r="97" spans="1:3" ht="15">
      <c r="A97" s="24">
        <v>36557</v>
      </c>
      <c r="B97" s="25">
        <v>3.7</v>
      </c>
      <c r="C97" s="26">
        <f t="shared" si="2"/>
        <v>-0.07499999999999996</v>
      </c>
    </row>
    <row r="98" spans="1:3" ht="15">
      <c r="A98" s="22" t="s">
        <v>45</v>
      </c>
      <c r="B98" s="25">
        <v>4</v>
      </c>
      <c r="C98" s="26"/>
    </row>
    <row r="99" spans="1:3" ht="15">
      <c r="A99" s="24"/>
      <c r="B99" s="23"/>
      <c r="C99" s="27">
        <f>+AVERAGE(C6:C97)</f>
        <v>0.023223394182832938</v>
      </c>
    </row>
    <row r="100" spans="1:2" ht="15">
      <c r="A100" s="24"/>
      <c r="B100" s="23"/>
    </row>
    <row r="101" spans="1:2" ht="15">
      <c r="A101" s="22"/>
      <c r="B101" s="23"/>
    </row>
    <row r="102" spans="1:2" ht="15">
      <c r="A102" s="24"/>
      <c r="B102" s="23"/>
    </row>
    <row r="103" spans="1:2" ht="15">
      <c r="A103" s="24"/>
      <c r="B103" s="23"/>
    </row>
    <row r="104" spans="1:2" ht="15">
      <c r="A104" s="24"/>
      <c r="B104" s="23"/>
    </row>
    <row r="105" spans="1:2" ht="15">
      <c r="A105" s="22"/>
      <c r="B105" s="23"/>
    </row>
    <row r="106" spans="1:2" ht="15">
      <c r="A106" s="24"/>
      <c r="B106" s="23"/>
    </row>
    <row r="107" spans="1:2" ht="15">
      <c r="A107" s="24"/>
      <c r="B107" s="23"/>
    </row>
    <row r="108" spans="1:2" ht="15">
      <c r="A108" s="22"/>
      <c r="B108" s="23"/>
    </row>
  </sheetData>
  <sheetProtection/>
  <hyperlinks>
    <hyperlink ref="H21" r:id="rId1" display="http://pages.stern.nyu.edu/~adamodar/New_Home_Page/datafile/Betas.html"/>
  </hyperlinks>
  <printOptions/>
  <pageMargins left="0.7" right="0.7" top="0.75" bottom="0.75" header="0.3" footer="0.3"/>
  <pageSetup horizontalDpi="600" verticalDpi="60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0">
      <selection activeCell="B43" sqref="B43"/>
    </sheetView>
  </sheetViews>
  <sheetFormatPr defaultColWidth="11.421875" defaultRowHeight="15"/>
  <cols>
    <col min="1" max="1" width="30.57421875" style="29" bestFit="1" customWidth="1"/>
    <col min="2" max="2" width="8.7109375" style="29" bestFit="1" customWidth="1"/>
    <col min="3" max="6" width="9.28125" style="29" bestFit="1" customWidth="1"/>
    <col min="7" max="7" width="10.421875" style="29" customWidth="1"/>
    <col min="8" max="8" width="11.28125" style="29" customWidth="1"/>
    <col min="9" max="9" width="9.8515625" style="29" customWidth="1"/>
    <col min="10" max="10" width="10.00390625" style="29" customWidth="1"/>
    <col min="11" max="11" width="10.28125" style="29" customWidth="1"/>
    <col min="12" max="12" width="10.57421875" style="29" customWidth="1"/>
    <col min="13" max="13" width="10.00390625" style="29" customWidth="1"/>
    <col min="14" max="14" width="14.28125" style="29" bestFit="1" customWidth="1"/>
    <col min="15" max="15" width="11.421875" style="33" customWidth="1"/>
    <col min="16" max="16384" width="11.421875" style="29" customWidth="1"/>
  </cols>
  <sheetData>
    <row r="1" ht="14.25">
      <c r="A1" s="307" t="s">
        <v>238</v>
      </c>
    </row>
    <row r="3" ht="12" thickBot="1"/>
    <row r="4" spans="1:15" ht="12" thickBot="1">
      <c r="A4" s="346" t="s">
        <v>48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8"/>
      <c r="O4" s="28"/>
    </row>
    <row r="5" spans="1:14" ht="12" thickBot="1">
      <c r="A5" s="30" t="s">
        <v>49</v>
      </c>
      <c r="B5" s="31" t="s">
        <v>50</v>
      </c>
      <c r="C5" s="31" t="s">
        <v>51</v>
      </c>
      <c r="D5" s="31" t="s">
        <v>52</v>
      </c>
      <c r="E5" s="31" t="s">
        <v>53</v>
      </c>
      <c r="F5" s="31" t="s">
        <v>54</v>
      </c>
      <c r="G5" s="31" t="s">
        <v>55</v>
      </c>
      <c r="H5" s="31" t="s">
        <v>56</v>
      </c>
      <c r="I5" s="31" t="s">
        <v>57</v>
      </c>
      <c r="J5" s="31" t="s">
        <v>58</v>
      </c>
      <c r="K5" s="31" t="s">
        <v>59</v>
      </c>
      <c r="L5" s="31" t="s">
        <v>60</v>
      </c>
      <c r="M5" s="31" t="s">
        <v>61</v>
      </c>
      <c r="N5" s="32" t="s">
        <v>62</v>
      </c>
    </row>
    <row r="6" spans="1:14" ht="12" thickBot="1">
      <c r="A6" s="30" t="s">
        <v>63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2"/>
    </row>
    <row r="7" spans="1:14" ht="11.25">
      <c r="A7" s="36" t="s">
        <v>245</v>
      </c>
      <c r="B7" s="37">
        <v>0.8</v>
      </c>
      <c r="C7" s="37">
        <f>B7</f>
        <v>0.8</v>
      </c>
      <c r="D7" s="37">
        <f aca="true" t="shared" si="0" ref="D7:N9">C7</f>
        <v>0.8</v>
      </c>
      <c r="E7" s="37">
        <f t="shared" si="0"/>
        <v>0.8</v>
      </c>
      <c r="F7" s="37">
        <f t="shared" si="0"/>
        <v>0.8</v>
      </c>
      <c r="G7" s="37">
        <f t="shared" si="0"/>
        <v>0.8</v>
      </c>
      <c r="H7" s="37">
        <f t="shared" si="0"/>
        <v>0.8</v>
      </c>
      <c r="I7" s="37">
        <f t="shared" si="0"/>
        <v>0.8</v>
      </c>
      <c r="J7" s="37">
        <f t="shared" si="0"/>
        <v>0.8</v>
      </c>
      <c r="K7" s="37">
        <f t="shared" si="0"/>
        <v>0.8</v>
      </c>
      <c r="L7" s="37">
        <f t="shared" si="0"/>
        <v>0.8</v>
      </c>
      <c r="M7" s="37">
        <f t="shared" si="0"/>
        <v>0.8</v>
      </c>
      <c r="N7" s="37">
        <v>1.59</v>
      </c>
    </row>
    <row r="8" spans="1:14" ht="11.25">
      <c r="A8" s="36" t="s">
        <v>246</v>
      </c>
      <c r="B8" s="38">
        <v>0.8</v>
      </c>
      <c r="C8" s="38">
        <f>B8</f>
        <v>0.8</v>
      </c>
      <c r="D8" s="38">
        <f t="shared" si="0"/>
        <v>0.8</v>
      </c>
      <c r="E8" s="38">
        <f t="shared" si="0"/>
        <v>0.8</v>
      </c>
      <c r="F8" s="38">
        <f t="shared" si="0"/>
        <v>0.8</v>
      </c>
      <c r="G8" s="38">
        <f t="shared" si="0"/>
        <v>0.8</v>
      </c>
      <c r="H8" s="38">
        <f t="shared" si="0"/>
        <v>0.8</v>
      </c>
      <c r="I8" s="38">
        <f t="shared" si="0"/>
        <v>0.8</v>
      </c>
      <c r="J8" s="38">
        <f t="shared" si="0"/>
        <v>0.8</v>
      </c>
      <c r="K8" s="38">
        <f t="shared" si="0"/>
        <v>0.8</v>
      </c>
      <c r="L8" s="38">
        <f t="shared" si="0"/>
        <v>0.8</v>
      </c>
      <c r="M8" s="38">
        <f t="shared" si="0"/>
        <v>0.8</v>
      </c>
      <c r="N8" s="38">
        <f t="shared" si="0"/>
        <v>0.8</v>
      </c>
    </row>
    <row r="9" spans="1:14" ht="11.25">
      <c r="A9" s="36" t="s">
        <v>247</v>
      </c>
      <c r="B9" s="38">
        <v>0.85</v>
      </c>
      <c r="C9" s="38">
        <f>B9</f>
        <v>0.85</v>
      </c>
      <c r="D9" s="38">
        <f t="shared" si="0"/>
        <v>0.85</v>
      </c>
      <c r="E9" s="38">
        <f t="shared" si="0"/>
        <v>0.85</v>
      </c>
      <c r="F9" s="38">
        <f t="shared" si="0"/>
        <v>0.85</v>
      </c>
      <c r="G9" s="38">
        <f t="shared" si="0"/>
        <v>0.85</v>
      </c>
      <c r="H9" s="38">
        <f t="shared" si="0"/>
        <v>0.85</v>
      </c>
      <c r="I9" s="38">
        <f t="shared" si="0"/>
        <v>0.85</v>
      </c>
      <c r="J9" s="38">
        <f t="shared" si="0"/>
        <v>0.85</v>
      </c>
      <c r="K9" s="38">
        <f t="shared" si="0"/>
        <v>0.85</v>
      </c>
      <c r="L9" s="38">
        <f t="shared" si="0"/>
        <v>0.85</v>
      </c>
      <c r="M9" s="38">
        <f t="shared" si="0"/>
        <v>0.85</v>
      </c>
      <c r="N9" s="38">
        <f t="shared" si="0"/>
        <v>0.85</v>
      </c>
    </row>
    <row r="10" spans="1:14" ht="11.25">
      <c r="A10" s="36"/>
      <c r="B10" s="38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1:14" ht="11.25">
      <c r="A11" s="41" t="s">
        <v>64</v>
      </c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ht="11.25">
      <c r="A12" s="36" t="s">
        <v>248</v>
      </c>
      <c r="B12" s="42">
        <v>7500</v>
      </c>
      <c r="C12" s="42">
        <v>8000</v>
      </c>
      <c r="D12" s="42">
        <v>9000</v>
      </c>
      <c r="E12" s="42">
        <v>9000</v>
      </c>
      <c r="F12" s="42">
        <v>9000</v>
      </c>
      <c r="G12" s="42">
        <v>9000</v>
      </c>
      <c r="H12" s="42">
        <v>9000</v>
      </c>
      <c r="I12" s="42">
        <v>9000</v>
      </c>
      <c r="J12" s="42">
        <v>9000</v>
      </c>
      <c r="K12" s="42">
        <v>9000</v>
      </c>
      <c r="L12" s="42">
        <v>9000</v>
      </c>
      <c r="M12" s="42">
        <v>9000</v>
      </c>
      <c r="N12" s="43">
        <f>SUM(B12:M12)</f>
        <v>105500</v>
      </c>
    </row>
    <row r="13" spans="1:14" ht="11.25">
      <c r="A13" s="44" t="s">
        <v>249</v>
      </c>
      <c r="B13" s="42">
        <v>5500</v>
      </c>
      <c r="C13" s="42">
        <v>6000</v>
      </c>
      <c r="D13" s="42">
        <v>6500</v>
      </c>
      <c r="E13" s="42">
        <v>6500</v>
      </c>
      <c r="F13" s="42">
        <v>6500</v>
      </c>
      <c r="G13" s="42">
        <v>6500</v>
      </c>
      <c r="H13" s="42">
        <v>6500</v>
      </c>
      <c r="I13" s="42">
        <v>6500</v>
      </c>
      <c r="J13" s="42">
        <v>6500</v>
      </c>
      <c r="K13" s="42">
        <v>6500</v>
      </c>
      <c r="L13" s="42">
        <v>6500</v>
      </c>
      <c r="M13" s="42">
        <v>6500</v>
      </c>
      <c r="N13" s="43">
        <f>SUM(B13:M13)</f>
        <v>76500</v>
      </c>
    </row>
    <row r="14" spans="1:14" ht="12" thickBot="1">
      <c r="A14" s="44" t="s">
        <v>250</v>
      </c>
      <c r="B14" s="45">
        <v>7500</v>
      </c>
      <c r="C14" s="45">
        <v>8000</v>
      </c>
      <c r="D14" s="45">
        <v>9000</v>
      </c>
      <c r="E14" s="45">
        <v>9000</v>
      </c>
      <c r="F14" s="45">
        <v>9000</v>
      </c>
      <c r="G14" s="45">
        <v>9000</v>
      </c>
      <c r="H14" s="45">
        <v>9000</v>
      </c>
      <c r="I14" s="45">
        <v>9000</v>
      </c>
      <c r="J14" s="45">
        <v>9000</v>
      </c>
      <c r="K14" s="45">
        <v>9000</v>
      </c>
      <c r="L14" s="45">
        <v>9000</v>
      </c>
      <c r="M14" s="45">
        <v>9000</v>
      </c>
      <c r="N14" s="43">
        <f>SUM(B14:M14)</f>
        <v>105500</v>
      </c>
    </row>
    <row r="15" spans="1:15" ht="12" thickTop="1">
      <c r="A15" s="46" t="s">
        <v>65</v>
      </c>
      <c r="B15" s="47">
        <f>(B7*B12)+(B8*B13)+(B9*B14)</f>
        <v>16775</v>
      </c>
      <c r="C15" s="47">
        <f aca="true" t="shared" si="1" ref="C15:M15">(C7*C12)+(C8*C13)+(C9*C14)</f>
        <v>18000</v>
      </c>
      <c r="D15" s="47">
        <f t="shared" si="1"/>
        <v>20050</v>
      </c>
      <c r="E15" s="47">
        <f t="shared" si="1"/>
        <v>20050</v>
      </c>
      <c r="F15" s="47">
        <f t="shared" si="1"/>
        <v>20050</v>
      </c>
      <c r="G15" s="47">
        <f t="shared" si="1"/>
        <v>20050</v>
      </c>
      <c r="H15" s="47">
        <f t="shared" si="1"/>
        <v>20050</v>
      </c>
      <c r="I15" s="47">
        <f t="shared" si="1"/>
        <v>20050</v>
      </c>
      <c r="J15" s="47">
        <f t="shared" si="1"/>
        <v>20050</v>
      </c>
      <c r="K15" s="47">
        <f t="shared" si="1"/>
        <v>20050</v>
      </c>
      <c r="L15" s="47">
        <f t="shared" si="1"/>
        <v>20050</v>
      </c>
      <c r="M15" s="47">
        <f t="shared" si="1"/>
        <v>20050</v>
      </c>
      <c r="N15" s="48">
        <f>SUM(B15:M15)</f>
        <v>235275</v>
      </c>
      <c r="O15" s="49"/>
    </row>
    <row r="16" spans="1:14" ht="11.25">
      <c r="A16" s="50"/>
      <c r="B16" s="51"/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40"/>
    </row>
    <row r="17" spans="1:14" ht="11.25">
      <c r="A17" s="46" t="s">
        <v>66</v>
      </c>
      <c r="B17" s="40"/>
      <c r="C17" s="54"/>
      <c r="D17" s="55"/>
      <c r="E17" s="55"/>
      <c r="F17" s="55"/>
      <c r="G17" s="55"/>
      <c r="H17" s="56"/>
      <c r="I17" s="56"/>
      <c r="J17" s="56"/>
      <c r="K17" s="56"/>
      <c r="L17" s="56"/>
      <c r="M17" s="56"/>
      <c r="N17" s="40"/>
    </row>
    <row r="18" spans="1:14" ht="11.25">
      <c r="A18" s="50" t="s">
        <v>251</v>
      </c>
      <c r="B18" s="40">
        <v>0.24</v>
      </c>
      <c r="C18" s="40">
        <v>0.24</v>
      </c>
      <c r="D18" s="40">
        <v>0.24</v>
      </c>
      <c r="E18" s="40">
        <v>0.24</v>
      </c>
      <c r="F18" s="40">
        <v>0.24</v>
      </c>
      <c r="G18" s="40">
        <v>0.24</v>
      </c>
      <c r="H18" s="40">
        <v>0.24</v>
      </c>
      <c r="I18" s="40">
        <v>0.24</v>
      </c>
      <c r="J18" s="40">
        <v>0.24</v>
      </c>
      <c r="K18" s="40">
        <v>0.24</v>
      </c>
      <c r="L18" s="40">
        <v>0.24</v>
      </c>
      <c r="M18" s="40">
        <v>0.24</v>
      </c>
      <c r="N18" s="40">
        <f>M18</f>
        <v>0.24</v>
      </c>
    </row>
    <row r="19" spans="1:14" ht="11.25">
      <c r="A19" s="50" t="s">
        <v>252</v>
      </c>
      <c r="B19" s="40">
        <v>0.25</v>
      </c>
      <c r="C19" s="40">
        <v>0.25</v>
      </c>
      <c r="D19" s="40">
        <v>0.25</v>
      </c>
      <c r="E19" s="40">
        <v>0.25</v>
      </c>
      <c r="F19" s="40">
        <v>0.25</v>
      </c>
      <c r="G19" s="40">
        <v>0.25</v>
      </c>
      <c r="H19" s="40">
        <v>0.25</v>
      </c>
      <c r="I19" s="40">
        <v>0.25</v>
      </c>
      <c r="J19" s="40">
        <v>0.25</v>
      </c>
      <c r="K19" s="40">
        <v>0.25</v>
      </c>
      <c r="L19" s="40">
        <v>0.25</v>
      </c>
      <c r="M19" s="40">
        <v>0.25</v>
      </c>
      <c r="N19" s="40">
        <f>M19</f>
        <v>0.25</v>
      </c>
    </row>
    <row r="20" spans="1:14" ht="12" thickBot="1">
      <c r="A20" s="50" t="s">
        <v>253</v>
      </c>
      <c r="B20" s="57">
        <v>0.27</v>
      </c>
      <c r="C20" s="57">
        <v>0.27</v>
      </c>
      <c r="D20" s="57">
        <v>0.27</v>
      </c>
      <c r="E20" s="57">
        <v>0.27</v>
      </c>
      <c r="F20" s="57">
        <v>0.27</v>
      </c>
      <c r="G20" s="57">
        <v>0.27</v>
      </c>
      <c r="H20" s="57">
        <v>0.27</v>
      </c>
      <c r="I20" s="57">
        <v>0.27</v>
      </c>
      <c r="J20" s="57">
        <v>0.27</v>
      </c>
      <c r="K20" s="57">
        <v>0.27</v>
      </c>
      <c r="L20" s="57">
        <v>0.27</v>
      </c>
      <c r="M20" s="57">
        <v>0.27</v>
      </c>
      <c r="N20" s="57">
        <f>M20</f>
        <v>0.27</v>
      </c>
    </row>
    <row r="21" spans="1:14" ht="12" thickTop="1">
      <c r="A21" s="46" t="s">
        <v>67</v>
      </c>
      <c r="B21" s="58">
        <f>SUM(B18:B20)</f>
        <v>0.76</v>
      </c>
      <c r="C21" s="58">
        <f aca="true" t="shared" si="2" ref="C21:M21">SUM(C18:C20)</f>
        <v>0.76</v>
      </c>
      <c r="D21" s="58">
        <f t="shared" si="2"/>
        <v>0.76</v>
      </c>
      <c r="E21" s="58">
        <f t="shared" si="2"/>
        <v>0.76</v>
      </c>
      <c r="F21" s="58">
        <f t="shared" si="2"/>
        <v>0.76</v>
      </c>
      <c r="G21" s="58">
        <f t="shared" si="2"/>
        <v>0.76</v>
      </c>
      <c r="H21" s="58">
        <f t="shared" si="2"/>
        <v>0.76</v>
      </c>
      <c r="I21" s="58">
        <f t="shared" si="2"/>
        <v>0.76</v>
      </c>
      <c r="J21" s="58">
        <f t="shared" si="2"/>
        <v>0.76</v>
      </c>
      <c r="K21" s="58">
        <f t="shared" si="2"/>
        <v>0.76</v>
      </c>
      <c r="L21" s="58">
        <f t="shared" si="2"/>
        <v>0.76</v>
      </c>
      <c r="M21" s="58">
        <f t="shared" si="2"/>
        <v>0.76</v>
      </c>
      <c r="N21" s="40"/>
    </row>
    <row r="22" spans="1:14" ht="11.25">
      <c r="A22" s="50"/>
      <c r="B22" s="40"/>
      <c r="C22" s="54"/>
      <c r="D22" s="55"/>
      <c r="E22" s="55"/>
      <c r="F22" s="55"/>
      <c r="G22" s="55"/>
      <c r="H22" s="56"/>
      <c r="I22" s="56"/>
      <c r="J22" s="56"/>
      <c r="K22" s="56"/>
      <c r="L22" s="56"/>
      <c r="M22" s="56"/>
      <c r="N22" s="40"/>
    </row>
    <row r="23" spans="1:14" ht="11.25">
      <c r="A23" s="46" t="s">
        <v>68</v>
      </c>
      <c r="C23" s="40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40"/>
    </row>
    <row r="24" spans="1:14" ht="11.25">
      <c r="A24" s="50" t="s">
        <v>251</v>
      </c>
      <c r="B24" s="43">
        <f aca="true" t="shared" si="3" ref="B24:M26">(B12*B18)</f>
        <v>1800</v>
      </c>
      <c r="C24" s="43">
        <f t="shared" si="3"/>
        <v>1920</v>
      </c>
      <c r="D24" s="43">
        <f t="shared" si="3"/>
        <v>2160</v>
      </c>
      <c r="E24" s="43">
        <f t="shared" si="3"/>
        <v>2160</v>
      </c>
      <c r="F24" s="43">
        <f t="shared" si="3"/>
        <v>2160</v>
      </c>
      <c r="G24" s="43">
        <f t="shared" si="3"/>
        <v>2160</v>
      </c>
      <c r="H24" s="43">
        <f t="shared" si="3"/>
        <v>2160</v>
      </c>
      <c r="I24" s="43">
        <f t="shared" si="3"/>
        <v>2160</v>
      </c>
      <c r="J24" s="43">
        <f t="shared" si="3"/>
        <v>2160</v>
      </c>
      <c r="K24" s="43">
        <f t="shared" si="3"/>
        <v>2160</v>
      </c>
      <c r="L24" s="43">
        <f t="shared" si="3"/>
        <v>2160</v>
      </c>
      <c r="M24" s="43">
        <f t="shared" si="3"/>
        <v>2160</v>
      </c>
      <c r="N24" s="40">
        <f>SUM(B24:M24)</f>
        <v>25320</v>
      </c>
    </row>
    <row r="25" spans="1:14" ht="11.25">
      <c r="A25" s="50" t="s">
        <v>252</v>
      </c>
      <c r="B25" s="43">
        <f t="shared" si="3"/>
        <v>1375</v>
      </c>
      <c r="C25" s="43">
        <f t="shared" si="3"/>
        <v>1500</v>
      </c>
      <c r="D25" s="43">
        <f t="shared" si="3"/>
        <v>1625</v>
      </c>
      <c r="E25" s="43">
        <f t="shared" si="3"/>
        <v>1625</v>
      </c>
      <c r="F25" s="43">
        <f t="shared" si="3"/>
        <v>1625</v>
      </c>
      <c r="G25" s="43">
        <f t="shared" si="3"/>
        <v>1625</v>
      </c>
      <c r="H25" s="43">
        <f t="shared" si="3"/>
        <v>1625</v>
      </c>
      <c r="I25" s="43">
        <f t="shared" si="3"/>
        <v>1625</v>
      </c>
      <c r="J25" s="43">
        <f t="shared" si="3"/>
        <v>1625</v>
      </c>
      <c r="K25" s="43">
        <f t="shared" si="3"/>
        <v>1625</v>
      </c>
      <c r="L25" s="43">
        <f t="shared" si="3"/>
        <v>1625</v>
      </c>
      <c r="M25" s="43">
        <f t="shared" si="3"/>
        <v>1625</v>
      </c>
      <c r="N25" s="40">
        <f>SUM(B25:M25)</f>
        <v>19125</v>
      </c>
    </row>
    <row r="26" spans="1:14" ht="12" thickBot="1">
      <c r="A26" s="50" t="s">
        <v>253</v>
      </c>
      <c r="B26" s="59">
        <f t="shared" si="3"/>
        <v>2025.0000000000002</v>
      </c>
      <c r="C26" s="59">
        <f t="shared" si="3"/>
        <v>2160</v>
      </c>
      <c r="D26" s="59">
        <f t="shared" si="3"/>
        <v>2430</v>
      </c>
      <c r="E26" s="59">
        <f t="shared" si="3"/>
        <v>2430</v>
      </c>
      <c r="F26" s="59">
        <f t="shared" si="3"/>
        <v>2430</v>
      </c>
      <c r="G26" s="59">
        <f t="shared" si="3"/>
        <v>2430</v>
      </c>
      <c r="H26" s="59">
        <f t="shared" si="3"/>
        <v>2430</v>
      </c>
      <c r="I26" s="59">
        <f t="shared" si="3"/>
        <v>2430</v>
      </c>
      <c r="J26" s="59">
        <f t="shared" si="3"/>
        <v>2430</v>
      </c>
      <c r="K26" s="59">
        <f t="shared" si="3"/>
        <v>2430</v>
      </c>
      <c r="L26" s="59">
        <f t="shared" si="3"/>
        <v>2430</v>
      </c>
      <c r="M26" s="59">
        <f t="shared" si="3"/>
        <v>2430</v>
      </c>
      <c r="N26" s="57">
        <f>SUM(B26:M26)</f>
        <v>28485</v>
      </c>
    </row>
    <row r="27" spans="1:14" ht="12" thickTop="1">
      <c r="A27" s="60" t="s">
        <v>69</v>
      </c>
      <c r="B27" s="58">
        <f>SUM(B24:B26)</f>
        <v>5200</v>
      </c>
      <c r="C27" s="58">
        <f aca="true" t="shared" si="4" ref="C27:M27">SUM(C24:C26)</f>
        <v>5580</v>
      </c>
      <c r="D27" s="58">
        <f t="shared" si="4"/>
        <v>6215</v>
      </c>
      <c r="E27" s="58">
        <f t="shared" si="4"/>
        <v>6215</v>
      </c>
      <c r="F27" s="58">
        <f t="shared" si="4"/>
        <v>6215</v>
      </c>
      <c r="G27" s="58">
        <f t="shared" si="4"/>
        <v>6215</v>
      </c>
      <c r="H27" s="58">
        <f t="shared" si="4"/>
        <v>6215</v>
      </c>
      <c r="I27" s="58">
        <f t="shared" si="4"/>
        <v>6215</v>
      </c>
      <c r="J27" s="58">
        <f t="shared" si="4"/>
        <v>6215</v>
      </c>
      <c r="K27" s="58">
        <f t="shared" si="4"/>
        <v>6215</v>
      </c>
      <c r="L27" s="58">
        <f t="shared" si="4"/>
        <v>6215</v>
      </c>
      <c r="M27" s="58">
        <f t="shared" si="4"/>
        <v>6215</v>
      </c>
      <c r="N27" s="58">
        <f>SUM(B27:M27)</f>
        <v>72930</v>
      </c>
    </row>
    <row r="28" spans="2:14" ht="11.25">
      <c r="B28" s="58"/>
      <c r="C28" s="58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58"/>
    </row>
    <row r="29" spans="1:14" ht="11.25">
      <c r="A29" s="46" t="s">
        <v>70</v>
      </c>
      <c r="B29" s="58">
        <f>B15-B27</f>
        <v>11575</v>
      </c>
      <c r="C29" s="58">
        <f aca="true" t="shared" si="5" ref="C29:M29">C15-C27</f>
        <v>12420</v>
      </c>
      <c r="D29" s="58">
        <f t="shared" si="5"/>
        <v>13835</v>
      </c>
      <c r="E29" s="58">
        <f t="shared" si="5"/>
        <v>13835</v>
      </c>
      <c r="F29" s="58">
        <f t="shared" si="5"/>
        <v>13835</v>
      </c>
      <c r="G29" s="58">
        <f t="shared" si="5"/>
        <v>13835</v>
      </c>
      <c r="H29" s="58">
        <f t="shared" si="5"/>
        <v>13835</v>
      </c>
      <c r="I29" s="58">
        <f t="shared" si="5"/>
        <v>13835</v>
      </c>
      <c r="J29" s="58">
        <f t="shared" si="5"/>
        <v>13835</v>
      </c>
      <c r="K29" s="58">
        <f t="shared" si="5"/>
        <v>13835</v>
      </c>
      <c r="L29" s="58">
        <f t="shared" si="5"/>
        <v>13835</v>
      </c>
      <c r="M29" s="58">
        <f t="shared" si="5"/>
        <v>13835</v>
      </c>
      <c r="N29" s="58">
        <f>SUM(B29:M29)</f>
        <v>162345</v>
      </c>
    </row>
    <row r="30" spans="1:14" ht="11.25">
      <c r="A30" s="46"/>
      <c r="B30" s="40"/>
      <c r="C30" s="54"/>
      <c r="D30" s="55"/>
      <c r="E30" s="55"/>
      <c r="F30" s="55"/>
      <c r="G30" s="55"/>
      <c r="H30" s="56"/>
      <c r="I30" s="56"/>
      <c r="J30" s="56"/>
      <c r="K30" s="56"/>
      <c r="L30" s="56"/>
      <c r="M30" s="56"/>
      <c r="N30" s="40"/>
    </row>
    <row r="31" spans="1:15" ht="11.25">
      <c r="A31" s="46" t="s">
        <v>71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40"/>
      <c r="O31" s="63"/>
    </row>
    <row r="32" spans="1:15" ht="11.25">
      <c r="A32" s="50" t="s">
        <v>82</v>
      </c>
      <c r="B32" s="54">
        <f>$N$32/12</f>
        <v>533.3333333333334</v>
      </c>
      <c r="C32" s="54">
        <f aca="true" t="shared" si="6" ref="C32:M32">$N$32/12</f>
        <v>533.3333333333334</v>
      </c>
      <c r="D32" s="54">
        <f t="shared" si="6"/>
        <v>533.3333333333334</v>
      </c>
      <c r="E32" s="54">
        <f t="shared" si="6"/>
        <v>533.3333333333334</v>
      </c>
      <c r="F32" s="54">
        <f t="shared" si="6"/>
        <v>533.3333333333334</v>
      </c>
      <c r="G32" s="54">
        <f t="shared" si="6"/>
        <v>533.3333333333334</v>
      </c>
      <c r="H32" s="54">
        <f t="shared" si="6"/>
        <v>533.3333333333334</v>
      </c>
      <c r="I32" s="54">
        <f t="shared" si="6"/>
        <v>533.3333333333334</v>
      </c>
      <c r="J32" s="54">
        <f t="shared" si="6"/>
        <v>533.3333333333334</v>
      </c>
      <c r="K32" s="54">
        <f t="shared" si="6"/>
        <v>533.3333333333334</v>
      </c>
      <c r="L32" s="54">
        <f t="shared" si="6"/>
        <v>533.3333333333334</v>
      </c>
      <c r="M32" s="54">
        <f t="shared" si="6"/>
        <v>533.3333333333334</v>
      </c>
      <c r="N32" s="40">
        <v>6400</v>
      </c>
      <c r="O32" s="63"/>
    </row>
    <row r="33" spans="1:14" ht="11.25">
      <c r="A33" s="50" t="s">
        <v>72</v>
      </c>
      <c r="B33" s="62">
        <f>$N$33/12</f>
        <v>3307.92</v>
      </c>
      <c r="C33" s="62">
        <f aca="true" t="shared" si="7" ref="C33:M33">$N$33/12</f>
        <v>3307.92</v>
      </c>
      <c r="D33" s="62">
        <f t="shared" si="7"/>
        <v>3307.92</v>
      </c>
      <c r="E33" s="62">
        <f t="shared" si="7"/>
        <v>3307.92</v>
      </c>
      <c r="F33" s="62">
        <f t="shared" si="7"/>
        <v>3307.92</v>
      </c>
      <c r="G33" s="62">
        <f t="shared" si="7"/>
        <v>3307.92</v>
      </c>
      <c r="H33" s="62">
        <f t="shared" si="7"/>
        <v>3307.92</v>
      </c>
      <c r="I33" s="62">
        <f t="shared" si="7"/>
        <v>3307.92</v>
      </c>
      <c r="J33" s="62">
        <f t="shared" si="7"/>
        <v>3307.92</v>
      </c>
      <c r="K33" s="62">
        <f t="shared" si="7"/>
        <v>3307.92</v>
      </c>
      <c r="L33" s="62">
        <f t="shared" si="7"/>
        <v>3307.92</v>
      </c>
      <c r="M33" s="62">
        <f t="shared" si="7"/>
        <v>3307.92</v>
      </c>
      <c r="N33" s="40">
        <v>39695.04</v>
      </c>
    </row>
    <row r="34" spans="1:14" ht="11.25">
      <c r="A34" s="50" t="s">
        <v>73</v>
      </c>
      <c r="B34" s="62">
        <f>$N$34/12</f>
        <v>666.6666666666666</v>
      </c>
      <c r="C34" s="62">
        <f aca="true" t="shared" si="8" ref="C34:M34">$N$34/12</f>
        <v>666.6666666666666</v>
      </c>
      <c r="D34" s="62">
        <f t="shared" si="8"/>
        <v>666.6666666666666</v>
      </c>
      <c r="E34" s="62">
        <f t="shared" si="8"/>
        <v>666.6666666666666</v>
      </c>
      <c r="F34" s="62">
        <f t="shared" si="8"/>
        <v>666.6666666666666</v>
      </c>
      <c r="G34" s="62">
        <f t="shared" si="8"/>
        <v>666.6666666666666</v>
      </c>
      <c r="H34" s="62">
        <f t="shared" si="8"/>
        <v>666.6666666666666</v>
      </c>
      <c r="I34" s="62">
        <f t="shared" si="8"/>
        <v>666.6666666666666</v>
      </c>
      <c r="J34" s="62">
        <f t="shared" si="8"/>
        <v>666.6666666666666</v>
      </c>
      <c r="K34" s="62">
        <f t="shared" si="8"/>
        <v>666.6666666666666</v>
      </c>
      <c r="L34" s="62">
        <f t="shared" si="8"/>
        <v>666.6666666666666</v>
      </c>
      <c r="M34" s="62">
        <f t="shared" si="8"/>
        <v>666.6666666666666</v>
      </c>
      <c r="N34" s="40">
        <v>8000</v>
      </c>
    </row>
    <row r="35" spans="1:14" ht="12" thickBot="1">
      <c r="A35" s="50" t="s">
        <v>83</v>
      </c>
      <c r="B35" s="64">
        <f>$N$35/12</f>
        <v>8333.333333333334</v>
      </c>
      <c r="C35" s="64">
        <f aca="true" t="shared" si="9" ref="C35:M35">$N$35/12</f>
        <v>8333.333333333334</v>
      </c>
      <c r="D35" s="64">
        <f t="shared" si="9"/>
        <v>8333.333333333334</v>
      </c>
      <c r="E35" s="64">
        <f t="shared" si="9"/>
        <v>8333.333333333334</v>
      </c>
      <c r="F35" s="64">
        <f t="shared" si="9"/>
        <v>8333.333333333334</v>
      </c>
      <c r="G35" s="64">
        <f t="shared" si="9"/>
        <v>8333.333333333334</v>
      </c>
      <c r="H35" s="64">
        <f t="shared" si="9"/>
        <v>8333.333333333334</v>
      </c>
      <c r="I35" s="64">
        <f t="shared" si="9"/>
        <v>8333.333333333334</v>
      </c>
      <c r="J35" s="64">
        <f t="shared" si="9"/>
        <v>8333.333333333334</v>
      </c>
      <c r="K35" s="64">
        <f t="shared" si="9"/>
        <v>8333.333333333334</v>
      </c>
      <c r="L35" s="64">
        <f t="shared" si="9"/>
        <v>8333.333333333334</v>
      </c>
      <c r="M35" s="64">
        <f t="shared" si="9"/>
        <v>8333.333333333334</v>
      </c>
      <c r="N35" s="57">
        <v>100000</v>
      </c>
    </row>
    <row r="36" spans="1:15" ht="12" thickTop="1">
      <c r="A36" s="65" t="s">
        <v>74</v>
      </c>
      <c r="B36" s="66">
        <f>SUM(B32:B35)</f>
        <v>12841.253333333334</v>
      </c>
      <c r="C36" s="66">
        <f aca="true" t="shared" si="10" ref="C36:M36">SUM(C32:C35)</f>
        <v>12841.253333333334</v>
      </c>
      <c r="D36" s="66">
        <f t="shared" si="10"/>
        <v>12841.253333333334</v>
      </c>
      <c r="E36" s="66">
        <f t="shared" si="10"/>
        <v>12841.253333333334</v>
      </c>
      <c r="F36" s="66">
        <f t="shared" si="10"/>
        <v>12841.253333333334</v>
      </c>
      <c r="G36" s="66">
        <f t="shared" si="10"/>
        <v>12841.253333333334</v>
      </c>
      <c r="H36" s="66">
        <f t="shared" si="10"/>
        <v>12841.253333333334</v>
      </c>
      <c r="I36" s="66">
        <f t="shared" si="10"/>
        <v>12841.253333333334</v>
      </c>
      <c r="J36" s="66">
        <f t="shared" si="10"/>
        <v>12841.253333333334</v>
      </c>
      <c r="K36" s="66">
        <f t="shared" si="10"/>
        <v>12841.253333333334</v>
      </c>
      <c r="L36" s="66">
        <f t="shared" si="10"/>
        <v>12841.253333333334</v>
      </c>
      <c r="M36" s="66">
        <f t="shared" si="10"/>
        <v>12841.253333333334</v>
      </c>
      <c r="N36" s="58">
        <f>SUM(B36:M36)</f>
        <v>154095.03999999998</v>
      </c>
      <c r="O36" s="67"/>
    </row>
    <row r="37" spans="2:15" ht="11.2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40"/>
      <c r="O37" s="67"/>
    </row>
    <row r="38" spans="1:14" ht="12" thickBot="1">
      <c r="A38" s="68" t="s">
        <v>75</v>
      </c>
      <c r="B38" s="69">
        <f>B15-B27-B36</f>
        <v>-1266.253333333334</v>
      </c>
      <c r="C38" s="69">
        <f aca="true" t="shared" si="11" ref="C38:M38">C15-C27-C36</f>
        <v>-421.253333333334</v>
      </c>
      <c r="D38" s="69">
        <f t="shared" si="11"/>
        <v>993.746666666666</v>
      </c>
      <c r="E38" s="69">
        <f t="shared" si="11"/>
        <v>993.746666666666</v>
      </c>
      <c r="F38" s="69">
        <f t="shared" si="11"/>
        <v>993.746666666666</v>
      </c>
      <c r="G38" s="69">
        <f t="shared" si="11"/>
        <v>993.746666666666</v>
      </c>
      <c r="H38" s="69">
        <f t="shared" si="11"/>
        <v>993.746666666666</v>
      </c>
      <c r="I38" s="69">
        <f t="shared" si="11"/>
        <v>993.746666666666</v>
      </c>
      <c r="J38" s="69">
        <f t="shared" si="11"/>
        <v>993.746666666666</v>
      </c>
      <c r="K38" s="69">
        <f t="shared" si="11"/>
        <v>993.746666666666</v>
      </c>
      <c r="L38" s="69">
        <f t="shared" si="11"/>
        <v>993.746666666666</v>
      </c>
      <c r="M38" s="69">
        <f t="shared" si="11"/>
        <v>993.746666666666</v>
      </c>
      <c r="N38" s="69">
        <f>SUM(B38:M38)</f>
        <v>8249.959999999992</v>
      </c>
    </row>
    <row r="39" ht="12" thickBot="1"/>
    <row r="40" spans="1:13" ht="12" thickBot="1">
      <c r="A40" s="349" t="s">
        <v>76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1"/>
    </row>
    <row r="41" spans="1:13" ht="12" thickBot="1">
      <c r="A41" s="349" t="s">
        <v>77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1"/>
    </row>
    <row r="42" spans="1:13" ht="12" thickBot="1">
      <c r="A42" s="70" t="s">
        <v>78</v>
      </c>
      <c r="B42" s="71">
        <f>B15</f>
        <v>16775</v>
      </c>
      <c r="C42" s="71">
        <f aca="true" t="shared" si="12" ref="C42:M42">C15</f>
        <v>18000</v>
      </c>
      <c r="D42" s="71">
        <f t="shared" si="12"/>
        <v>20050</v>
      </c>
      <c r="E42" s="71">
        <f t="shared" si="12"/>
        <v>20050</v>
      </c>
      <c r="F42" s="71">
        <f t="shared" si="12"/>
        <v>20050</v>
      </c>
      <c r="G42" s="71">
        <f t="shared" si="12"/>
        <v>20050</v>
      </c>
      <c r="H42" s="71">
        <f t="shared" si="12"/>
        <v>20050</v>
      </c>
      <c r="I42" s="71">
        <f t="shared" si="12"/>
        <v>20050</v>
      </c>
      <c r="J42" s="71">
        <f t="shared" si="12"/>
        <v>20050</v>
      </c>
      <c r="K42" s="71">
        <f t="shared" si="12"/>
        <v>20050</v>
      </c>
      <c r="L42" s="71">
        <f t="shared" si="12"/>
        <v>20050</v>
      </c>
      <c r="M42" s="72">
        <f t="shared" si="12"/>
        <v>20050</v>
      </c>
    </row>
    <row r="43" spans="1:13" ht="12" thickBot="1">
      <c r="A43" s="70" t="s">
        <v>79</v>
      </c>
      <c r="B43" s="73">
        <f>B27+B36</f>
        <v>18041.253333333334</v>
      </c>
      <c r="C43" s="73">
        <f aca="true" t="shared" si="13" ref="C43:M43">C27+C36</f>
        <v>18421.253333333334</v>
      </c>
      <c r="D43" s="73">
        <f t="shared" si="13"/>
        <v>19056.253333333334</v>
      </c>
      <c r="E43" s="73">
        <f t="shared" si="13"/>
        <v>19056.253333333334</v>
      </c>
      <c r="F43" s="73">
        <f t="shared" si="13"/>
        <v>19056.253333333334</v>
      </c>
      <c r="G43" s="73">
        <f t="shared" si="13"/>
        <v>19056.253333333334</v>
      </c>
      <c r="H43" s="73">
        <f t="shared" si="13"/>
        <v>19056.253333333334</v>
      </c>
      <c r="I43" s="73">
        <f t="shared" si="13"/>
        <v>19056.253333333334</v>
      </c>
      <c r="J43" s="73">
        <f t="shared" si="13"/>
        <v>19056.253333333334</v>
      </c>
      <c r="K43" s="73">
        <f t="shared" si="13"/>
        <v>19056.253333333334</v>
      </c>
      <c r="L43" s="73">
        <f t="shared" si="13"/>
        <v>19056.253333333334</v>
      </c>
      <c r="M43" s="74">
        <f t="shared" si="13"/>
        <v>19056.253333333334</v>
      </c>
    </row>
    <row r="44" spans="1:13" ht="12" thickBot="1">
      <c r="A44" s="30" t="s">
        <v>80</v>
      </c>
      <c r="B44" s="73">
        <f>B42-B43</f>
        <v>-1266.253333333334</v>
      </c>
      <c r="C44" s="73">
        <f aca="true" t="shared" si="14" ref="C44:M44">C42-C43</f>
        <v>-421.253333333334</v>
      </c>
      <c r="D44" s="73">
        <f t="shared" si="14"/>
        <v>993.746666666666</v>
      </c>
      <c r="E44" s="73">
        <f t="shared" si="14"/>
        <v>993.746666666666</v>
      </c>
      <c r="F44" s="73">
        <f t="shared" si="14"/>
        <v>993.746666666666</v>
      </c>
      <c r="G44" s="73">
        <f t="shared" si="14"/>
        <v>993.746666666666</v>
      </c>
      <c r="H44" s="73">
        <f t="shared" si="14"/>
        <v>993.746666666666</v>
      </c>
      <c r="I44" s="73">
        <f t="shared" si="14"/>
        <v>993.746666666666</v>
      </c>
      <c r="J44" s="73">
        <f t="shared" si="14"/>
        <v>993.746666666666</v>
      </c>
      <c r="K44" s="73">
        <f t="shared" si="14"/>
        <v>993.746666666666</v>
      </c>
      <c r="L44" s="73">
        <f t="shared" si="14"/>
        <v>993.746666666666</v>
      </c>
      <c r="M44" s="74">
        <f t="shared" si="14"/>
        <v>993.746666666666</v>
      </c>
    </row>
    <row r="45" spans="1:13" ht="12" thickBot="1">
      <c r="A45" s="75" t="s">
        <v>81</v>
      </c>
      <c r="B45" s="76">
        <f>B44</f>
        <v>-1266.253333333334</v>
      </c>
      <c r="C45" s="77">
        <f>B45+C44</f>
        <v>-1687.506666666668</v>
      </c>
      <c r="D45" s="76">
        <f aca="true" t="shared" si="15" ref="D45:M45">C45+D44</f>
        <v>-693.760000000002</v>
      </c>
      <c r="E45" s="76">
        <f t="shared" si="15"/>
        <v>299.98666666666395</v>
      </c>
      <c r="F45" s="76">
        <f t="shared" si="15"/>
        <v>1293.73333333333</v>
      </c>
      <c r="G45" s="76">
        <f t="shared" si="15"/>
        <v>2287.479999999996</v>
      </c>
      <c r="H45" s="76">
        <f t="shared" si="15"/>
        <v>3281.226666666662</v>
      </c>
      <c r="I45" s="76">
        <f t="shared" si="15"/>
        <v>4274.973333333328</v>
      </c>
      <c r="J45" s="76">
        <f t="shared" si="15"/>
        <v>5268.719999999994</v>
      </c>
      <c r="K45" s="76">
        <f t="shared" si="15"/>
        <v>6262.46666666666</v>
      </c>
      <c r="L45" s="76">
        <f t="shared" si="15"/>
        <v>7256.213333333326</v>
      </c>
      <c r="M45" s="78">
        <f t="shared" si="15"/>
        <v>8249.959999999992</v>
      </c>
    </row>
    <row r="52" ht="11.25">
      <c r="N52" s="79"/>
    </row>
    <row r="53" ht="11.25">
      <c r="N53" s="79"/>
    </row>
    <row r="54" ht="11.25">
      <c r="N54" s="79"/>
    </row>
  </sheetData>
  <sheetProtection/>
  <mergeCells count="3">
    <mergeCell ref="A4:N4"/>
    <mergeCell ref="A40:M40"/>
    <mergeCell ref="A41:M41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A10">
      <selection activeCell="B45" sqref="B45"/>
    </sheetView>
  </sheetViews>
  <sheetFormatPr defaultColWidth="11.421875" defaultRowHeight="15"/>
  <cols>
    <col min="1" max="1" width="32.28125" style="29" customWidth="1"/>
    <col min="2" max="2" width="15.28125" style="29" bestFit="1" customWidth="1"/>
    <col min="3" max="3" width="9.57421875" style="29" bestFit="1" customWidth="1"/>
    <col min="4" max="4" width="9.28125" style="29" customWidth="1"/>
    <col min="5" max="7" width="9.57421875" style="29" bestFit="1" customWidth="1"/>
    <col min="8" max="9" width="10.28125" style="29" customWidth="1"/>
    <col min="10" max="10" width="16.421875" style="29" customWidth="1"/>
    <col min="11" max="11" width="20.421875" style="29" customWidth="1"/>
    <col min="12" max="12" width="21.28125" style="29" customWidth="1"/>
    <col min="13" max="13" width="17.8515625" style="29" customWidth="1"/>
    <col min="14" max="14" width="14.140625" style="29" customWidth="1"/>
    <col min="15" max="16384" width="11.421875" style="29" customWidth="1"/>
  </cols>
  <sheetData>
    <row r="1" ht="14.25">
      <c r="A1" s="307" t="s">
        <v>239</v>
      </c>
    </row>
    <row r="2" ht="11.25"/>
    <row r="3" spans="1:12" ht="11.25">
      <c r="A3" s="29" t="s">
        <v>84</v>
      </c>
      <c r="B3" s="80">
        <v>0.25</v>
      </c>
      <c r="H3" s="81"/>
      <c r="I3" s="81"/>
      <c r="J3" s="81"/>
      <c r="K3" s="81"/>
      <c r="L3" s="81"/>
    </row>
    <row r="4" spans="1:12" ht="12" thickBot="1">
      <c r="A4" s="29" t="s">
        <v>85</v>
      </c>
      <c r="B4" s="196">
        <v>0</v>
      </c>
      <c r="H4" s="81"/>
      <c r="I4" s="81"/>
      <c r="J4" s="81"/>
      <c r="K4" s="81"/>
      <c r="L4" s="81"/>
    </row>
    <row r="5" spans="1:12" ht="12" thickBot="1">
      <c r="A5" s="352" t="s">
        <v>86</v>
      </c>
      <c r="B5" s="353"/>
      <c r="C5" s="353"/>
      <c r="D5" s="353"/>
      <c r="E5" s="353"/>
      <c r="F5" s="353"/>
      <c r="G5" s="354"/>
      <c r="H5" s="28"/>
      <c r="I5" s="28"/>
      <c r="J5" s="28"/>
      <c r="K5" s="28"/>
      <c r="L5" s="28"/>
    </row>
    <row r="6" spans="1:12" ht="12" thickBot="1">
      <c r="A6" s="82" t="s">
        <v>87</v>
      </c>
      <c r="B6" s="34">
        <v>0</v>
      </c>
      <c r="C6" s="34">
        <v>1</v>
      </c>
      <c r="D6" s="34">
        <v>2</v>
      </c>
      <c r="E6" s="34">
        <v>3</v>
      </c>
      <c r="F6" s="35">
        <v>4</v>
      </c>
      <c r="G6" s="31">
        <v>5</v>
      </c>
      <c r="H6" s="83"/>
      <c r="I6" s="83"/>
      <c r="J6" s="83"/>
      <c r="K6" s="83"/>
      <c r="L6" s="83"/>
    </row>
    <row r="7" spans="1:12" ht="11.25">
      <c r="A7" s="82" t="str">
        <f>'[1]Flujo de caja 1 año'!A3</f>
        <v>Precio promedio unitario por lìnea</v>
      </c>
      <c r="B7" s="84"/>
      <c r="C7" s="85"/>
      <c r="D7" s="86"/>
      <c r="E7" s="86"/>
      <c r="F7" s="86"/>
      <c r="G7" s="85"/>
      <c r="H7" s="81"/>
      <c r="I7" s="81"/>
      <c r="J7" s="81"/>
      <c r="K7" s="81"/>
      <c r="L7" s="81"/>
    </row>
    <row r="8" spans="1:12" ht="11.25">
      <c r="A8" s="52" t="str">
        <f>+'fc primer año sin deuda'!A7</f>
        <v>Precio Inacake  crema helada</v>
      </c>
      <c r="B8" s="87"/>
      <c r="C8" s="88">
        <v>0.8</v>
      </c>
      <c r="D8" s="89">
        <f>C8</f>
        <v>0.8</v>
      </c>
      <c r="E8" s="89">
        <f>D8</f>
        <v>0.8</v>
      </c>
      <c r="F8" s="89">
        <f>E8</f>
        <v>0.8</v>
      </c>
      <c r="G8" s="89">
        <f>F8</f>
        <v>0.8</v>
      </c>
      <c r="H8" s="90"/>
      <c r="I8" s="90"/>
      <c r="J8" s="90"/>
      <c r="K8" s="90"/>
      <c r="L8" s="90"/>
    </row>
    <row r="9" spans="1:12" ht="11.25">
      <c r="A9" s="52" t="str">
        <f>+'fc primer año sin deuda'!A8</f>
        <v>Precio Bony  crema helada</v>
      </c>
      <c r="B9" s="87"/>
      <c r="C9" s="88">
        <v>0.8</v>
      </c>
      <c r="D9" s="89">
        <f aca="true" t="shared" si="0" ref="D9:G10">C9</f>
        <v>0.8</v>
      </c>
      <c r="E9" s="89">
        <f t="shared" si="0"/>
        <v>0.8</v>
      </c>
      <c r="F9" s="89">
        <f t="shared" si="0"/>
        <v>0.8</v>
      </c>
      <c r="G9" s="89">
        <f t="shared" si="0"/>
        <v>0.8</v>
      </c>
      <c r="H9" s="90"/>
      <c r="I9" s="90"/>
      <c r="J9" s="90"/>
      <c r="K9" s="90"/>
      <c r="L9" s="90"/>
    </row>
    <row r="10" spans="1:12" ht="11.25">
      <c r="A10" s="52" t="str">
        <f>+'fc primer año sin deuda'!A9</f>
        <v>Precio Tigreton  crema helada</v>
      </c>
      <c r="B10" s="87"/>
      <c r="C10" s="91">
        <v>0.85</v>
      </c>
      <c r="D10" s="89">
        <f t="shared" si="0"/>
        <v>0.85</v>
      </c>
      <c r="E10" s="89">
        <f t="shared" si="0"/>
        <v>0.85</v>
      </c>
      <c r="F10" s="89">
        <f t="shared" si="0"/>
        <v>0.85</v>
      </c>
      <c r="G10" s="89">
        <f t="shared" si="0"/>
        <v>0.85</v>
      </c>
      <c r="H10" s="90"/>
      <c r="I10" s="90"/>
      <c r="J10" s="90"/>
      <c r="K10" s="90"/>
      <c r="L10" s="90"/>
    </row>
    <row r="11" spans="1:12" ht="11.25">
      <c r="A11" s="52"/>
      <c r="B11" s="87"/>
      <c r="C11" s="88"/>
      <c r="D11" s="93"/>
      <c r="E11" s="93"/>
      <c r="F11" s="93"/>
      <c r="G11" s="88"/>
      <c r="H11" s="94"/>
      <c r="I11" s="94"/>
      <c r="J11" s="94"/>
      <c r="K11" s="94"/>
      <c r="L11" s="94"/>
    </row>
    <row r="12" spans="1:12" ht="11.25">
      <c r="A12" s="92" t="str">
        <f>+'fc primer año sin deuda'!A11</f>
        <v>Cantidades vendidas</v>
      </c>
      <c r="B12" s="87"/>
      <c r="C12" s="88"/>
      <c r="D12" s="93"/>
      <c r="E12" s="93"/>
      <c r="F12" s="93"/>
      <c r="G12" s="88"/>
      <c r="H12" s="94"/>
      <c r="I12" s="94"/>
      <c r="J12" s="94"/>
      <c r="K12" s="94"/>
      <c r="L12" s="94"/>
    </row>
    <row r="13" spans="1:12" ht="11.25">
      <c r="A13" s="52" t="str">
        <f>+'fc primer año sin deuda'!A12</f>
        <v>Unidades Inacake crema</v>
      </c>
      <c r="B13" s="50"/>
      <c r="C13" s="43">
        <f>+'fc primer año sin deuda'!N12</f>
        <v>105500</v>
      </c>
      <c r="D13" s="96">
        <f aca="true" t="shared" si="1" ref="D13:G15">C13</f>
        <v>105500</v>
      </c>
      <c r="E13" s="96">
        <f t="shared" si="1"/>
        <v>105500</v>
      </c>
      <c r="F13" s="96">
        <f t="shared" si="1"/>
        <v>105500</v>
      </c>
      <c r="G13" s="95">
        <f t="shared" si="1"/>
        <v>105500</v>
      </c>
      <c r="H13" s="97"/>
      <c r="I13" s="97"/>
      <c r="J13" s="97"/>
      <c r="K13" s="97"/>
      <c r="L13" s="97"/>
    </row>
    <row r="14" spans="1:12" ht="11.25">
      <c r="A14" s="52" t="str">
        <f>+'fc primer año sin deuda'!A13</f>
        <v>Unidades Bony crema</v>
      </c>
      <c r="B14" s="50"/>
      <c r="C14" s="43">
        <f>+'fc primer año sin deuda'!N13</f>
        <v>76500</v>
      </c>
      <c r="D14" s="96">
        <f t="shared" si="1"/>
        <v>76500</v>
      </c>
      <c r="E14" s="96">
        <f t="shared" si="1"/>
        <v>76500</v>
      </c>
      <c r="F14" s="96">
        <f t="shared" si="1"/>
        <v>76500</v>
      </c>
      <c r="G14" s="95">
        <f t="shared" si="1"/>
        <v>76500</v>
      </c>
      <c r="H14" s="97"/>
      <c r="I14" s="97"/>
      <c r="J14" s="97"/>
      <c r="K14" s="97"/>
      <c r="L14" s="97"/>
    </row>
    <row r="15" spans="1:12" ht="11.25">
      <c r="A15" s="52" t="str">
        <f>+'fc primer año sin deuda'!A14</f>
        <v>Unidades tigreton crema</v>
      </c>
      <c r="B15" s="50"/>
      <c r="C15" s="43">
        <f>+'fc primer año sin deuda'!N14</f>
        <v>105500</v>
      </c>
      <c r="D15" s="96">
        <f t="shared" si="1"/>
        <v>105500</v>
      </c>
      <c r="E15" s="96">
        <f t="shared" si="1"/>
        <v>105500</v>
      </c>
      <c r="F15" s="96">
        <f t="shared" si="1"/>
        <v>105500</v>
      </c>
      <c r="G15" s="95">
        <f t="shared" si="1"/>
        <v>105500</v>
      </c>
      <c r="H15" s="97"/>
      <c r="I15" s="97"/>
      <c r="J15" s="97"/>
      <c r="K15" s="97"/>
      <c r="L15" s="97"/>
    </row>
    <row r="16" spans="1:12" ht="11.25">
      <c r="A16" s="52" t="str">
        <f>+'fc primer año sin deuda'!A15</f>
        <v>Total Ingresos</v>
      </c>
      <c r="B16" s="87"/>
      <c r="C16" s="98">
        <f>(C8*C13)+(C9*C14)+(C10*C15)</f>
        <v>235275</v>
      </c>
      <c r="D16" s="99">
        <f>(D8*D13)+(D9*D14)+(D10*D15)</f>
        <v>235275</v>
      </c>
      <c r="E16" s="99">
        <f>(E8*E13)+(E9*E14)+(E10*E15)</f>
        <v>235275</v>
      </c>
      <c r="F16" s="99">
        <f>(F8*F13)+(F9*F14)+(F10*F15)</f>
        <v>235275</v>
      </c>
      <c r="G16" s="98">
        <f>(G8*G13)+(G9*G14)+(G10*G15)</f>
        <v>235275</v>
      </c>
      <c r="H16" s="100"/>
      <c r="I16" s="100"/>
      <c r="J16" s="100"/>
      <c r="K16" s="100"/>
      <c r="L16" s="100"/>
    </row>
    <row r="17" spans="1:12" ht="11.25">
      <c r="A17" s="92"/>
      <c r="B17" s="87"/>
      <c r="C17" s="52"/>
      <c r="D17" s="93"/>
      <c r="E17" s="93"/>
      <c r="F17" s="93"/>
      <c r="G17" s="88"/>
      <c r="H17" s="94"/>
      <c r="I17" s="94"/>
      <c r="J17" s="94"/>
      <c r="K17" s="94"/>
      <c r="L17" s="94"/>
    </row>
    <row r="18" spans="1:12" ht="11.25">
      <c r="A18" s="92" t="str">
        <f>'[1]Flujo de caja 1 año'!A14</f>
        <v>Costo de venta unitario</v>
      </c>
      <c r="B18" s="87"/>
      <c r="C18" s="88"/>
      <c r="D18" s="93"/>
      <c r="E18" s="93"/>
      <c r="F18" s="93"/>
      <c r="G18" s="88"/>
      <c r="H18" s="94"/>
      <c r="I18" s="94"/>
      <c r="J18" s="94"/>
      <c r="K18" s="94"/>
      <c r="L18" s="94"/>
    </row>
    <row r="19" spans="1:12" ht="11.25">
      <c r="A19" s="52" t="str">
        <f>+'fc primer año sin deuda'!A18</f>
        <v>Costo Inacake crema</v>
      </c>
      <c r="B19" s="87"/>
      <c r="C19" s="91">
        <v>0.24</v>
      </c>
      <c r="D19" s="89">
        <f aca="true" t="shared" si="2" ref="D19:G21">C19</f>
        <v>0.24</v>
      </c>
      <c r="E19" s="89">
        <f t="shared" si="2"/>
        <v>0.24</v>
      </c>
      <c r="F19" s="89">
        <f t="shared" si="2"/>
        <v>0.24</v>
      </c>
      <c r="G19" s="89">
        <f t="shared" si="2"/>
        <v>0.24</v>
      </c>
      <c r="H19" s="90"/>
      <c r="I19" s="90"/>
      <c r="J19" s="90"/>
      <c r="K19" s="90"/>
      <c r="L19" s="90"/>
    </row>
    <row r="20" spans="1:12" ht="11.25">
      <c r="A20" s="52" t="str">
        <f>+'fc primer año sin deuda'!A19</f>
        <v>Costo Bony crema</v>
      </c>
      <c r="B20" s="87"/>
      <c r="C20" s="91">
        <v>0.25</v>
      </c>
      <c r="D20" s="89">
        <f t="shared" si="2"/>
        <v>0.25</v>
      </c>
      <c r="E20" s="89">
        <f t="shared" si="2"/>
        <v>0.25</v>
      </c>
      <c r="F20" s="89">
        <f t="shared" si="2"/>
        <v>0.25</v>
      </c>
      <c r="G20" s="89">
        <f t="shared" si="2"/>
        <v>0.25</v>
      </c>
      <c r="H20" s="90"/>
      <c r="I20" s="90"/>
      <c r="J20" s="90"/>
      <c r="K20" s="90"/>
      <c r="L20" s="90"/>
    </row>
    <row r="21" spans="1:12" ht="11.25">
      <c r="A21" s="52" t="str">
        <f>+'fc primer año sin deuda'!A20</f>
        <v>Costo Tigreton crema</v>
      </c>
      <c r="B21" s="87"/>
      <c r="C21" s="91">
        <v>0.27</v>
      </c>
      <c r="D21" s="89">
        <f t="shared" si="2"/>
        <v>0.27</v>
      </c>
      <c r="E21" s="89">
        <f t="shared" si="2"/>
        <v>0.27</v>
      </c>
      <c r="F21" s="89">
        <f t="shared" si="2"/>
        <v>0.27</v>
      </c>
      <c r="G21" s="89">
        <f t="shared" si="2"/>
        <v>0.27</v>
      </c>
      <c r="H21" s="90"/>
      <c r="I21" s="90"/>
      <c r="J21" s="90"/>
      <c r="K21" s="90"/>
      <c r="L21" s="90"/>
    </row>
    <row r="22" spans="1:12" ht="11.25">
      <c r="A22" s="92" t="str">
        <f>'[1]Flujo de caja 1 año'!A18</f>
        <v>Total costo de ventas unitario</v>
      </c>
      <c r="B22" s="87"/>
      <c r="C22" s="101">
        <f>SUM(C19:C21)</f>
        <v>0.76</v>
      </c>
      <c r="D22" s="102">
        <f>SUM(D19:D21)</f>
        <v>0.76</v>
      </c>
      <c r="E22" s="102">
        <f>SUM(E19:E21)</f>
        <v>0.76</v>
      </c>
      <c r="F22" s="102">
        <f>SUM(F19:F21)</f>
        <v>0.76</v>
      </c>
      <c r="G22" s="101">
        <f>SUM(G19:G21)</f>
        <v>0.76</v>
      </c>
      <c r="H22" s="103"/>
      <c r="I22" s="103"/>
      <c r="J22" s="103"/>
      <c r="K22" s="103"/>
      <c r="L22" s="103"/>
    </row>
    <row r="23" spans="1:12" ht="11.25">
      <c r="A23" s="92"/>
      <c r="B23" s="87"/>
      <c r="C23" s="88"/>
      <c r="D23" s="93"/>
      <c r="E23" s="93"/>
      <c r="F23" s="93"/>
      <c r="G23" s="88"/>
      <c r="H23" s="94"/>
      <c r="I23" s="94"/>
      <c r="J23" s="94"/>
      <c r="K23" s="94"/>
      <c r="L23" s="94"/>
    </row>
    <row r="24" spans="1:12" ht="11.25">
      <c r="A24" s="92" t="str">
        <f>'[1]Flujo de caja 1 año'!A20</f>
        <v>Costos de Venta</v>
      </c>
      <c r="B24" s="87"/>
      <c r="C24" s="88"/>
      <c r="D24" s="93"/>
      <c r="E24" s="93"/>
      <c r="F24" s="93"/>
      <c r="G24" s="88"/>
      <c r="H24" s="94"/>
      <c r="I24" s="94"/>
      <c r="J24" s="94"/>
      <c r="K24" s="94"/>
      <c r="L24" s="94"/>
    </row>
    <row r="25" spans="1:14" ht="11.25">
      <c r="A25" s="52" t="str">
        <f>+'fc primer año sin deuda'!A24</f>
        <v>Costo Inacake crema</v>
      </c>
      <c r="B25" s="44"/>
      <c r="C25" s="95">
        <f>+C19*C13</f>
        <v>25320</v>
      </c>
      <c r="D25" s="95">
        <f>D19*D13</f>
        <v>25320</v>
      </c>
      <c r="E25" s="95">
        <f>E19*E13</f>
        <v>25320</v>
      </c>
      <c r="F25" s="95">
        <f>F19*F13</f>
        <v>25320</v>
      </c>
      <c r="G25" s="95">
        <f>G19*G13</f>
        <v>25320</v>
      </c>
      <c r="H25" s="90"/>
      <c r="I25" s="90"/>
      <c r="J25" s="90"/>
      <c r="K25" s="90"/>
      <c r="L25" s="90"/>
      <c r="M25" s="104"/>
      <c r="N25" s="104"/>
    </row>
    <row r="26" spans="1:14" ht="11.25">
      <c r="A26" s="52" t="str">
        <f>+'fc primer año sin deuda'!A25</f>
        <v>Costo Bony crema</v>
      </c>
      <c r="B26" s="44"/>
      <c r="C26" s="95">
        <f>+C20*C14</f>
        <v>19125</v>
      </c>
      <c r="D26" s="95">
        <f aca="true" t="shared" si="3" ref="D26:G27">D20*D14</f>
        <v>19125</v>
      </c>
      <c r="E26" s="95">
        <f t="shared" si="3"/>
        <v>19125</v>
      </c>
      <c r="F26" s="95">
        <f t="shared" si="3"/>
        <v>19125</v>
      </c>
      <c r="G26" s="95">
        <f t="shared" si="3"/>
        <v>19125</v>
      </c>
      <c r="H26" s="90"/>
      <c r="I26" s="90"/>
      <c r="J26" s="90"/>
      <c r="K26" s="90"/>
      <c r="L26" s="90"/>
      <c r="M26" s="104"/>
      <c r="N26" s="104"/>
    </row>
    <row r="27" spans="1:14" ht="11.25">
      <c r="A27" s="52" t="str">
        <f>+'fc primer año sin deuda'!A26</f>
        <v>Costo Tigreton crema</v>
      </c>
      <c r="B27" s="44"/>
      <c r="C27" s="95">
        <f>+C21*C15</f>
        <v>28485.000000000004</v>
      </c>
      <c r="D27" s="95">
        <f t="shared" si="3"/>
        <v>28485.000000000004</v>
      </c>
      <c r="E27" s="95">
        <f t="shared" si="3"/>
        <v>28485.000000000004</v>
      </c>
      <c r="F27" s="95">
        <f t="shared" si="3"/>
        <v>28485.000000000004</v>
      </c>
      <c r="G27" s="95">
        <f t="shared" si="3"/>
        <v>28485.000000000004</v>
      </c>
      <c r="H27" s="90"/>
      <c r="I27" s="90"/>
      <c r="J27" s="90"/>
      <c r="K27" s="90"/>
      <c r="L27" s="90"/>
      <c r="M27" s="104"/>
      <c r="N27" s="104"/>
    </row>
    <row r="28" spans="1:14" ht="13.5" customHeight="1">
      <c r="A28" s="92" t="str">
        <f>'[1]Flujo de caja 1 año'!A24</f>
        <v>Total costo de venta</v>
      </c>
      <c r="B28" s="44"/>
      <c r="C28" s="98">
        <f>SUM(C25:C27)</f>
        <v>72930</v>
      </c>
      <c r="D28" s="98">
        <f>SUM(D25:D27)</f>
        <v>72930</v>
      </c>
      <c r="E28" s="98">
        <f>SUM(E25:E27)</f>
        <v>72930</v>
      </c>
      <c r="F28" s="98">
        <f>SUM(F25:F27)</f>
        <v>72930</v>
      </c>
      <c r="G28" s="98">
        <f>SUM(G25:G27)</f>
        <v>72930</v>
      </c>
      <c r="H28" s="103"/>
      <c r="I28" s="103"/>
      <c r="J28" s="103"/>
      <c r="K28" s="103"/>
      <c r="L28" s="103"/>
      <c r="M28" s="104"/>
      <c r="N28" s="104"/>
    </row>
    <row r="29" spans="1:14" ht="13.5" customHeight="1">
      <c r="A29" s="92"/>
      <c r="B29" s="44"/>
      <c r="C29" s="38"/>
      <c r="D29" s="39"/>
      <c r="E29" s="39"/>
      <c r="F29" s="39"/>
      <c r="G29" s="38"/>
      <c r="H29" s="105"/>
      <c r="I29" s="105"/>
      <c r="J29" s="105"/>
      <c r="K29" s="105"/>
      <c r="L29" s="105"/>
      <c r="M29" s="104"/>
      <c r="N29" s="104"/>
    </row>
    <row r="30" spans="1:14" ht="13.5" customHeight="1">
      <c r="A30" s="92" t="s">
        <v>88</v>
      </c>
      <c r="B30" s="44"/>
      <c r="C30" s="98">
        <v>20000</v>
      </c>
      <c r="D30" s="98">
        <v>20000</v>
      </c>
      <c r="E30" s="98">
        <v>20000</v>
      </c>
      <c r="F30" s="98">
        <v>20000</v>
      </c>
      <c r="G30" s="98">
        <v>20000</v>
      </c>
      <c r="H30" s="106"/>
      <c r="I30" s="106"/>
      <c r="J30" s="106"/>
      <c r="K30" s="106"/>
      <c r="L30" s="106"/>
      <c r="M30" s="104"/>
      <c r="N30" s="104"/>
    </row>
    <row r="31" spans="1:14" ht="13.5" customHeight="1">
      <c r="A31" s="92"/>
      <c r="B31" s="44"/>
      <c r="C31" s="107"/>
      <c r="D31" s="108"/>
      <c r="E31" s="108"/>
      <c r="F31" s="108"/>
      <c r="G31" s="107"/>
      <c r="H31" s="106"/>
      <c r="I31" s="106"/>
      <c r="J31" s="106"/>
      <c r="K31" s="106"/>
      <c r="L31" s="106"/>
      <c r="M31" s="104"/>
      <c r="N31" s="104"/>
    </row>
    <row r="32" spans="1:14" ht="11.25">
      <c r="A32" s="92"/>
      <c r="B32" s="109"/>
      <c r="C32" s="47"/>
      <c r="D32" s="110"/>
      <c r="E32" s="110"/>
      <c r="F32" s="110"/>
      <c r="G32" s="47"/>
      <c r="H32" s="111"/>
      <c r="I32" s="111"/>
      <c r="J32" s="111"/>
      <c r="K32" s="111"/>
      <c r="L32" s="111"/>
      <c r="M32" s="104"/>
      <c r="N32" s="104"/>
    </row>
    <row r="33" spans="1:14" ht="11.25">
      <c r="A33" s="112" t="s">
        <v>89</v>
      </c>
      <c r="B33" s="109"/>
      <c r="C33" s="47">
        <f>C16-C28-C30</f>
        <v>142345</v>
      </c>
      <c r="D33" s="47">
        <f>D16-D28-D30</f>
        <v>142345</v>
      </c>
      <c r="E33" s="47">
        <f>E16-E28-E30</f>
        <v>142345</v>
      </c>
      <c r="F33" s="47">
        <f>F16-F28-F30</f>
        <v>142345</v>
      </c>
      <c r="G33" s="47">
        <f>G16-G28-G30</f>
        <v>142345</v>
      </c>
      <c r="H33" s="111"/>
      <c r="I33" s="111"/>
      <c r="J33" s="111"/>
      <c r="K33" s="111"/>
      <c r="L33" s="111"/>
      <c r="M33" s="104"/>
      <c r="N33" s="104"/>
    </row>
    <row r="34" spans="1:14" ht="11.25">
      <c r="A34" s="113" t="s">
        <v>90</v>
      </c>
      <c r="B34" s="44"/>
      <c r="C34" s="114">
        <f aca="true" t="shared" si="4" ref="C34:G35">C60</f>
        <v>35586.25</v>
      </c>
      <c r="D34" s="115">
        <f t="shared" si="4"/>
        <v>35586.25</v>
      </c>
      <c r="E34" s="115">
        <f t="shared" si="4"/>
        <v>35586.25</v>
      </c>
      <c r="F34" s="115">
        <f t="shared" si="4"/>
        <v>35586.25</v>
      </c>
      <c r="G34" s="114">
        <f t="shared" si="4"/>
        <v>35586.25</v>
      </c>
      <c r="H34" s="49"/>
      <c r="I34" s="49"/>
      <c r="J34" s="49"/>
      <c r="K34" s="49"/>
      <c r="L34" s="49"/>
      <c r="M34" s="104"/>
      <c r="N34" s="104"/>
    </row>
    <row r="35" spans="1:14" ht="11.25">
      <c r="A35" s="113" t="s">
        <v>91</v>
      </c>
      <c r="B35" s="44"/>
      <c r="C35" s="114">
        <f t="shared" si="4"/>
        <v>16013.8125</v>
      </c>
      <c r="D35" s="115">
        <f t="shared" si="4"/>
        <v>16013.8125</v>
      </c>
      <c r="E35" s="115">
        <f t="shared" si="4"/>
        <v>16013.8125</v>
      </c>
      <c r="F35" s="115">
        <f t="shared" si="4"/>
        <v>16013.8125</v>
      </c>
      <c r="G35" s="114">
        <f t="shared" si="4"/>
        <v>16013.8125</v>
      </c>
      <c r="H35" s="49"/>
      <c r="I35" s="49"/>
      <c r="J35" s="49"/>
      <c r="K35" s="49"/>
      <c r="L35" s="49"/>
      <c r="M35" s="104"/>
      <c r="N35" s="104"/>
    </row>
    <row r="36" spans="1:14" s="121" customFormat="1" ht="11.25">
      <c r="A36" s="116" t="s">
        <v>92</v>
      </c>
      <c r="B36" s="117"/>
      <c r="C36" s="118">
        <f>C33-C34-C35</f>
        <v>90744.9375</v>
      </c>
      <c r="D36" s="119">
        <f>D33-D34-D35</f>
        <v>90744.9375</v>
      </c>
      <c r="E36" s="119">
        <f>E33-E34-E35</f>
        <v>90744.9375</v>
      </c>
      <c r="F36" s="119">
        <f>F33-F34-F35</f>
        <v>90744.9375</v>
      </c>
      <c r="G36" s="118">
        <f>G33-G34-G35</f>
        <v>90744.9375</v>
      </c>
      <c r="H36" s="111"/>
      <c r="I36" s="111"/>
      <c r="J36" s="111"/>
      <c r="K36" s="111"/>
      <c r="L36" s="111"/>
      <c r="M36" s="120"/>
      <c r="N36" s="120"/>
    </row>
    <row r="37" spans="1:14" ht="11.25">
      <c r="A37" s="92"/>
      <c r="B37" s="44"/>
      <c r="C37" s="114"/>
      <c r="D37" s="115"/>
      <c r="E37" s="115"/>
      <c r="F37" s="115"/>
      <c r="G37" s="114"/>
      <c r="H37" s="49"/>
      <c r="I37" s="49"/>
      <c r="J37" s="49"/>
      <c r="K37" s="49"/>
      <c r="L37" s="49"/>
      <c r="M37" s="104"/>
      <c r="N37" s="104"/>
    </row>
    <row r="38" spans="1:14" ht="11.25">
      <c r="A38" s="92" t="str">
        <f>'[1]Flujo de caja 1 año'!A28</f>
        <v>Inversion inicial</v>
      </c>
      <c r="B38" s="44"/>
      <c r="C38" s="114"/>
      <c r="D38" s="115"/>
      <c r="E38" s="115"/>
      <c r="F38" s="115"/>
      <c r="G38" s="114"/>
      <c r="H38" s="49"/>
      <c r="I38" s="49"/>
      <c r="J38" s="49"/>
      <c r="K38" s="49"/>
      <c r="L38" s="49"/>
      <c r="M38" s="104"/>
      <c r="N38" s="104"/>
    </row>
    <row r="39" spans="1:14" ht="11.25">
      <c r="A39" s="52" t="str">
        <f>'[1]Flujo de caja 1 año'!A29</f>
        <v>Registro sanitario</v>
      </c>
      <c r="B39" s="122">
        <f>+'fc primer año sin deuda'!N32</f>
        <v>6400</v>
      </c>
      <c r="C39" s="114"/>
      <c r="D39" s="115"/>
      <c r="E39" s="115"/>
      <c r="F39" s="115"/>
      <c r="G39" s="114"/>
      <c r="H39" s="49"/>
      <c r="I39" s="49"/>
      <c r="J39" s="49"/>
      <c r="K39" s="49"/>
      <c r="L39" s="49"/>
      <c r="M39" s="104"/>
      <c r="N39" s="104"/>
    </row>
    <row r="40" spans="1:14" ht="11.25">
      <c r="A40" s="52" t="s">
        <v>72</v>
      </c>
      <c r="B40" s="122">
        <f>+'fc primer año sin deuda'!N33</f>
        <v>39695.04</v>
      </c>
      <c r="C40" s="114"/>
      <c r="D40" s="115"/>
      <c r="E40" s="115"/>
      <c r="F40" s="115"/>
      <c r="G40" s="114"/>
      <c r="H40" s="49"/>
      <c r="I40" s="49"/>
      <c r="J40" s="49"/>
      <c r="K40" s="49"/>
      <c r="L40" s="81"/>
      <c r="M40" s="104"/>
      <c r="N40" s="104"/>
    </row>
    <row r="41" spans="1:14" ht="11.25">
      <c r="A41" s="52" t="s">
        <v>73</v>
      </c>
      <c r="B41" s="122">
        <f>+'fc primer año sin deuda'!N34</f>
        <v>8000</v>
      </c>
      <c r="C41" s="114"/>
      <c r="D41" s="115"/>
      <c r="E41" s="115"/>
      <c r="F41" s="115"/>
      <c r="G41" s="114"/>
      <c r="H41" s="49"/>
      <c r="I41" s="49"/>
      <c r="J41" s="49"/>
      <c r="K41" s="49"/>
      <c r="L41" s="81"/>
      <c r="M41" s="104"/>
      <c r="N41" s="104"/>
    </row>
    <row r="42" spans="1:14" ht="11.25">
      <c r="A42" s="52" t="s">
        <v>114</v>
      </c>
      <c r="B42" s="123">
        <f>+'fc primer año sin deuda'!N35</f>
        <v>100000</v>
      </c>
      <c r="C42" s="124"/>
      <c r="D42" s="125"/>
      <c r="E42" s="125"/>
      <c r="F42" s="125"/>
      <c r="G42" s="124"/>
      <c r="H42" s="126"/>
      <c r="I42" s="126"/>
      <c r="J42" s="126"/>
      <c r="K42" s="126"/>
      <c r="L42" s="81"/>
      <c r="M42" s="104"/>
      <c r="N42" s="104"/>
    </row>
    <row r="43" spans="1:14" ht="11.25">
      <c r="A43" s="92" t="str">
        <f>'[1]Flujo de caja 1 año'!A33</f>
        <v>Total Inversion inicial</v>
      </c>
      <c r="B43" s="127">
        <f>SUM(B39:B42)</f>
        <v>154095.04</v>
      </c>
      <c r="C43" s="54"/>
      <c r="D43" s="55"/>
      <c r="E43" s="55"/>
      <c r="F43" s="55"/>
      <c r="G43" s="54"/>
      <c r="H43" s="128"/>
      <c r="I43" s="128"/>
      <c r="J43" s="128"/>
      <c r="K43" s="128"/>
      <c r="L43" s="81"/>
      <c r="M43" s="104"/>
      <c r="N43" s="104"/>
    </row>
    <row r="44" spans="1:14" ht="11.25">
      <c r="A44" s="92"/>
      <c r="B44" s="129"/>
      <c r="C44" s="114"/>
      <c r="D44" s="56"/>
      <c r="E44" s="56"/>
      <c r="F44" s="56"/>
      <c r="G44" s="40"/>
      <c r="H44" s="130"/>
      <c r="I44" s="130"/>
      <c r="J44" s="130"/>
      <c r="K44" s="130"/>
      <c r="L44" s="81"/>
      <c r="M44" s="104"/>
      <c r="N44" s="104"/>
    </row>
    <row r="45" spans="1:14" ht="12" thickBot="1">
      <c r="A45" s="92" t="s">
        <v>93</v>
      </c>
      <c r="B45" s="131">
        <f>-+'fc primer año sin deuda'!C45</f>
        <v>1687.506666666668</v>
      </c>
      <c r="C45" s="132">
        <v>0</v>
      </c>
      <c r="D45" s="133">
        <v>0</v>
      </c>
      <c r="E45" s="133">
        <v>0</v>
      </c>
      <c r="F45" s="133">
        <v>0</v>
      </c>
      <c r="G45" s="132">
        <f>B45</f>
        <v>1687.506666666668</v>
      </c>
      <c r="H45" s="130"/>
      <c r="I45" s="130"/>
      <c r="J45" s="130"/>
      <c r="K45" s="130"/>
      <c r="L45" s="81"/>
      <c r="M45" s="104"/>
      <c r="N45" s="104"/>
    </row>
    <row r="46" spans="1:21" s="33" customFormat="1" ht="12" thickBot="1">
      <c r="A46" s="134" t="s">
        <v>94</v>
      </c>
      <c r="B46" s="135">
        <f>-(B43+B45)</f>
        <v>-155782.5466666667</v>
      </c>
      <c r="C46" s="135">
        <f>C36</f>
        <v>90744.9375</v>
      </c>
      <c r="D46" s="135">
        <f>D36</f>
        <v>90744.9375</v>
      </c>
      <c r="E46" s="135">
        <f>E36</f>
        <v>90744.9375</v>
      </c>
      <c r="F46" s="135">
        <f>F36</f>
        <v>90744.9375</v>
      </c>
      <c r="G46" s="136">
        <f>G36-G40-G41-G42+G45</f>
        <v>92432.44416666667</v>
      </c>
      <c r="H46" s="137"/>
      <c r="I46" s="137"/>
      <c r="J46" s="137"/>
      <c r="K46" s="137"/>
      <c r="L46" s="137"/>
      <c r="M46" s="138"/>
      <c r="N46" s="138"/>
      <c r="O46" s="139"/>
      <c r="P46" s="139"/>
      <c r="Q46" s="139"/>
      <c r="R46" s="139"/>
      <c r="S46" s="139"/>
      <c r="T46" s="139"/>
      <c r="U46" s="139"/>
    </row>
    <row r="47" spans="1:21" s="33" customFormat="1" ht="12" thickBot="1">
      <c r="A47" s="140" t="s">
        <v>95</v>
      </c>
      <c r="B47" s="141">
        <f>IRR(B46:L46)</f>
        <v>0.5086900179209652</v>
      </c>
      <c r="C47" s="142"/>
      <c r="D47" s="142"/>
      <c r="E47" s="142"/>
      <c r="F47" s="142"/>
      <c r="G47" s="142"/>
      <c r="H47" s="143"/>
      <c r="I47" s="143"/>
      <c r="J47" s="143"/>
      <c r="K47" s="143"/>
      <c r="L47" s="143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2" s="33" customFormat="1" ht="12" thickBot="1">
      <c r="A48" s="144" t="s">
        <v>96</v>
      </c>
      <c r="B48" s="145">
        <f>SUM(H48:L48)+B46</f>
        <v>187085.00387661526</v>
      </c>
      <c r="C48" s="146"/>
      <c r="D48" s="142"/>
      <c r="F48" s="142"/>
      <c r="G48" s="142"/>
      <c r="H48" s="146">
        <f>+C46/((1+$B$50)^C6)</f>
        <v>82310.26383668199</v>
      </c>
      <c r="I48" s="146">
        <f>+D46/((1+$B$50)^D6)</f>
        <v>74659.58674404507</v>
      </c>
      <c r="J48" s="146">
        <f>+E46/((1+$B$50)^E6)</f>
        <v>67720.03433073052</v>
      </c>
      <c r="K48" s="146">
        <f>+F46/((1+$B$50)^F6)</f>
        <v>61425.50809285191</v>
      </c>
      <c r="L48" s="146">
        <f>+G46/((1+$B$50)^G6)</f>
        <v>56752.15753897253</v>
      </c>
      <c r="R48" s="146"/>
      <c r="S48" s="146"/>
      <c r="T48" s="146"/>
      <c r="U48" s="146"/>
      <c r="V48" s="146"/>
    </row>
    <row r="49" spans="1:21" s="33" customFormat="1" ht="12" thickBot="1">
      <c r="A49" s="75" t="s">
        <v>97</v>
      </c>
      <c r="B49" s="147">
        <f>+'tasa de descuento'!F14</f>
        <v>0.10247414198615473</v>
      </c>
      <c r="C49" s="148"/>
      <c r="J49" s="143"/>
      <c r="K49" s="143"/>
      <c r="L49" s="143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s="33" customFormat="1" ht="11.25">
      <c r="A50" s="138"/>
      <c r="B50" s="149">
        <f>B49</f>
        <v>0.10247414198615473</v>
      </c>
      <c r="C50" s="149"/>
      <c r="J50" s="143"/>
      <c r="K50" s="143"/>
      <c r="L50" s="143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1" s="33" customFormat="1" ht="11.25">
      <c r="A51" s="142" t="s">
        <v>98</v>
      </c>
      <c r="B51" s="150">
        <v>0.07</v>
      </c>
      <c r="C51" s="149"/>
      <c r="J51" s="143"/>
      <c r="K51" s="143"/>
      <c r="L51" s="143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s="33" customFormat="1" ht="11.25">
      <c r="A52" s="151" t="s">
        <v>99</v>
      </c>
      <c r="B52" s="152" t="s">
        <v>100</v>
      </c>
      <c r="C52" s="153"/>
      <c r="F52" s="67"/>
      <c r="J52" s="143"/>
      <c r="K52" s="143"/>
      <c r="L52" s="143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s="155" customFormat="1" ht="12" thickBot="1">
      <c r="A53" s="29"/>
      <c r="B53" s="29"/>
      <c r="C53" s="154"/>
      <c r="D53" s="154"/>
      <c r="E53" s="154"/>
      <c r="F53" s="154"/>
      <c r="G53" s="154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7" ht="12" thickBot="1">
      <c r="A54" s="30" t="s">
        <v>101</v>
      </c>
      <c r="C54" s="154"/>
      <c r="D54" s="154"/>
      <c r="E54" s="154"/>
      <c r="F54" s="154"/>
      <c r="G54" s="154"/>
    </row>
    <row r="55" spans="1:12" ht="11.25">
      <c r="A55" s="84" t="s">
        <v>102</v>
      </c>
      <c r="B55" s="156"/>
      <c r="C55" s="157">
        <f>IF(C33&lt;0,0,C33)</f>
        <v>142345</v>
      </c>
      <c r="D55" s="157">
        <f>IF(D33&lt;0,0,D33)</f>
        <v>142345</v>
      </c>
      <c r="E55" s="157">
        <f>IF(E33&lt;0,0,E33)</f>
        <v>142345</v>
      </c>
      <c r="F55" s="157">
        <f>IF(F33&lt;0,0,F33)</f>
        <v>142345</v>
      </c>
      <c r="G55" s="158">
        <f>IF(G33&lt;0,0,G33)</f>
        <v>142345</v>
      </c>
      <c r="H55" s="159"/>
      <c r="I55" s="159"/>
      <c r="J55" s="159"/>
      <c r="K55" s="159"/>
      <c r="L55" s="159"/>
    </row>
    <row r="56" spans="1:12" ht="11.25">
      <c r="A56" s="50" t="s">
        <v>103</v>
      </c>
      <c r="B56" s="160"/>
      <c r="C56" s="161">
        <f>+IF(C33&gt;0,0,C33)</f>
        <v>0</v>
      </c>
      <c r="D56" s="161">
        <f>+IF(D33&gt;0,0,D33)</f>
        <v>0</v>
      </c>
      <c r="E56" s="161">
        <f>+IF(E33&gt;0,0,E33)</f>
        <v>0</v>
      </c>
      <c r="F56" s="161">
        <f>+IF(F33&gt;0,0,F33)</f>
        <v>0</v>
      </c>
      <c r="G56" s="162">
        <f>+IF(G33&gt;0,0,G33)</f>
        <v>0</v>
      </c>
      <c r="H56" s="163"/>
      <c r="I56" s="163"/>
      <c r="J56" s="163"/>
      <c r="K56" s="163"/>
      <c r="L56" s="163"/>
    </row>
    <row r="57" spans="1:12" ht="11.25">
      <c r="A57" s="50" t="s">
        <v>104</v>
      </c>
      <c r="B57" s="160"/>
      <c r="C57" s="161">
        <f>+B58</f>
        <v>0</v>
      </c>
      <c r="D57" s="161">
        <f>+C58</f>
        <v>0</v>
      </c>
      <c r="E57" s="161">
        <f>+D58</f>
        <v>0</v>
      </c>
      <c r="F57" s="161">
        <f>+E58</f>
        <v>0</v>
      </c>
      <c r="G57" s="162">
        <f>+F58</f>
        <v>0</v>
      </c>
      <c r="H57" s="163"/>
      <c r="I57" s="163"/>
      <c r="J57" s="163"/>
      <c r="K57" s="163"/>
      <c r="L57" s="163"/>
    </row>
    <row r="58" spans="1:12" ht="11.25">
      <c r="A58" s="50" t="s">
        <v>105</v>
      </c>
      <c r="B58" s="160"/>
      <c r="C58" s="161">
        <f>IF(+C57+C56+C55&lt;0,+C57+C56+C55,0)</f>
        <v>0</v>
      </c>
      <c r="D58" s="161">
        <f>IF(+D57+D56+D55&lt;0,+D57+D56+D55,0)</f>
        <v>0</v>
      </c>
      <c r="E58" s="161">
        <f>IF(+E57+E56+E55&lt;0,+E57+E56+E55,0)</f>
        <v>0</v>
      </c>
      <c r="F58" s="161">
        <f>IF(+F57+F56+F55&lt;0,+F57+F56+F55,0)</f>
        <v>0</v>
      </c>
      <c r="G58" s="162">
        <f>IF(+G57+G56+G55&lt;0,+G57+G56+G55,0)</f>
        <v>0</v>
      </c>
      <c r="H58" s="163"/>
      <c r="I58" s="163"/>
      <c r="J58" s="163"/>
      <c r="K58" s="163"/>
      <c r="L58" s="163"/>
    </row>
    <row r="59" spans="1:12" ht="12" thickBot="1">
      <c r="A59" s="164" t="s">
        <v>106</v>
      </c>
      <c r="B59" s="165"/>
      <c r="C59" s="166">
        <f>IF(+C57+C56+C55&lt;0,0,+C57+C56+C55)</f>
        <v>142345</v>
      </c>
      <c r="D59" s="166">
        <f>IF(+D57+D56+D55&lt;0,0,+D57+D56+D55)</f>
        <v>142345</v>
      </c>
      <c r="E59" s="166">
        <f>IF(+E57+E56+E55&lt;0,0,+E57+E56+E55)</f>
        <v>142345</v>
      </c>
      <c r="F59" s="166">
        <f>IF(+F57+F56+F55&lt;0,0,+F57+F56+F55)</f>
        <v>142345</v>
      </c>
      <c r="G59" s="167">
        <f>IF(+G57+G56+G55&lt;0,0,+G57+G56+G55)</f>
        <v>142345</v>
      </c>
      <c r="H59" s="163"/>
      <c r="I59" s="163"/>
      <c r="J59" s="163"/>
      <c r="K59" s="163"/>
      <c r="L59" s="163"/>
    </row>
    <row r="60" spans="1:21" ht="12" thickBot="1">
      <c r="A60" s="168" t="s">
        <v>107</v>
      </c>
      <c r="B60" s="169"/>
      <c r="C60" s="170">
        <f>+C59*$B$3</f>
        <v>35586.25</v>
      </c>
      <c r="D60" s="170">
        <f>+D59*$B$3</f>
        <v>35586.25</v>
      </c>
      <c r="E60" s="170">
        <f>+E59*$B$3</f>
        <v>35586.25</v>
      </c>
      <c r="F60" s="170">
        <f>+F59*$B$3</f>
        <v>35586.25</v>
      </c>
      <c r="G60" s="171">
        <f>+G59*$B$3</f>
        <v>35586.25</v>
      </c>
      <c r="H60" s="172"/>
      <c r="I60" s="172"/>
      <c r="J60" s="172"/>
      <c r="K60" s="172"/>
      <c r="L60" s="172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s="155" customFormat="1" ht="12" thickBot="1">
      <c r="A61" s="173" t="s">
        <v>108</v>
      </c>
      <c r="B61" s="174"/>
      <c r="C61" s="195">
        <f>(C59-C60)*0.15</f>
        <v>16013.8125</v>
      </c>
      <c r="D61" s="175">
        <f>(D59-D60)*0.15</f>
        <v>16013.8125</v>
      </c>
      <c r="E61" s="175">
        <f>(E59-E60)*0.15</f>
        <v>16013.8125</v>
      </c>
      <c r="F61" s="175">
        <f>(F59-F60)*0.15</f>
        <v>16013.8125</v>
      </c>
      <c r="G61" s="176">
        <f>(G59-G60)*0.15</f>
        <v>16013.8125</v>
      </c>
      <c r="H61" s="177"/>
      <c r="I61" s="177"/>
      <c r="J61" s="177"/>
      <c r="K61" s="177"/>
      <c r="L61" s="177"/>
      <c r="M61" s="29"/>
      <c r="N61" s="29"/>
      <c r="O61" s="29"/>
      <c r="P61" s="29"/>
      <c r="Q61" s="29"/>
      <c r="R61" s="29"/>
      <c r="S61" s="29"/>
      <c r="T61" s="29"/>
      <c r="U61" s="29"/>
    </row>
    <row r="63" ht="14.25" customHeight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>
      <c r="C75" s="29" t="s">
        <v>109</v>
      </c>
    </row>
    <row r="76" spans="3:5" ht="11.25" hidden="1">
      <c r="C76" s="29">
        <v>1.06</v>
      </c>
      <c r="D76" s="29" t="s">
        <v>110</v>
      </c>
      <c r="E76" s="29" t="s">
        <v>111</v>
      </c>
    </row>
    <row r="77" spans="3:5" ht="11.25" hidden="1">
      <c r="C77" s="29">
        <f>C76*D77</f>
        <v>1.59</v>
      </c>
      <c r="D77" s="29">
        <v>1.5</v>
      </c>
      <c r="E77" s="29">
        <f>C77*0.44</f>
        <v>0.6996</v>
      </c>
    </row>
    <row r="78" spans="3:5" ht="11.25" hidden="1">
      <c r="C78" s="29">
        <f>C77*D78</f>
        <v>1.908</v>
      </c>
      <c r="D78" s="29">
        <v>1.2</v>
      </c>
      <c r="E78" s="29">
        <f>C78*0.25</f>
        <v>0.477</v>
      </c>
    </row>
    <row r="79" ht="11.25" hidden="1"/>
    <row r="80" ht="11.25" hidden="1">
      <c r="C80" s="29" t="s">
        <v>112</v>
      </c>
    </row>
    <row r="81" spans="3:5" ht="11.25" hidden="1">
      <c r="C81" s="29">
        <v>1.1</v>
      </c>
      <c r="D81" s="29" t="s">
        <v>110</v>
      </c>
      <c r="E81" s="29" t="s">
        <v>111</v>
      </c>
    </row>
    <row r="82" spans="3:5" ht="11.25" hidden="1">
      <c r="C82" s="29">
        <f>C81*D82</f>
        <v>1.6500000000000001</v>
      </c>
      <c r="D82" s="29">
        <v>1.5</v>
      </c>
      <c r="E82" s="29">
        <f>C82*(D82-1)</f>
        <v>0.8250000000000001</v>
      </c>
    </row>
    <row r="83" spans="3:5" ht="11.25" hidden="1">
      <c r="C83" s="29">
        <f>C82*D83</f>
        <v>1.98</v>
      </c>
      <c r="D83" s="29">
        <v>1.2</v>
      </c>
      <c r="E83" s="29">
        <f>C83*(D83-1)</f>
        <v>0.3959999999999999</v>
      </c>
    </row>
    <row r="84" ht="11.25" hidden="1"/>
    <row r="85" ht="11.25" hidden="1">
      <c r="C85" s="29" t="s">
        <v>113</v>
      </c>
    </row>
    <row r="86" spans="3:5" ht="11.25" hidden="1">
      <c r="C86" s="29">
        <v>1.3</v>
      </c>
      <c r="D86" s="29" t="s">
        <v>110</v>
      </c>
      <c r="E86" s="29" t="s">
        <v>111</v>
      </c>
    </row>
    <row r="87" spans="3:5" ht="11.25" hidden="1">
      <c r="C87" s="29">
        <f>C86*D87</f>
        <v>2.08</v>
      </c>
      <c r="D87" s="29">
        <v>1.6</v>
      </c>
      <c r="E87" s="29">
        <f>C87*(D87-1)</f>
        <v>1.2480000000000002</v>
      </c>
    </row>
    <row r="88" spans="3:5" ht="11.25" hidden="1">
      <c r="C88" s="29">
        <f>C87*D88</f>
        <v>2.496</v>
      </c>
      <c r="D88" s="29">
        <v>1.2</v>
      </c>
      <c r="E88" s="29">
        <f>C88*(D88-1)</f>
        <v>0.49919999999999987</v>
      </c>
    </row>
    <row r="89" ht="11.25" hidden="1"/>
    <row r="90" ht="11.25" hidden="1"/>
    <row r="91" ht="11.25" hidden="1"/>
    <row r="92" ht="11.25" hidden="1"/>
  </sheetData>
  <sheetProtection/>
  <mergeCells count="1">
    <mergeCell ref="A5:G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192" customWidth="1"/>
    <col min="2" max="2" width="14.00390625" style="192" customWidth="1"/>
    <col min="3" max="3" width="10.140625" style="192" customWidth="1"/>
    <col min="4" max="4" width="20.8515625" style="192" customWidth="1"/>
    <col min="5" max="5" width="20.28125" style="0" customWidth="1"/>
  </cols>
  <sheetData>
    <row r="1" ht="15">
      <c r="A1" s="307" t="s">
        <v>240</v>
      </c>
    </row>
    <row r="2" ht="15.75" thickBot="1"/>
    <row r="3" spans="1:5" ht="18.75" thickBot="1">
      <c r="A3" s="355" t="s">
        <v>115</v>
      </c>
      <c r="B3" s="356"/>
      <c r="C3" s="356"/>
      <c r="D3" s="356"/>
      <c r="E3" s="357"/>
    </row>
    <row r="4" spans="1:5" ht="15.75" thickBot="1">
      <c r="A4" s="232" t="s">
        <v>116</v>
      </c>
      <c r="B4" s="233" t="s">
        <v>117</v>
      </c>
      <c r="C4" s="233" t="s">
        <v>118</v>
      </c>
      <c r="D4" s="233" t="s">
        <v>119</v>
      </c>
      <c r="E4" s="233" t="s">
        <v>120</v>
      </c>
    </row>
    <row r="5" spans="1:5" ht="15">
      <c r="A5" s="178">
        <v>0</v>
      </c>
      <c r="B5" s="179">
        <f>+'fc 5 años Sin Deuda'!B46</f>
        <v>-155782.5466666667</v>
      </c>
      <c r="C5" s="180"/>
      <c r="D5" s="180"/>
      <c r="E5" s="180"/>
    </row>
    <row r="6" spans="1:5" ht="15">
      <c r="A6" s="181">
        <v>1</v>
      </c>
      <c r="B6" s="231">
        <f>B5+D6</f>
        <v>-73472.2828299847</v>
      </c>
      <c r="C6" s="183">
        <f>+'fc 5 años Sin Deuda'!C46</f>
        <v>90744.9375</v>
      </c>
      <c r="D6" s="183">
        <f>+'fc 5 años Sin Deuda'!H48</f>
        <v>82310.26383668199</v>
      </c>
      <c r="E6" s="183">
        <f>D6</f>
        <v>82310.26383668199</v>
      </c>
    </row>
    <row r="7" spans="1:5" ht="15">
      <c r="A7" s="181">
        <v>2</v>
      </c>
      <c r="B7" s="182">
        <f>B6+D7</f>
        <v>1187.303914060365</v>
      </c>
      <c r="C7" s="183">
        <f>+'fc 5 años Sin Deuda'!D46</f>
        <v>90744.9375</v>
      </c>
      <c r="D7" s="183">
        <f>+'fc 5 años Sin Deuda'!I48</f>
        <v>74659.58674404507</v>
      </c>
      <c r="E7" s="183">
        <f>D7+E6</f>
        <v>156969.85058072704</v>
      </c>
    </row>
    <row r="8" spans="1:5" ht="15">
      <c r="A8" s="181">
        <v>3</v>
      </c>
      <c r="B8" s="182">
        <f>B7+D8</f>
        <v>68907.33824479088</v>
      </c>
      <c r="C8" s="183">
        <f>+'fc 5 años Sin Deuda'!E46</f>
        <v>90744.9375</v>
      </c>
      <c r="D8" s="183">
        <f>+'fc 5 años Sin Deuda'!J48</f>
        <v>67720.03433073052</v>
      </c>
      <c r="E8" s="183">
        <f>D8+E7</f>
        <v>224689.88491145754</v>
      </c>
    </row>
    <row r="9" spans="1:5" ht="15">
      <c r="A9" s="181">
        <v>4</v>
      </c>
      <c r="B9" s="182">
        <f>B8+D9</f>
        <v>130332.84633764278</v>
      </c>
      <c r="C9" s="183">
        <f>+'fc 5 años Sin Deuda'!F46</f>
        <v>90744.9375</v>
      </c>
      <c r="D9" s="183">
        <f>+'fc 5 años Sin Deuda'!K48</f>
        <v>61425.50809285191</v>
      </c>
      <c r="E9" s="183">
        <f>E8+D9</f>
        <v>286115.39300430944</v>
      </c>
    </row>
    <row r="10" spans="1:5" ht="15.75" thickBot="1">
      <c r="A10" s="184">
        <v>5</v>
      </c>
      <c r="B10" s="185">
        <f>B9+D10</f>
        <v>187085.00387661532</v>
      </c>
      <c r="C10" s="186">
        <f>+'fc 5 años Sin Deuda'!G46</f>
        <v>92432.44416666667</v>
      </c>
      <c r="D10" s="186">
        <f>+'fc 5 años Sin Deuda'!L48</f>
        <v>56752.15753897253</v>
      </c>
      <c r="E10" s="186">
        <f>E9+D10</f>
        <v>342867.55054328195</v>
      </c>
    </row>
    <row r="11" spans="1:5" ht="15">
      <c r="A11" s="358" t="s">
        <v>229</v>
      </c>
      <c r="B11" s="358"/>
      <c r="C11" s="358"/>
      <c r="D11" s="358"/>
      <c r="E11" s="358"/>
    </row>
    <row r="12" spans="1:5" ht="15" hidden="1">
      <c r="A12" s="187"/>
      <c r="B12" s="187"/>
      <c r="C12" s="187"/>
      <c r="D12" s="187"/>
      <c r="E12" s="188"/>
    </row>
    <row r="13" spans="1:2" ht="15">
      <c r="A13" s="187"/>
      <c r="B13" s="187"/>
    </row>
    <row r="14" spans="2:5" ht="15">
      <c r="B14" s="193"/>
      <c r="C14" s="189">
        <f>(-B6/D6)*365</f>
        <v>325.8084955984932</v>
      </c>
      <c r="D14" s="190">
        <f>C14/30</f>
        <v>10.86028318661644</v>
      </c>
      <c r="E14" s="191" t="s">
        <v>121</v>
      </c>
    </row>
    <row r="15" ht="15">
      <c r="B15" s="194"/>
    </row>
    <row r="16" spans="2:3" ht="15">
      <c r="B16" s="194"/>
      <c r="C16" s="194"/>
    </row>
  </sheetData>
  <sheetProtection/>
  <mergeCells count="2">
    <mergeCell ref="A3:E3"/>
    <mergeCell ref="A11:E1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7"/>
  <sheetViews>
    <sheetView zoomScale="115" zoomScaleNormal="115" zoomScalePageLayoutView="0" workbookViewId="0" topLeftCell="A37">
      <selection activeCell="B48" sqref="B48"/>
    </sheetView>
  </sheetViews>
  <sheetFormatPr defaultColWidth="11.421875" defaultRowHeight="15"/>
  <cols>
    <col min="1" max="1" width="32.28125" style="29" customWidth="1"/>
    <col min="2" max="2" width="14.8515625" style="29" customWidth="1"/>
    <col min="3" max="3" width="9.57421875" style="29" bestFit="1" customWidth="1"/>
    <col min="4" max="4" width="9.8515625" style="29" bestFit="1" customWidth="1"/>
    <col min="5" max="7" width="9.57421875" style="29" bestFit="1" customWidth="1"/>
    <col min="8" max="9" width="10.28125" style="29" customWidth="1"/>
    <col min="10" max="10" width="16.421875" style="29" customWidth="1"/>
    <col min="11" max="11" width="20.421875" style="29" customWidth="1"/>
    <col min="12" max="12" width="21.28125" style="29" customWidth="1"/>
    <col min="13" max="13" width="17.8515625" style="29" customWidth="1"/>
    <col min="14" max="14" width="14.140625" style="29" customWidth="1"/>
    <col min="15" max="16384" width="11.421875" style="29" customWidth="1"/>
  </cols>
  <sheetData>
    <row r="1" ht="14.25">
      <c r="A1" s="307" t="s">
        <v>241</v>
      </c>
    </row>
    <row r="2" ht="11.25"/>
    <row r="3" ht="11.25"/>
    <row r="4" spans="1:12" ht="11.25">
      <c r="A4" s="29" t="s">
        <v>84</v>
      </c>
      <c r="B4" s="80">
        <v>0.25</v>
      </c>
      <c r="H4" s="81"/>
      <c r="I4" s="81"/>
      <c r="J4" s="81"/>
      <c r="K4" s="81"/>
      <c r="L4" s="81"/>
    </row>
    <row r="5" spans="1:12" ht="12" thickBot="1">
      <c r="A5" s="29" t="s">
        <v>139</v>
      </c>
      <c r="B5" s="196">
        <v>0.6</v>
      </c>
      <c r="H5" s="81"/>
      <c r="I5" s="81"/>
      <c r="J5" s="81"/>
      <c r="K5" s="81"/>
      <c r="L5" s="81"/>
    </row>
    <row r="6" spans="1:12" ht="12" thickBot="1">
      <c r="A6" s="352" t="s">
        <v>86</v>
      </c>
      <c r="B6" s="353"/>
      <c r="C6" s="353"/>
      <c r="D6" s="353"/>
      <c r="E6" s="353"/>
      <c r="F6" s="353"/>
      <c r="G6" s="354"/>
      <c r="H6" s="28"/>
      <c r="I6" s="28"/>
      <c r="J6" s="28"/>
      <c r="K6" s="28"/>
      <c r="L6" s="28"/>
    </row>
    <row r="7" spans="1:12" ht="12" thickBot="1">
      <c r="A7" s="82" t="s">
        <v>87</v>
      </c>
      <c r="B7" s="34">
        <v>0</v>
      </c>
      <c r="C7" s="34">
        <v>1</v>
      </c>
      <c r="D7" s="34">
        <v>2</v>
      </c>
      <c r="E7" s="34">
        <v>3</v>
      </c>
      <c r="F7" s="35">
        <v>4</v>
      </c>
      <c r="G7" s="31">
        <v>5</v>
      </c>
      <c r="H7" s="83"/>
      <c r="I7" s="83"/>
      <c r="J7" s="83"/>
      <c r="K7" s="83"/>
      <c r="L7" s="83"/>
    </row>
    <row r="8" spans="1:12" ht="11.25">
      <c r="A8" s="82" t="str">
        <f>'[1]Flujo de caja 1 año'!A3</f>
        <v>Precio promedio unitario por lìnea</v>
      </c>
      <c r="B8" s="84"/>
      <c r="C8" s="85"/>
      <c r="D8" s="86"/>
      <c r="E8" s="86"/>
      <c r="F8" s="86"/>
      <c r="G8" s="85"/>
      <c r="H8" s="81"/>
      <c r="I8" s="81"/>
      <c r="J8" s="81"/>
      <c r="K8" s="81"/>
      <c r="L8" s="81"/>
    </row>
    <row r="9" spans="1:12" ht="11.25">
      <c r="A9" s="52" t="str">
        <f>+'fc primer año sin deuda'!A7</f>
        <v>Precio Inacake  crema helada</v>
      </c>
      <c r="B9" s="87"/>
      <c r="C9" s="88">
        <v>0.8</v>
      </c>
      <c r="D9" s="89">
        <f>C9</f>
        <v>0.8</v>
      </c>
      <c r="E9" s="89">
        <f>D9</f>
        <v>0.8</v>
      </c>
      <c r="F9" s="89">
        <f>E9</f>
        <v>0.8</v>
      </c>
      <c r="G9" s="89">
        <f>F9</f>
        <v>0.8</v>
      </c>
      <c r="H9" s="90"/>
      <c r="I9" s="90"/>
      <c r="J9" s="90"/>
      <c r="K9" s="90"/>
      <c r="L9" s="90"/>
    </row>
    <row r="10" spans="1:12" ht="11.25">
      <c r="A10" s="52" t="str">
        <f>+'fc primer año sin deuda'!A8</f>
        <v>Precio Bony  crema helada</v>
      </c>
      <c r="B10" s="87"/>
      <c r="C10" s="88">
        <v>0.8</v>
      </c>
      <c r="D10" s="89">
        <f aca="true" t="shared" si="0" ref="D10:G11">C10</f>
        <v>0.8</v>
      </c>
      <c r="E10" s="89">
        <f t="shared" si="0"/>
        <v>0.8</v>
      </c>
      <c r="F10" s="89">
        <f t="shared" si="0"/>
        <v>0.8</v>
      </c>
      <c r="G10" s="89">
        <f t="shared" si="0"/>
        <v>0.8</v>
      </c>
      <c r="H10" s="90"/>
      <c r="I10" s="90"/>
      <c r="J10" s="90"/>
      <c r="K10" s="90"/>
      <c r="L10" s="90"/>
    </row>
    <row r="11" spans="1:12" ht="11.25">
      <c r="A11" s="52" t="str">
        <f>+'fc primer año sin deuda'!A9</f>
        <v>Precio Tigreton  crema helada</v>
      </c>
      <c r="B11" s="87"/>
      <c r="C11" s="91">
        <v>0.85</v>
      </c>
      <c r="D11" s="89">
        <f t="shared" si="0"/>
        <v>0.85</v>
      </c>
      <c r="E11" s="89">
        <f t="shared" si="0"/>
        <v>0.85</v>
      </c>
      <c r="F11" s="89">
        <f t="shared" si="0"/>
        <v>0.85</v>
      </c>
      <c r="G11" s="89">
        <f t="shared" si="0"/>
        <v>0.85</v>
      </c>
      <c r="H11" s="90"/>
      <c r="I11" s="90"/>
      <c r="J11" s="90"/>
      <c r="K11" s="90"/>
      <c r="L11" s="90"/>
    </row>
    <row r="12" spans="1:12" ht="11.25">
      <c r="A12" s="52"/>
      <c r="B12" s="87"/>
      <c r="C12" s="88"/>
      <c r="D12" s="93"/>
      <c r="E12" s="93"/>
      <c r="F12" s="93"/>
      <c r="G12" s="88"/>
      <c r="H12" s="94"/>
      <c r="I12" s="94"/>
      <c r="J12" s="94"/>
      <c r="K12" s="94"/>
      <c r="L12" s="94"/>
    </row>
    <row r="13" spans="1:12" ht="11.25">
      <c r="A13" s="92" t="str">
        <f>+'fc primer año sin deuda'!A11</f>
        <v>Cantidades vendidas</v>
      </c>
      <c r="B13" s="87"/>
      <c r="C13" s="88"/>
      <c r="D13" s="93"/>
      <c r="E13" s="93"/>
      <c r="F13" s="93"/>
      <c r="G13" s="88"/>
      <c r="H13" s="94"/>
      <c r="I13" s="94"/>
      <c r="J13" s="94"/>
      <c r="K13" s="94"/>
      <c r="L13" s="94"/>
    </row>
    <row r="14" spans="1:12" ht="11.25">
      <c r="A14" s="52" t="str">
        <f>+'fc primer año sin deuda'!A12</f>
        <v>Unidades Inacake crema</v>
      </c>
      <c r="B14" s="50"/>
      <c r="C14" s="43">
        <f>+'fc primer año sin deuda'!N12</f>
        <v>105500</v>
      </c>
      <c r="D14" s="96">
        <f aca="true" t="shared" si="1" ref="D14:G16">C14</f>
        <v>105500</v>
      </c>
      <c r="E14" s="96">
        <f t="shared" si="1"/>
        <v>105500</v>
      </c>
      <c r="F14" s="96">
        <f t="shared" si="1"/>
        <v>105500</v>
      </c>
      <c r="G14" s="95">
        <f t="shared" si="1"/>
        <v>105500</v>
      </c>
      <c r="H14" s="97"/>
      <c r="I14" s="97"/>
      <c r="J14" s="97"/>
      <c r="K14" s="97"/>
      <c r="L14" s="97"/>
    </row>
    <row r="15" spans="1:12" ht="11.25">
      <c r="A15" s="52" t="str">
        <f>+'fc primer año sin deuda'!A13</f>
        <v>Unidades Bony crema</v>
      </c>
      <c r="B15" s="50"/>
      <c r="C15" s="43">
        <f>+'fc primer año sin deuda'!N13</f>
        <v>76500</v>
      </c>
      <c r="D15" s="96">
        <f t="shared" si="1"/>
        <v>76500</v>
      </c>
      <c r="E15" s="96">
        <f t="shared" si="1"/>
        <v>76500</v>
      </c>
      <c r="F15" s="96">
        <f t="shared" si="1"/>
        <v>76500</v>
      </c>
      <c r="G15" s="95">
        <f t="shared" si="1"/>
        <v>76500</v>
      </c>
      <c r="H15" s="97"/>
      <c r="I15" s="97"/>
      <c r="J15" s="97"/>
      <c r="K15" s="97"/>
      <c r="L15" s="97"/>
    </row>
    <row r="16" spans="1:12" ht="11.25">
      <c r="A16" s="52" t="str">
        <f>+'fc primer año sin deuda'!A14</f>
        <v>Unidades tigreton crema</v>
      </c>
      <c r="B16" s="50"/>
      <c r="C16" s="43">
        <f>+'fc primer año sin deuda'!N14</f>
        <v>105500</v>
      </c>
      <c r="D16" s="96">
        <f t="shared" si="1"/>
        <v>105500</v>
      </c>
      <c r="E16" s="96">
        <f t="shared" si="1"/>
        <v>105500</v>
      </c>
      <c r="F16" s="96">
        <f t="shared" si="1"/>
        <v>105500</v>
      </c>
      <c r="G16" s="95">
        <f t="shared" si="1"/>
        <v>105500</v>
      </c>
      <c r="H16" s="97"/>
      <c r="I16" s="97"/>
      <c r="J16" s="97"/>
      <c r="K16" s="97"/>
      <c r="L16" s="97"/>
    </row>
    <row r="17" spans="1:12" ht="11.25">
      <c r="A17" s="52" t="str">
        <f>+'fc primer año sin deuda'!A15</f>
        <v>Total Ingresos</v>
      </c>
      <c r="B17" s="87"/>
      <c r="C17" s="98">
        <f>(C9*C14)+(C10*C15)+(C11*C16)</f>
        <v>235275</v>
      </c>
      <c r="D17" s="99">
        <f>(D9*D14)+(D10*D15)+(D11*D16)</f>
        <v>235275</v>
      </c>
      <c r="E17" s="99">
        <f>(E9*E14)+(E10*E15)+(E11*E16)</f>
        <v>235275</v>
      </c>
      <c r="F17" s="99">
        <f>(F9*F14)+(F10*F15)+(F11*F16)</f>
        <v>235275</v>
      </c>
      <c r="G17" s="98">
        <f>(G9*G14)+(G10*G15)+(G11*G16)</f>
        <v>235275</v>
      </c>
      <c r="H17" s="100"/>
      <c r="I17" s="100"/>
      <c r="J17" s="100"/>
      <c r="K17" s="100"/>
      <c r="L17" s="100"/>
    </row>
    <row r="18" spans="1:12" ht="11.25">
      <c r="A18" s="92"/>
      <c r="B18" s="87"/>
      <c r="C18" s="52"/>
      <c r="D18" s="93"/>
      <c r="E18" s="93"/>
      <c r="F18" s="93"/>
      <c r="G18" s="88"/>
      <c r="H18" s="94"/>
      <c r="I18" s="94"/>
      <c r="J18" s="94"/>
      <c r="K18" s="94"/>
      <c r="L18" s="94"/>
    </row>
    <row r="19" spans="1:12" ht="11.25">
      <c r="A19" s="92" t="str">
        <f>'[1]Flujo de caja 1 año'!A14</f>
        <v>Costo de venta unitario</v>
      </c>
      <c r="B19" s="87"/>
      <c r="C19" s="88"/>
      <c r="D19" s="93"/>
      <c r="E19" s="93"/>
      <c r="F19" s="93"/>
      <c r="G19" s="88"/>
      <c r="H19" s="94"/>
      <c r="I19" s="94"/>
      <c r="J19" s="94"/>
      <c r="K19" s="94"/>
      <c r="L19" s="94"/>
    </row>
    <row r="20" spans="1:12" ht="11.25">
      <c r="A20" s="52" t="str">
        <f>+'fc primer año sin deuda'!A18</f>
        <v>Costo Inacake crema</v>
      </c>
      <c r="B20" s="87"/>
      <c r="C20" s="91">
        <v>0.24</v>
      </c>
      <c r="D20" s="89">
        <f aca="true" t="shared" si="2" ref="D20:G22">C20</f>
        <v>0.24</v>
      </c>
      <c r="E20" s="89">
        <f t="shared" si="2"/>
        <v>0.24</v>
      </c>
      <c r="F20" s="89">
        <f t="shared" si="2"/>
        <v>0.24</v>
      </c>
      <c r="G20" s="89">
        <f t="shared" si="2"/>
        <v>0.24</v>
      </c>
      <c r="H20" s="90"/>
      <c r="I20" s="90"/>
      <c r="J20" s="90"/>
      <c r="K20" s="90"/>
      <c r="L20" s="90"/>
    </row>
    <row r="21" spans="1:12" ht="11.25">
      <c r="A21" s="52" t="str">
        <f>+'fc primer año sin deuda'!A19</f>
        <v>Costo Bony crema</v>
      </c>
      <c r="B21" s="87"/>
      <c r="C21" s="91">
        <v>0.25</v>
      </c>
      <c r="D21" s="89">
        <f t="shared" si="2"/>
        <v>0.25</v>
      </c>
      <c r="E21" s="89">
        <f t="shared" si="2"/>
        <v>0.25</v>
      </c>
      <c r="F21" s="89">
        <f t="shared" si="2"/>
        <v>0.25</v>
      </c>
      <c r="G21" s="89">
        <f t="shared" si="2"/>
        <v>0.25</v>
      </c>
      <c r="H21" s="90"/>
      <c r="I21" s="90"/>
      <c r="J21" s="90"/>
      <c r="K21" s="90"/>
      <c r="L21" s="90"/>
    </row>
    <row r="22" spans="1:12" ht="11.25">
      <c r="A22" s="52" t="str">
        <f>+'fc primer año sin deuda'!A20</f>
        <v>Costo Tigreton crema</v>
      </c>
      <c r="B22" s="87"/>
      <c r="C22" s="91">
        <v>0.27</v>
      </c>
      <c r="D22" s="89">
        <f t="shared" si="2"/>
        <v>0.27</v>
      </c>
      <c r="E22" s="89">
        <f t="shared" si="2"/>
        <v>0.27</v>
      </c>
      <c r="F22" s="89">
        <f t="shared" si="2"/>
        <v>0.27</v>
      </c>
      <c r="G22" s="89">
        <f t="shared" si="2"/>
        <v>0.27</v>
      </c>
      <c r="H22" s="90"/>
      <c r="I22" s="90"/>
      <c r="J22" s="90"/>
      <c r="K22" s="90"/>
      <c r="L22" s="90"/>
    </row>
    <row r="23" spans="1:12" ht="11.25">
      <c r="A23" s="92" t="str">
        <f>'[1]Flujo de caja 1 año'!A18</f>
        <v>Total costo de ventas unitario</v>
      </c>
      <c r="B23" s="87"/>
      <c r="C23" s="101">
        <f>SUM(C20:C22)</f>
        <v>0.76</v>
      </c>
      <c r="D23" s="102">
        <f>SUM(D20:D22)</f>
        <v>0.76</v>
      </c>
      <c r="E23" s="102">
        <f>SUM(E20:E22)</f>
        <v>0.76</v>
      </c>
      <c r="F23" s="102">
        <f>SUM(F20:F22)</f>
        <v>0.76</v>
      </c>
      <c r="G23" s="101">
        <f>SUM(G20:G22)</f>
        <v>0.76</v>
      </c>
      <c r="H23" s="103"/>
      <c r="I23" s="103"/>
      <c r="J23" s="103"/>
      <c r="K23" s="103"/>
      <c r="L23" s="103"/>
    </row>
    <row r="24" spans="1:12" ht="11.25">
      <c r="A24" s="92"/>
      <c r="B24" s="87"/>
      <c r="C24" s="88"/>
      <c r="D24" s="93"/>
      <c r="E24" s="93"/>
      <c r="F24" s="93"/>
      <c r="G24" s="88"/>
      <c r="H24" s="94"/>
      <c r="I24" s="94"/>
      <c r="J24" s="94"/>
      <c r="K24" s="94"/>
      <c r="L24" s="94"/>
    </row>
    <row r="25" spans="1:12" ht="11.25">
      <c r="A25" s="92" t="str">
        <f>'[1]Flujo de caja 1 año'!A20</f>
        <v>Costos de Venta</v>
      </c>
      <c r="B25" s="87"/>
      <c r="C25" s="88"/>
      <c r="D25" s="93"/>
      <c r="E25" s="93"/>
      <c r="F25" s="93"/>
      <c r="G25" s="88"/>
      <c r="H25" s="94"/>
      <c r="I25" s="94"/>
      <c r="J25" s="94"/>
      <c r="K25" s="94"/>
      <c r="L25" s="94"/>
    </row>
    <row r="26" spans="1:14" ht="11.25">
      <c r="A26" s="52" t="str">
        <f>+'fc primer año sin deuda'!A24</f>
        <v>Costo Inacake crema</v>
      </c>
      <c r="B26" s="44"/>
      <c r="C26" s="95">
        <f>+C20*C14</f>
        <v>25320</v>
      </c>
      <c r="D26" s="95">
        <f>D20*D14</f>
        <v>25320</v>
      </c>
      <c r="E26" s="95">
        <f>E20*E14</f>
        <v>25320</v>
      </c>
      <c r="F26" s="95">
        <f>F20*F14</f>
        <v>25320</v>
      </c>
      <c r="G26" s="95">
        <f>G20*G14</f>
        <v>25320</v>
      </c>
      <c r="H26" s="90"/>
      <c r="I26" s="90"/>
      <c r="J26" s="90"/>
      <c r="K26" s="90"/>
      <c r="L26" s="90"/>
      <c r="M26" s="104"/>
      <c r="N26" s="104"/>
    </row>
    <row r="27" spans="1:14" ht="11.25">
      <c r="A27" s="52" t="str">
        <f>+'fc primer año sin deuda'!A25</f>
        <v>Costo Bony crema</v>
      </c>
      <c r="B27" s="44"/>
      <c r="C27" s="95">
        <f>+C21*C15</f>
        <v>19125</v>
      </c>
      <c r="D27" s="95">
        <f aca="true" t="shared" si="3" ref="D27:G28">D21*D15</f>
        <v>19125</v>
      </c>
      <c r="E27" s="95">
        <f t="shared" si="3"/>
        <v>19125</v>
      </c>
      <c r="F27" s="95">
        <f t="shared" si="3"/>
        <v>19125</v>
      </c>
      <c r="G27" s="95">
        <f t="shared" si="3"/>
        <v>19125</v>
      </c>
      <c r="H27" s="90"/>
      <c r="I27" s="90"/>
      <c r="J27" s="90"/>
      <c r="K27" s="90"/>
      <c r="L27" s="90"/>
      <c r="M27" s="104"/>
      <c r="N27" s="104"/>
    </row>
    <row r="28" spans="1:14" ht="11.25">
      <c r="A28" s="52" t="str">
        <f>+'fc primer año sin deuda'!A26</f>
        <v>Costo Tigreton crema</v>
      </c>
      <c r="B28" s="44"/>
      <c r="C28" s="95">
        <f>+C22*C16</f>
        <v>28485.000000000004</v>
      </c>
      <c r="D28" s="95">
        <f t="shared" si="3"/>
        <v>28485.000000000004</v>
      </c>
      <c r="E28" s="95">
        <f t="shared" si="3"/>
        <v>28485.000000000004</v>
      </c>
      <c r="F28" s="95">
        <f t="shared" si="3"/>
        <v>28485.000000000004</v>
      </c>
      <c r="G28" s="95">
        <f t="shared" si="3"/>
        <v>28485.000000000004</v>
      </c>
      <c r="H28" s="90"/>
      <c r="I28" s="90"/>
      <c r="J28" s="90"/>
      <c r="K28" s="90"/>
      <c r="L28" s="90"/>
      <c r="M28" s="104"/>
      <c r="N28" s="104"/>
    </row>
    <row r="29" spans="1:14" ht="13.5" customHeight="1">
      <c r="A29" s="92" t="str">
        <f>'[1]Flujo de caja 1 año'!A24</f>
        <v>Total costo de venta</v>
      </c>
      <c r="B29" s="44"/>
      <c r="C29" s="98">
        <f>SUM(C26:C28)</f>
        <v>72930</v>
      </c>
      <c r="D29" s="98">
        <f>SUM(D26:D28)</f>
        <v>72930</v>
      </c>
      <c r="E29" s="98">
        <f>SUM(E26:E28)</f>
        <v>72930</v>
      </c>
      <c r="F29" s="98">
        <f>SUM(F26:F28)</f>
        <v>72930</v>
      </c>
      <c r="G29" s="98">
        <f>SUM(G26:G28)</f>
        <v>72930</v>
      </c>
      <c r="H29" s="103"/>
      <c r="I29" s="103"/>
      <c r="J29" s="103"/>
      <c r="K29" s="103"/>
      <c r="L29" s="103"/>
      <c r="M29" s="104"/>
      <c r="N29" s="104"/>
    </row>
    <row r="30" spans="1:14" ht="13.5" customHeight="1">
      <c r="A30" s="92"/>
      <c r="B30" s="44"/>
      <c r="C30" s="38"/>
      <c r="D30" s="39"/>
      <c r="E30" s="39"/>
      <c r="F30" s="39"/>
      <c r="G30" s="38"/>
      <c r="H30" s="105"/>
      <c r="I30" s="105"/>
      <c r="J30" s="105"/>
      <c r="K30" s="105"/>
      <c r="L30" s="105"/>
      <c r="M30" s="104"/>
      <c r="N30" s="104"/>
    </row>
    <row r="31" spans="1:14" ht="13.5" customHeight="1">
      <c r="A31" s="92" t="s">
        <v>88</v>
      </c>
      <c r="B31" s="44"/>
      <c r="C31" s="95">
        <v>20000</v>
      </c>
      <c r="D31" s="95">
        <v>20000</v>
      </c>
      <c r="E31" s="95">
        <v>20000</v>
      </c>
      <c r="F31" s="95">
        <v>20000</v>
      </c>
      <c r="G31" s="95">
        <v>20000</v>
      </c>
      <c r="H31" s="106"/>
      <c r="I31" s="106"/>
      <c r="J31" s="106"/>
      <c r="K31" s="106"/>
      <c r="L31" s="106"/>
      <c r="M31" s="104"/>
      <c r="N31" s="104"/>
    </row>
    <row r="32" spans="1:14" ht="12.75" customHeight="1">
      <c r="A32" s="92" t="s">
        <v>140</v>
      </c>
      <c r="B32" s="44"/>
      <c r="C32" s="95">
        <v>8702.0130568</v>
      </c>
      <c r="D32" s="95">
        <v>7256.92466327052</v>
      </c>
      <c r="E32" s="95">
        <v>5677.29854030344</v>
      </c>
      <c r="F32" s="95">
        <v>3950.60922528812</v>
      </c>
      <c r="G32" s="95">
        <v>2063.16513504488</v>
      </c>
      <c r="H32" s="106"/>
      <c r="I32" s="106"/>
      <c r="J32" s="106"/>
      <c r="K32" s="106"/>
      <c r="L32" s="106"/>
      <c r="M32" s="104"/>
      <c r="N32" s="104"/>
    </row>
    <row r="33" spans="1:14" ht="11.25">
      <c r="A33" s="92"/>
      <c r="B33" s="109"/>
      <c r="C33" s="47"/>
      <c r="D33" s="110"/>
      <c r="E33" s="110"/>
      <c r="F33" s="110"/>
      <c r="G33" s="47"/>
      <c r="H33" s="111"/>
      <c r="I33" s="111"/>
      <c r="J33" s="111"/>
      <c r="K33" s="111"/>
      <c r="L33" s="111"/>
      <c r="M33" s="104"/>
      <c r="N33" s="104"/>
    </row>
    <row r="34" spans="1:14" ht="11.25">
      <c r="A34" s="112" t="s">
        <v>89</v>
      </c>
      <c r="B34" s="109"/>
      <c r="C34" s="47">
        <f>C17-C29-C31-C32</f>
        <v>133642.9869432</v>
      </c>
      <c r="D34" s="47">
        <f>D17-D29-D31-D32</f>
        <v>135088.07533672947</v>
      </c>
      <c r="E34" s="47">
        <f>E17-E29-E31-E32</f>
        <v>136667.70145969657</v>
      </c>
      <c r="F34" s="47">
        <f>F17-F29-F31-F32</f>
        <v>138394.39077471188</v>
      </c>
      <c r="G34" s="47">
        <f>G17-G29-G31-G32</f>
        <v>140281.83486495513</v>
      </c>
      <c r="H34" s="111"/>
      <c r="I34" s="111"/>
      <c r="J34" s="111"/>
      <c r="K34" s="111"/>
      <c r="L34" s="111"/>
      <c r="M34" s="104"/>
      <c r="N34" s="104"/>
    </row>
    <row r="35" spans="1:14" ht="11.25">
      <c r="A35" s="113" t="s">
        <v>90</v>
      </c>
      <c r="B35" s="44"/>
      <c r="C35" s="114">
        <f>C64</f>
        <v>33410.7467358</v>
      </c>
      <c r="D35" s="115">
        <f aca="true" t="shared" si="4" ref="C35:G36">D64</f>
        <v>33772.01883418237</v>
      </c>
      <c r="E35" s="115">
        <f t="shared" si="4"/>
        <v>34166.925364924144</v>
      </c>
      <c r="F35" s="115">
        <f t="shared" si="4"/>
        <v>34598.59769367797</v>
      </c>
      <c r="G35" s="114">
        <f t="shared" si="4"/>
        <v>35070.45871623878</v>
      </c>
      <c r="H35" s="49"/>
      <c r="I35" s="49"/>
      <c r="J35" s="49"/>
      <c r="K35" s="49"/>
      <c r="L35" s="49"/>
      <c r="M35" s="104"/>
      <c r="N35" s="104"/>
    </row>
    <row r="36" spans="1:14" ht="11.25">
      <c r="A36" s="113" t="s">
        <v>91</v>
      </c>
      <c r="B36" s="44"/>
      <c r="C36" s="114">
        <f t="shared" si="4"/>
        <v>15034.836031109999</v>
      </c>
      <c r="D36" s="115">
        <f t="shared" si="4"/>
        <v>15197.408475382064</v>
      </c>
      <c r="E36" s="115">
        <f t="shared" si="4"/>
        <v>15375.116414215863</v>
      </c>
      <c r="F36" s="115">
        <f t="shared" si="4"/>
        <v>15569.368962155088</v>
      </c>
      <c r="G36" s="114">
        <f t="shared" si="4"/>
        <v>15781.70642230745</v>
      </c>
      <c r="H36" s="49"/>
      <c r="I36" s="49"/>
      <c r="J36" s="49"/>
      <c r="K36" s="49"/>
      <c r="L36" s="49"/>
      <c r="M36" s="104"/>
      <c r="N36" s="104"/>
    </row>
    <row r="37" spans="1:14" s="121" customFormat="1" ht="11.25">
      <c r="A37" s="116" t="s">
        <v>92</v>
      </c>
      <c r="B37" s="117"/>
      <c r="C37" s="118">
        <f>C34-C35-C36</f>
        <v>85197.40417629</v>
      </c>
      <c r="D37" s="119">
        <f>D34-D35-D36</f>
        <v>86118.64802716504</v>
      </c>
      <c r="E37" s="119">
        <f>E34-E35-E36</f>
        <v>87125.65968055656</v>
      </c>
      <c r="F37" s="119">
        <f>F34-F35-F36</f>
        <v>88226.42411887883</v>
      </c>
      <c r="G37" s="118">
        <f>G34-G35-G36</f>
        <v>89429.66972640889</v>
      </c>
      <c r="H37" s="111"/>
      <c r="I37" s="111"/>
      <c r="J37" s="111"/>
      <c r="K37" s="111"/>
      <c r="L37" s="111"/>
      <c r="M37" s="120"/>
      <c r="N37" s="120"/>
    </row>
    <row r="38" spans="1:14" s="121" customFormat="1" ht="11.25">
      <c r="A38" s="220" t="s">
        <v>136</v>
      </c>
      <c r="B38" s="117"/>
      <c r="C38" s="118">
        <v>15521.8946673414</v>
      </c>
      <c r="D38" s="119">
        <v>16966.9830608709</v>
      </c>
      <c r="E38" s="119">
        <v>18546.609183838</v>
      </c>
      <c r="F38" s="119">
        <v>20273.2984988533</v>
      </c>
      <c r="G38" s="119">
        <v>22160.7425890965</v>
      </c>
      <c r="H38" s="111"/>
      <c r="I38" s="111"/>
      <c r="J38" s="111"/>
      <c r="K38" s="111"/>
      <c r="L38" s="111"/>
      <c r="M38" s="120"/>
      <c r="N38" s="120"/>
    </row>
    <row r="39" spans="1:14" s="121" customFormat="1" ht="11.25">
      <c r="A39" s="220"/>
      <c r="B39" s="117"/>
      <c r="C39" s="118"/>
      <c r="D39" s="119"/>
      <c r="E39" s="119"/>
      <c r="F39" s="119"/>
      <c r="G39" s="118"/>
      <c r="H39" s="111"/>
      <c r="I39" s="111"/>
      <c r="J39" s="111"/>
      <c r="K39" s="111"/>
      <c r="L39" s="111"/>
      <c r="M39" s="120"/>
      <c r="N39" s="120"/>
    </row>
    <row r="40" spans="1:14" ht="11.25">
      <c r="A40" s="92"/>
      <c r="B40" s="44"/>
      <c r="C40" s="114"/>
      <c r="D40" s="115"/>
      <c r="E40" s="115"/>
      <c r="F40" s="115"/>
      <c r="G40" s="114"/>
      <c r="H40" s="49"/>
      <c r="I40" s="49"/>
      <c r="J40" s="49"/>
      <c r="K40" s="49"/>
      <c r="L40" s="49"/>
      <c r="M40" s="104"/>
      <c r="N40" s="104"/>
    </row>
    <row r="41" spans="1:14" ht="11.25">
      <c r="A41" s="92" t="str">
        <f>'[1]Flujo de caja 1 año'!A28</f>
        <v>Inversion inicial</v>
      </c>
      <c r="B41" s="44"/>
      <c r="C41" s="114"/>
      <c r="D41" s="115"/>
      <c r="E41" s="115"/>
      <c r="F41" s="115"/>
      <c r="G41" s="114"/>
      <c r="H41" s="49"/>
      <c r="I41" s="49"/>
      <c r="J41" s="49"/>
      <c r="K41" s="49"/>
      <c r="L41" s="49"/>
      <c r="M41" s="104"/>
      <c r="N41" s="104"/>
    </row>
    <row r="42" spans="1:14" ht="11.25">
      <c r="A42" s="52" t="str">
        <f>'[1]Flujo de caja 1 año'!A29</f>
        <v>Registro sanitario</v>
      </c>
      <c r="B42" s="122">
        <f>+'fc primer año sin deuda'!N32*-1</f>
        <v>-6400</v>
      </c>
      <c r="C42" s="114"/>
      <c r="D42" s="115"/>
      <c r="E42" s="115"/>
      <c r="F42" s="115"/>
      <c r="G42" s="114"/>
      <c r="H42" s="49"/>
      <c r="I42" s="49"/>
      <c r="J42" s="49"/>
      <c r="K42" s="49"/>
      <c r="L42" s="49"/>
      <c r="M42" s="104"/>
      <c r="N42" s="104"/>
    </row>
    <row r="43" spans="1:14" ht="11.25">
      <c r="A43" s="52" t="s">
        <v>72</v>
      </c>
      <c r="B43" s="122">
        <f>+'fc primer año sin deuda'!N33*-1</f>
        <v>-39695.04</v>
      </c>
      <c r="C43" s="114"/>
      <c r="D43" s="115"/>
      <c r="E43" s="115"/>
      <c r="F43" s="115"/>
      <c r="G43" s="114"/>
      <c r="H43" s="49"/>
      <c r="I43" s="49"/>
      <c r="J43" s="49"/>
      <c r="K43" s="49"/>
      <c r="L43" s="81"/>
      <c r="M43" s="104"/>
      <c r="N43" s="104"/>
    </row>
    <row r="44" spans="1:14" ht="11.25">
      <c r="A44" s="52" t="s">
        <v>73</v>
      </c>
      <c r="B44" s="122">
        <f>+'fc primer año sin deuda'!N34*-1</f>
        <v>-8000</v>
      </c>
      <c r="C44" s="114"/>
      <c r="D44" s="115"/>
      <c r="E44" s="115"/>
      <c r="F44" s="115"/>
      <c r="G44" s="114"/>
      <c r="H44" s="49"/>
      <c r="I44" s="49"/>
      <c r="J44" s="49"/>
      <c r="K44" s="49"/>
      <c r="L44" s="81"/>
      <c r="M44" s="104"/>
      <c r="N44" s="104"/>
    </row>
    <row r="45" spans="1:14" ht="11.25">
      <c r="A45" s="52" t="s">
        <v>114</v>
      </c>
      <c r="B45" s="123">
        <f>+'fc primer año sin deuda'!N35*-1</f>
        <v>-100000</v>
      </c>
      <c r="C45" s="124"/>
      <c r="D45" s="125"/>
      <c r="E45" s="125"/>
      <c r="F45" s="125"/>
      <c r="G45" s="124"/>
      <c r="H45" s="126"/>
      <c r="I45" s="126"/>
      <c r="J45" s="126"/>
      <c r="K45" s="126"/>
      <c r="L45" s="81"/>
      <c r="M45" s="104"/>
      <c r="N45" s="104"/>
    </row>
    <row r="46" spans="1:14" ht="11.25">
      <c r="A46" s="92" t="str">
        <f>'[1]Flujo de caja 1 año'!A33</f>
        <v>Total Inversion inicial</v>
      </c>
      <c r="B46" s="127">
        <f>SUM(B42:B45)</f>
        <v>-154095.04</v>
      </c>
      <c r="C46" s="54"/>
      <c r="D46" s="55"/>
      <c r="E46" s="55"/>
      <c r="F46" s="55"/>
      <c r="G46" s="54"/>
      <c r="H46" s="128"/>
      <c r="I46" s="128"/>
      <c r="J46" s="128"/>
      <c r="K46" s="128"/>
      <c r="L46" s="81"/>
      <c r="M46" s="104"/>
      <c r="N46" s="104"/>
    </row>
    <row r="47" spans="1:14" ht="11.25">
      <c r="A47" s="92"/>
      <c r="B47" s="129"/>
      <c r="C47" s="114"/>
      <c r="D47" s="56"/>
      <c r="E47" s="56"/>
      <c r="F47" s="56"/>
      <c r="G47" s="40"/>
      <c r="H47" s="130"/>
      <c r="I47" s="130"/>
      <c r="J47" s="130"/>
      <c r="K47" s="130"/>
      <c r="L47" s="81"/>
      <c r="M47" s="104"/>
      <c r="N47" s="104"/>
    </row>
    <row r="48" spans="1:14" ht="12" thickBot="1">
      <c r="A48" s="92" t="s">
        <v>93</v>
      </c>
      <c r="B48" s="131">
        <f>-+'fc primer año sin deuda'!C45*-1</f>
        <v>-1687.506666666668</v>
      </c>
      <c r="C48" s="132">
        <v>0</v>
      </c>
      <c r="D48" s="133">
        <v>0</v>
      </c>
      <c r="E48" s="133">
        <v>0</v>
      </c>
      <c r="F48" s="133">
        <v>0</v>
      </c>
      <c r="G48" s="132">
        <f>-B48</f>
        <v>1687.506666666668</v>
      </c>
      <c r="H48" s="130"/>
      <c r="I48" s="130"/>
      <c r="J48" s="130"/>
      <c r="K48" s="130"/>
      <c r="L48" s="81"/>
      <c r="M48" s="104"/>
      <c r="N48" s="104"/>
    </row>
    <row r="49" spans="1:14" ht="12" thickBot="1">
      <c r="A49" s="92" t="s">
        <v>135</v>
      </c>
      <c r="B49" s="221">
        <v>93469.53</v>
      </c>
      <c r="C49" s="133"/>
      <c r="D49" s="133"/>
      <c r="E49" s="133"/>
      <c r="F49" s="133"/>
      <c r="G49" s="132"/>
      <c r="H49" s="130"/>
      <c r="I49" s="130"/>
      <c r="J49" s="130"/>
      <c r="K49" s="130"/>
      <c r="L49" s="81"/>
      <c r="M49" s="104"/>
      <c r="N49" s="104"/>
    </row>
    <row r="50" spans="1:21" s="33" customFormat="1" ht="12" thickBot="1">
      <c r="A50" s="134" t="s">
        <v>94</v>
      </c>
      <c r="B50" s="135">
        <f>+B46+B48+B49</f>
        <v>-62313.01666666669</v>
      </c>
      <c r="C50" s="135">
        <f>C37-C38</f>
        <v>69675.5095089486</v>
      </c>
      <c r="D50" s="135">
        <f>D37-D38</f>
        <v>69151.66496629413</v>
      </c>
      <c r="E50" s="135">
        <f>E37-E38</f>
        <v>68579.05049671856</v>
      </c>
      <c r="F50" s="135">
        <f>F37-F38</f>
        <v>67953.12562002553</v>
      </c>
      <c r="G50" s="135">
        <f>G37-G38+G48</f>
        <v>68956.43380397906</v>
      </c>
      <c r="H50" s="137"/>
      <c r="I50" s="137"/>
      <c r="J50" s="137"/>
      <c r="K50" s="137"/>
      <c r="L50" s="137"/>
      <c r="M50" s="138"/>
      <c r="N50" s="138"/>
      <c r="O50" s="139"/>
      <c r="P50" s="139"/>
      <c r="Q50" s="139"/>
      <c r="R50" s="139"/>
      <c r="S50" s="139"/>
      <c r="T50" s="139"/>
      <c r="U50" s="139"/>
    </row>
    <row r="51" spans="1:21" s="33" customFormat="1" ht="12" thickBot="1">
      <c r="A51" s="140" t="s">
        <v>95</v>
      </c>
      <c r="B51" s="141">
        <f>IRR(B50:G50)</f>
        <v>1.0835643661345737</v>
      </c>
      <c r="C51" s="142"/>
      <c r="D51" s="142"/>
      <c r="E51" s="142"/>
      <c r="F51" s="142"/>
      <c r="G51" s="142"/>
      <c r="H51" s="143"/>
      <c r="I51" s="143"/>
      <c r="J51" s="143"/>
      <c r="K51" s="143"/>
      <c r="L51" s="143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2" s="33" customFormat="1" ht="12" thickBot="1">
      <c r="A52" s="144" t="s">
        <v>96</v>
      </c>
      <c r="B52" s="145">
        <f>SUM(H52:L52)+B50</f>
        <v>197294.36434953831</v>
      </c>
      <c r="C52" s="235"/>
      <c r="D52" s="142"/>
      <c r="F52" s="142"/>
      <c r="G52" s="142"/>
      <c r="H52" s="146">
        <f>+C50/((1+$B$54)^C7)</f>
        <v>63199.22332457173</v>
      </c>
      <c r="I52" s="146">
        <f>+D50/((1+$B$54)^D7)</f>
        <v>56893.91465001758</v>
      </c>
      <c r="J52" s="146">
        <f>+E50/((1+$B$54)^E7)</f>
        <v>51178.34429062979</v>
      </c>
      <c r="K52" s="146">
        <f>+F50/((1+$B$54)^F7)</f>
        <v>45997.66535414122</v>
      </c>
      <c r="L52" s="146">
        <f>+G50/((1+$B$54)^G7)</f>
        <v>42338.233396844706</v>
      </c>
      <c r="R52" s="146"/>
      <c r="S52" s="146"/>
      <c r="T52" s="146"/>
      <c r="U52" s="146"/>
      <c r="V52" s="146"/>
    </row>
    <row r="53" spans="1:21" s="33" customFormat="1" ht="12" thickBot="1">
      <c r="A53" s="75" t="s">
        <v>97</v>
      </c>
      <c r="B53" s="147">
        <f>+'tasa de descuento'!F14</f>
        <v>0.10247414198615473</v>
      </c>
      <c r="C53" s="148"/>
      <c r="D53" s="228"/>
      <c r="J53" s="143"/>
      <c r="K53" s="143"/>
      <c r="L53" s="143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s="33" customFormat="1" ht="11.25">
      <c r="A54" s="138"/>
      <c r="B54" s="149">
        <f>B53</f>
        <v>0.10247414198615473</v>
      </c>
      <c r="C54" s="149"/>
      <c r="J54" s="143"/>
      <c r="K54" s="143"/>
      <c r="L54" s="143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s="33" customFormat="1" ht="11.25">
      <c r="A55" s="142" t="s">
        <v>98</v>
      </c>
      <c r="B55" s="150">
        <v>0.07</v>
      </c>
      <c r="C55" s="149"/>
      <c r="J55" s="143"/>
      <c r="K55" s="143"/>
      <c r="L55" s="143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s="33" customFormat="1" ht="11.25">
      <c r="A56" s="151" t="s">
        <v>99</v>
      </c>
      <c r="B56" s="152" t="s">
        <v>100</v>
      </c>
      <c r="C56" s="153"/>
      <c r="F56" s="67"/>
      <c r="J56" s="143"/>
      <c r="K56" s="143"/>
      <c r="L56" s="143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s="155" customFormat="1" ht="12" thickBot="1">
      <c r="A57" s="29"/>
      <c r="B57" s="29"/>
      <c r="C57" s="154"/>
      <c r="D57" s="154"/>
      <c r="E57" s="154"/>
      <c r="F57" s="154"/>
      <c r="G57" s="154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7" ht="12" thickBot="1">
      <c r="A58" s="30" t="s">
        <v>101</v>
      </c>
      <c r="C58" s="154"/>
      <c r="D58" s="154"/>
      <c r="E58" s="154"/>
      <c r="F58" s="154"/>
      <c r="G58" s="154"/>
    </row>
    <row r="59" spans="1:12" ht="11.25">
      <c r="A59" s="84" t="s">
        <v>102</v>
      </c>
      <c r="B59" s="156"/>
      <c r="C59" s="157">
        <f>IF(C34&lt;0,0,C34)</f>
        <v>133642.9869432</v>
      </c>
      <c r="D59" s="157">
        <f>IF(D34&lt;0,0,D34)</f>
        <v>135088.07533672947</v>
      </c>
      <c r="E59" s="157">
        <f>IF(E34&lt;0,0,E34)</f>
        <v>136667.70145969657</v>
      </c>
      <c r="F59" s="157">
        <f>IF(F34&lt;0,0,F34)</f>
        <v>138394.39077471188</v>
      </c>
      <c r="G59" s="158">
        <f>IF(G34&lt;0,0,G34)</f>
        <v>140281.83486495513</v>
      </c>
      <c r="H59" s="159"/>
      <c r="I59" s="159"/>
      <c r="J59" s="159"/>
      <c r="K59" s="159"/>
      <c r="L59" s="159"/>
    </row>
    <row r="60" spans="1:12" ht="11.25">
      <c r="A60" s="50" t="s">
        <v>103</v>
      </c>
      <c r="B60" s="160"/>
      <c r="C60" s="161">
        <f>+IF(C34&gt;0,0,C34)</f>
        <v>0</v>
      </c>
      <c r="D60" s="161">
        <f>+IF(D34&gt;0,0,D34)</f>
        <v>0</v>
      </c>
      <c r="E60" s="161">
        <f>+IF(E34&gt;0,0,E34)</f>
        <v>0</v>
      </c>
      <c r="F60" s="161">
        <f>+IF(F34&gt;0,0,F34)</f>
        <v>0</v>
      </c>
      <c r="G60" s="162">
        <f>+IF(G34&gt;0,0,G34)</f>
        <v>0</v>
      </c>
      <c r="H60" s="163"/>
      <c r="I60" s="163"/>
      <c r="J60" s="163"/>
      <c r="K60" s="163"/>
      <c r="L60" s="163"/>
    </row>
    <row r="61" spans="1:12" ht="11.25">
      <c r="A61" s="50" t="s">
        <v>104</v>
      </c>
      <c r="B61" s="160"/>
      <c r="C61" s="161">
        <f>+B62</f>
        <v>0</v>
      </c>
      <c r="D61" s="161">
        <f>+C62</f>
        <v>0</v>
      </c>
      <c r="E61" s="161">
        <f>+D62</f>
        <v>0</v>
      </c>
      <c r="F61" s="161">
        <f>+E62</f>
        <v>0</v>
      </c>
      <c r="G61" s="162">
        <f>+F62</f>
        <v>0</v>
      </c>
      <c r="H61" s="163"/>
      <c r="I61" s="163"/>
      <c r="J61" s="163"/>
      <c r="K61" s="163"/>
      <c r="L61" s="163"/>
    </row>
    <row r="62" spans="1:12" ht="11.25">
      <c r="A62" s="50" t="s">
        <v>105</v>
      </c>
      <c r="B62" s="160"/>
      <c r="C62" s="161">
        <f>IF(+C61+C60+C59&lt;0,+C61+C60+C59,0)</f>
        <v>0</v>
      </c>
      <c r="D62" s="161">
        <f>IF(+D61+D60+D59&lt;0,+D61+D60+D59,0)</f>
        <v>0</v>
      </c>
      <c r="E62" s="161">
        <f>IF(+E61+E60+E59&lt;0,+E61+E60+E59,0)</f>
        <v>0</v>
      </c>
      <c r="F62" s="161">
        <f>IF(+F61+F60+F59&lt;0,+F61+F60+F59,0)</f>
        <v>0</v>
      </c>
      <c r="G62" s="162">
        <f>IF(+G61+G60+G59&lt;0,+G61+G60+G59,0)</f>
        <v>0</v>
      </c>
      <c r="H62" s="163"/>
      <c r="I62" s="163"/>
      <c r="J62" s="163"/>
      <c r="K62" s="163"/>
      <c r="L62" s="163"/>
    </row>
    <row r="63" spans="1:12" ht="12" thickBot="1">
      <c r="A63" s="164" t="s">
        <v>106</v>
      </c>
      <c r="B63" s="165"/>
      <c r="C63" s="166">
        <f>IF(+C61+C60+C59&lt;0,0,+C61+C60+C59)</f>
        <v>133642.9869432</v>
      </c>
      <c r="D63" s="166">
        <f>IF(+D61+D60+D59&lt;0,0,+D61+D60+D59)</f>
        <v>135088.07533672947</v>
      </c>
      <c r="E63" s="166">
        <f>IF(+E61+E60+E59&lt;0,0,+E61+E60+E59)</f>
        <v>136667.70145969657</v>
      </c>
      <c r="F63" s="166">
        <f>IF(+F61+F60+F59&lt;0,0,+F61+F60+F59)</f>
        <v>138394.39077471188</v>
      </c>
      <c r="G63" s="167">
        <f>IF(+G61+G60+G59&lt;0,0,+G61+G60+G59)</f>
        <v>140281.83486495513</v>
      </c>
      <c r="H63" s="163"/>
      <c r="I63" s="163"/>
      <c r="J63" s="163"/>
      <c r="K63" s="163"/>
      <c r="L63" s="163"/>
    </row>
    <row r="64" spans="1:21" ht="12" thickBot="1">
      <c r="A64" s="168" t="s">
        <v>107</v>
      </c>
      <c r="B64" s="169"/>
      <c r="C64" s="170">
        <f>+C63*$B$4</f>
        <v>33410.7467358</v>
      </c>
      <c r="D64" s="170">
        <f>+D63*$B$4</f>
        <v>33772.01883418237</v>
      </c>
      <c r="E64" s="170">
        <f>+E63*$B$4</f>
        <v>34166.925364924144</v>
      </c>
      <c r="F64" s="170">
        <f>+F63*$B$4</f>
        <v>34598.59769367797</v>
      </c>
      <c r="G64" s="171">
        <f>+G63*$B$4</f>
        <v>35070.45871623878</v>
      </c>
      <c r="H64" s="172"/>
      <c r="I64" s="172"/>
      <c r="J64" s="172"/>
      <c r="K64" s="172"/>
      <c r="L64" s="172"/>
      <c r="M64" s="155"/>
      <c r="N64" s="155"/>
      <c r="O64" s="155"/>
      <c r="P64" s="155"/>
      <c r="Q64" s="155"/>
      <c r="R64" s="155"/>
      <c r="S64" s="155"/>
      <c r="T64" s="155"/>
      <c r="U64" s="155"/>
    </row>
    <row r="65" spans="1:21" s="155" customFormat="1" ht="12" thickBot="1">
      <c r="A65" s="173" t="s">
        <v>108</v>
      </c>
      <c r="B65" s="174"/>
      <c r="C65" s="195">
        <f>(C63-C64)*0.15</f>
        <v>15034.836031109999</v>
      </c>
      <c r="D65" s="175">
        <f>(D63-D64)*0.15</f>
        <v>15197.408475382064</v>
      </c>
      <c r="E65" s="175">
        <f>(E63-E64)*0.15</f>
        <v>15375.116414215863</v>
      </c>
      <c r="F65" s="175">
        <f>(F63-F64)*0.15</f>
        <v>15569.368962155088</v>
      </c>
      <c r="G65" s="176">
        <f>(G63-G64)*0.15</f>
        <v>15781.70642230745</v>
      </c>
      <c r="H65" s="177"/>
      <c r="I65" s="177"/>
      <c r="J65" s="177"/>
      <c r="K65" s="177"/>
      <c r="L65" s="177"/>
      <c r="M65" s="29"/>
      <c r="N65" s="29"/>
      <c r="O65" s="29"/>
      <c r="P65" s="29"/>
      <c r="Q65" s="29"/>
      <c r="R65" s="29"/>
      <c r="S65" s="29"/>
      <c r="T65" s="29"/>
      <c r="U65" s="29"/>
    </row>
    <row r="67" spans="1:5" ht="14.25" customHeight="1">
      <c r="A67" s="104"/>
      <c r="B67" s="104"/>
      <c r="C67" s="104"/>
      <c r="D67" s="104"/>
      <c r="E67" s="104"/>
    </row>
    <row r="68" spans="1:5" ht="11.25" hidden="1">
      <c r="A68" s="104"/>
      <c r="B68" s="104"/>
      <c r="C68" s="104"/>
      <c r="D68" s="104"/>
      <c r="E68" s="104"/>
    </row>
    <row r="69" spans="1:5" ht="11.25" hidden="1">
      <c r="A69" s="104"/>
      <c r="B69" s="104"/>
      <c r="C69" s="104"/>
      <c r="D69" s="104"/>
      <c r="E69" s="104"/>
    </row>
    <row r="70" spans="1:5" ht="11.25" hidden="1">
      <c r="A70" s="104"/>
      <c r="B70" s="104"/>
      <c r="C70" s="104"/>
      <c r="D70" s="104"/>
      <c r="E70" s="104"/>
    </row>
    <row r="71" spans="1:5" ht="11.25" hidden="1">
      <c r="A71" s="104"/>
      <c r="B71" s="104"/>
      <c r="C71" s="104"/>
      <c r="D71" s="104"/>
      <c r="E71" s="104"/>
    </row>
    <row r="72" spans="1:5" ht="11.25" hidden="1">
      <c r="A72" s="104"/>
      <c r="B72" s="104"/>
      <c r="C72" s="104"/>
      <c r="D72" s="104"/>
      <c r="E72" s="104"/>
    </row>
    <row r="73" spans="1:5" ht="11.25" hidden="1">
      <c r="A73" s="104"/>
      <c r="B73" s="104"/>
      <c r="C73" s="104"/>
      <c r="D73" s="104"/>
      <c r="E73" s="104"/>
    </row>
    <row r="74" spans="1:5" ht="11.25" hidden="1">
      <c r="A74" s="104"/>
      <c r="B74" s="104"/>
      <c r="C74" s="104"/>
      <c r="D74" s="104"/>
      <c r="E74" s="104"/>
    </row>
    <row r="75" spans="1:5" ht="11.25" hidden="1">
      <c r="A75" s="104"/>
      <c r="B75" s="104"/>
      <c r="C75" s="104"/>
      <c r="D75" s="104"/>
      <c r="E75" s="104"/>
    </row>
    <row r="76" spans="1:5" ht="11.25" hidden="1">
      <c r="A76" s="104"/>
      <c r="B76" s="104"/>
      <c r="C76" s="104"/>
      <c r="D76" s="104"/>
      <c r="E76" s="104"/>
    </row>
    <row r="77" spans="1:5" ht="11.25" hidden="1">
      <c r="A77" s="104"/>
      <c r="B77" s="104"/>
      <c r="C77" s="104"/>
      <c r="D77" s="104"/>
      <c r="E77" s="104"/>
    </row>
    <row r="78" spans="1:5" ht="11.25" hidden="1">
      <c r="A78" s="104"/>
      <c r="B78" s="104"/>
      <c r="C78" s="104"/>
      <c r="D78" s="104"/>
      <c r="E78" s="104"/>
    </row>
    <row r="79" spans="1:5" ht="11.25" hidden="1">
      <c r="A79" s="104"/>
      <c r="B79" s="104"/>
      <c r="C79" s="104"/>
      <c r="D79" s="104"/>
      <c r="E79" s="104"/>
    </row>
    <row r="80" spans="1:5" ht="11.25" hidden="1">
      <c r="A80" s="104"/>
      <c r="B80" s="104"/>
      <c r="C80" s="104"/>
      <c r="D80" s="104"/>
      <c r="E80" s="104"/>
    </row>
    <row r="81" spans="1:5" ht="11.25" hidden="1">
      <c r="A81" s="104"/>
      <c r="B81" s="104"/>
      <c r="C81" s="104"/>
      <c r="D81" s="104"/>
      <c r="E81" s="104"/>
    </row>
    <row r="82" spans="1:5" ht="11.25" hidden="1">
      <c r="A82" s="104"/>
      <c r="B82" s="104"/>
      <c r="C82" s="104"/>
      <c r="D82" s="104"/>
      <c r="E82" s="104"/>
    </row>
    <row r="83" spans="1:5" ht="11.25" hidden="1">
      <c r="A83" s="104"/>
      <c r="B83" s="104"/>
      <c r="C83" s="104"/>
      <c r="D83" s="104"/>
      <c r="E83" s="104"/>
    </row>
    <row r="84" spans="1:5" ht="11.25" hidden="1">
      <c r="A84" s="104"/>
      <c r="B84" s="104"/>
      <c r="C84" s="104"/>
      <c r="D84" s="104"/>
      <c r="E84" s="104"/>
    </row>
    <row r="85" spans="1:5" ht="11.25" hidden="1">
      <c r="A85" s="104"/>
      <c r="B85" s="104"/>
      <c r="C85" s="104"/>
      <c r="D85" s="104"/>
      <c r="E85" s="104"/>
    </row>
    <row r="86" spans="1:5" ht="11.25" hidden="1">
      <c r="A86" s="104"/>
      <c r="B86" s="104"/>
      <c r="C86" s="104"/>
      <c r="D86" s="104"/>
      <c r="E86" s="104"/>
    </row>
    <row r="87" spans="1:5" ht="11.25" hidden="1">
      <c r="A87" s="104"/>
      <c r="B87" s="104"/>
      <c r="C87" s="104"/>
      <c r="D87" s="104"/>
      <c r="E87" s="104"/>
    </row>
    <row r="88" spans="1:5" ht="11.25" hidden="1">
      <c r="A88" s="104"/>
      <c r="B88" s="104"/>
      <c r="C88" s="104"/>
      <c r="D88" s="104"/>
      <c r="E88" s="104"/>
    </row>
    <row r="89" spans="1:5" ht="11.25" hidden="1">
      <c r="A89" s="104"/>
      <c r="B89" s="104"/>
      <c r="C89" s="104"/>
      <c r="D89" s="104"/>
      <c r="E89" s="104"/>
    </row>
    <row r="90" spans="1:5" ht="11.25" hidden="1">
      <c r="A90" s="104"/>
      <c r="B90" s="104"/>
      <c r="C90" s="104"/>
      <c r="D90" s="104"/>
      <c r="E90" s="104"/>
    </row>
    <row r="91" spans="1:5" ht="11.25" hidden="1">
      <c r="A91" s="104"/>
      <c r="B91" s="104"/>
      <c r="C91" s="104"/>
      <c r="D91" s="104"/>
      <c r="E91" s="104"/>
    </row>
    <row r="92" spans="1:5" ht="11.25" hidden="1">
      <c r="A92" s="104"/>
      <c r="B92" s="104"/>
      <c r="C92" s="104"/>
      <c r="D92" s="104"/>
      <c r="E92" s="104"/>
    </row>
    <row r="93" spans="1:5" ht="11.25" hidden="1">
      <c r="A93" s="104"/>
      <c r="B93" s="104"/>
      <c r="C93" s="104"/>
      <c r="D93" s="104"/>
      <c r="E93" s="104"/>
    </row>
    <row r="94" spans="1:5" ht="11.25" hidden="1">
      <c r="A94" s="104"/>
      <c r="B94" s="104"/>
      <c r="C94" s="104"/>
      <c r="D94" s="104"/>
      <c r="E94" s="104"/>
    </row>
    <row r="95" spans="1:5" ht="11.25" hidden="1">
      <c r="A95" s="104"/>
      <c r="B95" s="104"/>
      <c r="C95" s="104"/>
      <c r="D95" s="104"/>
      <c r="E95" s="104"/>
    </row>
    <row r="96" spans="1:5" ht="11.25" hidden="1">
      <c r="A96" s="104"/>
      <c r="B96" s="104"/>
      <c r="C96" s="104"/>
      <c r="D96" s="104"/>
      <c r="E96" s="104"/>
    </row>
    <row r="97" spans="1:5" ht="12" thickBot="1">
      <c r="A97" s="104"/>
      <c r="B97" s="104"/>
      <c r="C97" s="104"/>
      <c r="D97" s="104"/>
      <c r="E97" s="104"/>
    </row>
    <row r="98" spans="1:5" ht="11.25">
      <c r="A98" s="84" t="s">
        <v>125</v>
      </c>
      <c r="B98" s="215"/>
      <c r="C98" s="215"/>
      <c r="D98" s="215"/>
      <c r="E98" s="86"/>
    </row>
    <row r="99" spans="1:5" ht="11.25">
      <c r="A99" s="217"/>
      <c r="B99" s="216"/>
      <c r="C99" s="216"/>
      <c r="D99" s="216"/>
      <c r="E99" s="218"/>
    </row>
    <row r="100" spans="1:5" ht="11.25">
      <c r="A100" s="217" t="s">
        <v>126</v>
      </c>
      <c r="B100" s="224" t="s">
        <v>127</v>
      </c>
      <c r="C100" s="224" t="s">
        <v>128</v>
      </c>
      <c r="D100" s="224" t="s">
        <v>129</v>
      </c>
      <c r="E100" s="225" t="s">
        <v>130</v>
      </c>
    </row>
    <row r="101" spans="1:5" ht="11.25">
      <c r="A101" s="217">
        <v>0</v>
      </c>
      <c r="B101" s="224"/>
      <c r="C101" s="224"/>
      <c r="D101" s="224"/>
      <c r="E101" s="225">
        <v>-93469.528</v>
      </c>
    </row>
    <row r="102" spans="1:5" ht="11.25">
      <c r="A102" s="217">
        <v>1</v>
      </c>
      <c r="B102" s="224">
        <v>-24223.9077241414</v>
      </c>
      <c r="C102" s="224">
        <v>-15521.894667341401</v>
      </c>
      <c r="D102" s="224">
        <v>-8702.0130568</v>
      </c>
      <c r="E102" s="225">
        <v>-77947.6333326586</v>
      </c>
    </row>
    <row r="103" spans="1:5" ht="11.25">
      <c r="A103" s="217">
        <v>2</v>
      </c>
      <c r="B103" s="224">
        <v>-24223.9077241414</v>
      </c>
      <c r="C103" s="224">
        <v>-16966.983060870887</v>
      </c>
      <c r="D103" s="224">
        <v>-7256.924663270516</v>
      </c>
      <c r="E103" s="225">
        <v>-60980.650271787716</v>
      </c>
    </row>
    <row r="104" spans="1:5" ht="11.25">
      <c r="A104" s="217">
        <v>3</v>
      </c>
      <c r="B104" s="224">
        <v>-24223.9077241414</v>
      </c>
      <c r="C104" s="224">
        <v>-18546.609183837965</v>
      </c>
      <c r="D104" s="224">
        <v>-5677.298540303436</v>
      </c>
      <c r="E104" s="225">
        <v>-42434.04108794975</v>
      </c>
    </row>
    <row r="105" spans="1:5" ht="11.25">
      <c r="A105" s="217">
        <v>4</v>
      </c>
      <c r="B105" s="224">
        <v>-24223.9077241414</v>
      </c>
      <c r="C105" s="224">
        <v>-20273.29849885328</v>
      </c>
      <c r="D105" s="224">
        <v>-3950.6092252881217</v>
      </c>
      <c r="E105" s="225">
        <v>-22160.74258909647</v>
      </c>
    </row>
    <row r="106" spans="1:5" ht="12" thickBot="1">
      <c r="A106" s="219">
        <v>5</v>
      </c>
      <c r="B106" s="226">
        <v>-24223.9077241414</v>
      </c>
      <c r="C106" s="226">
        <v>-22160.74258909652</v>
      </c>
      <c r="D106" s="226">
        <v>-2063.1651350448815</v>
      </c>
      <c r="E106" s="227">
        <v>5.093170329928398E-11</v>
      </c>
    </row>
    <row r="107" spans="2:4" ht="11.25">
      <c r="B107" s="29">
        <v>-121119.53862070701</v>
      </c>
      <c r="C107" s="29">
        <v>-93469.52800000006</v>
      </c>
      <c r="D107" s="29">
        <v>-27650.010620706955</v>
      </c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Ivetheyamel</dc:creator>
  <cp:keywords/>
  <dc:description/>
  <cp:lastModifiedBy>Ivetheyamel</cp:lastModifiedBy>
  <cp:lastPrinted>2008-09-02T04:00:30Z</cp:lastPrinted>
  <dcterms:created xsi:type="dcterms:W3CDTF">2008-08-27T02:13:39Z</dcterms:created>
  <dcterms:modified xsi:type="dcterms:W3CDTF">2008-09-10T04:29:44Z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