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50" tabRatio="762" firstSheet="6" activeTab="7"/>
  </bookViews>
  <sheets>
    <sheet name="INGRESOS" sheetId="1" r:id="rId1"/>
    <sheet name="Carga Fabril" sheetId="2" r:id="rId2"/>
    <sheet name="Pto de Equilibrio" sheetId="3" r:id="rId3"/>
    <sheet name="Gto Vts" sheetId="4" r:id="rId4"/>
    <sheet name="Gto Adm" sheetId="5" r:id="rId5"/>
    <sheet name="Costos Prod" sheetId="6" r:id="rId6"/>
    <sheet name="ER OPERADOR S.A." sheetId="7" r:id="rId7"/>
    <sheet name="FC OPERADOR S.A." sheetId="8" r:id="rId8"/>
    <sheet name="Otros " sheetId="9" r:id="rId9"/>
    <sheet name="ER @ sin fid." sheetId="10" r:id="rId10"/>
    <sheet name="FC @ sin fideicomiso" sheetId="11" r:id="rId11"/>
    <sheet name="FC F1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comments11.xml><?xml version="1.0" encoding="utf-8"?>
<comments xmlns="http://schemas.openxmlformats.org/spreadsheetml/2006/main">
  <authors>
    <author>FAMILIA BASTIDAS</author>
  </authors>
  <commentList>
    <comment ref="D10" authorId="0">
      <text>
        <r>
          <rPr>
            <b/>
            <sz val="8"/>
            <rFont val="Tahoma"/>
            <family val="0"/>
          </rPr>
          <t>FAMILIA BASTIDAS:</t>
        </r>
        <r>
          <rPr>
            <sz val="8"/>
            <rFont val="Tahoma"/>
            <family val="0"/>
          </rPr>
          <t xml:space="preserve">
CAMBIAR INGRESOS SEGÚN EL PRECIO DEL CAMARÓN CONEGELADO EN EL MERCADO LOCAL...</t>
        </r>
      </text>
    </comment>
  </commentList>
</comments>
</file>

<file path=xl/comments2.xml><?xml version="1.0" encoding="utf-8"?>
<comments xmlns="http://schemas.openxmlformats.org/spreadsheetml/2006/main">
  <authors>
    <author>FAMILIA BASTIDAS</author>
  </authors>
  <commentList>
    <comment ref="F38" authorId="0">
      <text>
        <r>
          <rPr>
            <b/>
            <sz val="8"/>
            <rFont val="Tahoma"/>
            <family val="0"/>
          </rPr>
          <t>FAMILIA BASTIDAS:</t>
        </r>
        <r>
          <rPr>
            <sz val="8"/>
            <rFont val="Tahoma"/>
            <family val="0"/>
          </rPr>
          <t xml:space="preserve">
AVERIGUAR  # TRABAJADORES Y SU AUMENTO POR AÑO</t>
        </r>
      </text>
    </comment>
    <comment ref="E17" authorId="0">
      <text>
        <r>
          <rPr>
            <b/>
            <sz val="8"/>
            <rFont val="Tahoma"/>
            <family val="0"/>
          </rPr>
          <t>FAMILIA BASTIDAS:</t>
        </r>
        <r>
          <rPr>
            <sz val="8"/>
            <rFont val="Tahoma"/>
            <family val="0"/>
          </rPr>
          <t xml:space="preserve">
330 por c/guardia y anualizado
</t>
        </r>
      </text>
    </comment>
  </commentList>
</comments>
</file>

<file path=xl/comments6.xml><?xml version="1.0" encoding="utf-8"?>
<comments xmlns="http://schemas.openxmlformats.org/spreadsheetml/2006/main">
  <authors>
    <author>FAMILIA BASTIDAS</author>
  </authors>
  <commentList>
    <comment ref="E11" authorId="0">
      <text>
        <r>
          <rPr>
            <b/>
            <sz val="8"/>
            <rFont val="Tahoma"/>
            <family val="0"/>
          </rPr>
          <t>FAMILIA BASTIDAS:</t>
        </r>
        <r>
          <rPr>
            <sz val="8"/>
            <rFont val="Tahoma"/>
            <family val="0"/>
          </rPr>
          <t xml:space="preserve">
costos de mediterranean shipping Co. A bilbao o vigo</t>
        </r>
      </text>
    </comment>
    <comment ref="E38" authorId="0">
      <text>
        <r>
          <rPr>
            <b/>
            <sz val="8"/>
            <rFont val="Tahoma"/>
            <family val="0"/>
          </rPr>
          <t>FAMILIA BASTIDAS:</t>
        </r>
        <r>
          <rPr>
            <sz val="8"/>
            <rFont val="Tahoma"/>
            <family val="0"/>
          </rPr>
          <t xml:space="preserve">
costos de mediterranean shipping Co. A bilbao o vigo</t>
        </r>
      </text>
    </comment>
  </commentList>
</comments>
</file>

<file path=xl/comments9.xml><?xml version="1.0" encoding="utf-8"?>
<comments xmlns="http://schemas.openxmlformats.org/spreadsheetml/2006/main">
  <authors>
    <author>FAMILIA BASTIDAS</author>
  </authors>
  <commentList>
    <comment ref="D6" authorId="0">
      <text>
        <r>
          <rPr>
            <b/>
            <sz val="8"/>
            <rFont val="Tahoma"/>
            <family val="0"/>
          </rPr>
          <t>FAMILIA BASTIDAS:</t>
        </r>
        <r>
          <rPr>
            <sz val="8"/>
            <rFont val="Tahoma"/>
            <family val="0"/>
          </rPr>
          <t xml:space="preserve">
al valor original de 6,549,116 le resté el valor de lso interes pagados</t>
        </r>
      </text>
    </comment>
  </commentList>
</comments>
</file>

<file path=xl/sharedStrings.xml><?xml version="1.0" encoding="utf-8"?>
<sst xmlns="http://schemas.openxmlformats.org/spreadsheetml/2006/main" count="420" uniqueCount="328">
  <si>
    <t xml:space="preserve"> </t>
  </si>
  <si>
    <t>Saldos</t>
  </si>
  <si>
    <t>Ajustados</t>
  </si>
  <si>
    <t>Informe</t>
  </si>
  <si>
    <t>Activos</t>
  </si>
  <si>
    <t>Activos Corrientes</t>
  </si>
  <si>
    <t>Caja - bancos</t>
  </si>
  <si>
    <t>Cuentas por cobrar</t>
  </si>
  <si>
    <t>Inventarios</t>
  </si>
  <si>
    <t>Inversiones temporales</t>
  </si>
  <si>
    <t>Gastos Pagados Por Anticipados</t>
  </si>
  <si>
    <t xml:space="preserve">       Total activos corrientes</t>
  </si>
  <si>
    <t>Activos Fijos</t>
  </si>
  <si>
    <t xml:space="preserve">Costo  </t>
  </si>
  <si>
    <t>Depreciacion</t>
  </si>
  <si>
    <t xml:space="preserve">       Total activo fijo</t>
  </si>
  <si>
    <t>Otros Activos Diferidos</t>
  </si>
  <si>
    <t>(-) amortizacion</t>
  </si>
  <si>
    <t xml:space="preserve">                Total activos</t>
  </si>
  <si>
    <t>Pasivos y patrimonio de accionistas</t>
  </si>
  <si>
    <t>Pasivos corrientes:</t>
  </si>
  <si>
    <t>Sobregiro bancario</t>
  </si>
  <si>
    <t>Documentos y Cuentas por pagar</t>
  </si>
  <si>
    <t>Gastos Acumulados Por Pagar</t>
  </si>
  <si>
    <t>Porcion corriente P.L.P</t>
  </si>
  <si>
    <t xml:space="preserve">      Total pasivos corrientes</t>
  </si>
  <si>
    <t>Pasivo a Largo plazo</t>
  </si>
  <si>
    <t xml:space="preserve">      Pasivo a Largo plazo</t>
  </si>
  <si>
    <r>
      <t xml:space="preserve">                     </t>
    </r>
    <r>
      <rPr>
        <b/>
        <sz val="10"/>
        <rFont val="Arial"/>
        <family val="2"/>
      </rPr>
      <t>Total Pasivo</t>
    </r>
  </si>
  <si>
    <t>Patrimonio de accionistas:</t>
  </si>
  <si>
    <t xml:space="preserve">      Capital SOCIAL</t>
  </si>
  <si>
    <t xml:space="preserve">Aporte aumento  de capital </t>
  </si>
  <si>
    <t xml:space="preserve">      Reserva legal</t>
  </si>
  <si>
    <t>Capital adicional</t>
  </si>
  <si>
    <t xml:space="preserve">      Utilidades retenidas</t>
  </si>
  <si>
    <t xml:space="preserve">      Utilidad del Ejercicio</t>
  </si>
  <si>
    <t xml:space="preserve">      Total Patrimonio de accionistas</t>
  </si>
  <si>
    <r>
      <t xml:space="preserve">        </t>
    </r>
    <r>
      <rPr>
        <b/>
        <sz val="10"/>
        <rFont val="Arial"/>
        <family val="2"/>
      </rPr>
      <t>Total pasivos y patrimonio de accionistas</t>
    </r>
  </si>
  <si>
    <t>ESTADO DE RESULTADOS</t>
  </si>
  <si>
    <t>VENTAS NETAS</t>
  </si>
  <si>
    <t>COSTO DE VENTAS</t>
  </si>
  <si>
    <r>
      <t xml:space="preserve">     </t>
    </r>
    <r>
      <rPr>
        <b/>
        <sz val="10"/>
        <rFont val="Arial"/>
        <family val="2"/>
      </rPr>
      <t>UTILIDAD EN VENTAS</t>
    </r>
  </si>
  <si>
    <t>GASTOS OPERACIONALES</t>
  </si>
  <si>
    <t xml:space="preserve">     GASTOS ADMINISTRATIVOS</t>
  </si>
  <si>
    <t xml:space="preserve">     GASTOS FINANCIEROS </t>
  </si>
  <si>
    <r>
      <t xml:space="preserve">     </t>
    </r>
    <r>
      <rPr>
        <b/>
        <sz val="10"/>
        <rFont val="Arial"/>
        <family val="2"/>
      </rPr>
      <t>TOTAL GASTOS OPERACIONALES</t>
    </r>
  </si>
  <si>
    <t>Utilidad operacional</t>
  </si>
  <si>
    <t>OTROS INGRESOS (EGRESOS)</t>
  </si>
  <si>
    <t xml:space="preserve">Utilidad </t>
  </si>
  <si>
    <t xml:space="preserve">     Participación Empleados</t>
  </si>
  <si>
    <t xml:space="preserve">     Impuesto a la renta</t>
  </si>
  <si>
    <t>UTILIDAD DE ACCIONISTAS</t>
  </si>
  <si>
    <t>Según</t>
  </si>
  <si>
    <t>FLUJO DE EFECTIVO</t>
  </si>
  <si>
    <t>FLUJO DE CAJA</t>
  </si>
  <si>
    <t xml:space="preserve">AÑOS </t>
  </si>
  <si>
    <t xml:space="preserve">Efectivo usado por actividades de operación: </t>
  </si>
  <si>
    <t xml:space="preserve">Recibido de clientes </t>
  </si>
  <si>
    <t>Pagado a proveedores y empleados</t>
  </si>
  <si>
    <t>Intereses pagados</t>
  </si>
  <si>
    <t>Efectivo neto usado por actividades de operación</t>
  </si>
  <si>
    <t>Efectivo usado por actividades de inversión:</t>
  </si>
  <si>
    <t>Compra de propiedades, planta y equipos</t>
  </si>
  <si>
    <t>Efectivo neto usado por actividades de inversión</t>
  </si>
  <si>
    <t>Efectivo proveniente de actividades de financiación</t>
  </si>
  <si>
    <t>Aumento Préstamo Bancario</t>
  </si>
  <si>
    <t>Aporte de Empresas Relacionadas</t>
  </si>
  <si>
    <t>Pago porción corriente P.L.P.</t>
  </si>
  <si>
    <t xml:space="preserve">           Aumento Obligaciones a largo plazo</t>
  </si>
  <si>
    <t xml:space="preserve">           Aumento Diferido</t>
  </si>
  <si>
    <t>Efectivo neto proveniente de actividades de financiación</t>
  </si>
  <si>
    <t>Disminución neta en caja y bancos</t>
  </si>
  <si>
    <t>Caja y bancos al principio del año</t>
  </si>
  <si>
    <t>Caja y bancos al final del año</t>
  </si>
  <si>
    <t>Inversiones</t>
  </si>
  <si>
    <t xml:space="preserve">Disminución aporte Aumento de Capital </t>
  </si>
  <si>
    <t>Aumento Activos Diferidos</t>
  </si>
  <si>
    <t>PROYECCION DE CRECIMIENTO DE VENTAS Y COSTOS DE VENTAS</t>
  </si>
  <si>
    <t>Depreciación</t>
  </si>
  <si>
    <t>Aumento Capital Adicional</t>
  </si>
  <si>
    <t>Disminución  de Obligaciones Bancarias</t>
  </si>
  <si>
    <t>Aumento/Disminución Pasivo a largo plazo</t>
  </si>
  <si>
    <t>Ventas</t>
  </si>
  <si>
    <t>Terrenos</t>
  </si>
  <si>
    <t>Muebles y Enseres</t>
  </si>
  <si>
    <t xml:space="preserve">Maquinarias  </t>
  </si>
  <si>
    <t>Vehículos</t>
  </si>
  <si>
    <t xml:space="preserve">Obras de infraestructura </t>
  </si>
  <si>
    <t>Equipo de laboratorio</t>
  </si>
  <si>
    <t>Instalaciones</t>
  </si>
  <si>
    <t>Otros Activos</t>
  </si>
  <si>
    <t>HECBAS</t>
  </si>
  <si>
    <t xml:space="preserve">Hectáreas: </t>
  </si>
  <si>
    <t>Salario Mínimo:</t>
  </si>
  <si>
    <t xml:space="preserve"># de piscinas: </t>
  </si>
  <si>
    <t>cosechas por año:</t>
  </si>
  <si>
    <t xml:space="preserve">Hectáreas cosechadas: </t>
  </si>
  <si>
    <t>Producción anual (2004 lbs):</t>
  </si>
  <si>
    <t xml:space="preserve">Precio Libra ($): </t>
  </si>
  <si>
    <t>Total Trabajadores piscinas:</t>
  </si>
  <si>
    <t>INGRESOS</t>
  </si>
  <si>
    <t>INGRESOS OPERACIONALES</t>
  </si>
  <si>
    <t>CAMARONES</t>
  </si>
  <si>
    <t>VANNAMEI</t>
  </si>
  <si>
    <t>DESCRIPCION</t>
  </si>
  <si>
    <t>OTROS INGRESOS</t>
  </si>
  <si>
    <t>CARGA FABRIL</t>
  </si>
  <si>
    <t>CARGO</t>
  </si>
  <si>
    <t># DE EMPLEADOS</t>
  </si>
  <si>
    <t>SUELDO MENSUAL</t>
  </si>
  <si>
    <t>MATERIALES INDIRECTOS</t>
  </si>
  <si>
    <t>SUMINISTROS</t>
  </si>
  <si>
    <t>Seguridad</t>
  </si>
  <si>
    <t>MANO DE OBRA INDIRECTA</t>
  </si>
  <si>
    <t>Asistente</t>
  </si>
  <si>
    <t>EGRESOS OPERACIONALES</t>
  </si>
  <si>
    <t>Costos de Producción</t>
  </si>
  <si>
    <t>Gastos de Ventas</t>
  </si>
  <si>
    <t>Gastos Adminitrativos</t>
  </si>
  <si>
    <t>INGRESOS NO OPERACIONALES</t>
  </si>
  <si>
    <t>Aportes de Capital</t>
  </si>
  <si>
    <t>EGRESOS NO OPERACIONALES</t>
  </si>
  <si>
    <t>FLUJO NO OPERACIONAL</t>
  </si>
  <si>
    <t>FLUJO NETO GENERAL</t>
  </si>
  <si>
    <t>SALDO INICIAL DE CAJA</t>
  </si>
  <si>
    <t>SALDO FINAL DE CAJA</t>
  </si>
  <si>
    <t>Energia</t>
  </si>
  <si>
    <t>Agua</t>
  </si>
  <si>
    <t>REPARACION Y MANTENIMIENTO</t>
  </si>
  <si>
    <t>Equipo de Campamento</t>
  </si>
  <si>
    <t>Vehiculo</t>
  </si>
  <si>
    <t>Infraestructura</t>
  </si>
  <si>
    <t>Inmuebles</t>
  </si>
  <si>
    <t>Lubricantes</t>
  </si>
  <si>
    <t>Filtros y Bolsos</t>
  </si>
  <si>
    <t>Guardiania</t>
  </si>
  <si>
    <t>Combustible</t>
  </si>
  <si>
    <t>Operador General</t>
  </si>
  <si>
    <t>Material de Limpieza</t>
  </si>
  <si>
    <t>Materiales y suministros</t>
  </si>
  <si>
    <t>Transportes de Larvas</t>
  </si>
  <si>
    <t>Gastos de Cosecha</t>
  </si>
  <si>
    <t>Teléfono</t>
  </si>
  <si>
    <t>TOTAL CARGA FABRIL</t>
  </si>
  <si>
    <t>ALIMENTACION Y TRANSPORTACION DE PERSONAL</t>
  </si>
  <si>
    <t>IMPUESTOS Y CONTRIBUCIONES</t>
  </si>
  <si>
    <t>BENEFICIOS SOCIALES</t>
  </si>
  <si>
    <t>COSTOS DE PRODUCCIÓN</t>
  </si>
  <si>
    <t>DESCRIPCIÓN</t>
  </si>
  <si>
    <t>MATERIALES DIRECTOS</t>
  </si>
  <si>
    <t>SUELDO ANUAL</t>
  </si>
  <si>
    <t>COSTO TOTAL DE PRODUCCION</t>
  </si>
  <si>
    <t>GASTO DE VENTAS</t>
  </si>
  <si>
    <t>DESCRIPCION / AÑO</t>
  </si>
  <si>
    <t>GASTOS DE PERSONAL</t>
  </si>
  <si>
    <t>GASTOS DE ADMINISTRACIÓN GENERAL</t>
  </si>
  <si>
    <t>Sueldo mensual</t>
  </si>
  <si>
    <t>GASTOS DE OFICINA</t>
  </si>
  <si>
    <t>Papeleria y Utiles de Oficina</t>
  </si>
  <si>
    <t>Utiles de aseo y limpieza</t>
  </si>
  <si>
    <t>Multas e Intereses</t>
  </si>
  <si>
    <t>Adecuaciones a Instalacion</t>
  </si>
  <si>
    <t>Gastos de Imprenta</t>
  </si>
  <si>
    <t>Imprevistos (20% del total de gatos administrativos)</t>
  </si>
  <si>
    <t>Sub - total</t>
  </si>
  <si>
    <t>Gerente Vtas</t>
  </si>
  <si>
    <t xml:space="preserve">Densidad trabajadores c/5 has: </t>
  </si>
  <si>
    <t>Sub - Total</t>
  </si>
  <si>
    <t>Imprevistos (20%)</t>
  </si>
  <si>
    <t>TOTAL GASTO DE VENTAS</t>
  </si>
  <si>
    <t>Comunicación</t>
  </si>
  <si>
    <t>FLUJO DE CAJA OPERACIONAL</t>
  </si>
  <si>
    <t>Alquiler de instalaciones</t>
  </si>
  <si>
    <t>CALCULO DEL PUNTO DE EQUILIBRIO</t>
  </si>
  <si>
    <t>COSTO FIJO</t>
  </si>
  <si>
    <t>COSTO VARIABLE</t>
  </si>
  <si>
    <t>Materiales Directos</t>
  </si>
  <si>
    <t>Mano de obtra directa</t>
  </si>
  <si>
    <t>Carga Fabril:</t>
  </si>
  <si>
    <t>Mano de Obra indirecta</t>
  </si>
  <si>
    <t>Materiales Indirectos</t>
  </si>
  <si>
    <t>Suministros</t>
  </si>
  <si>
    <t>Repar y Mantenimiento</t>
  </si>
  <si>
    <t>Contribuciones</t>
  </si>
  <si>
    <t>Imprev. Adm, Ventas y Fabril</t>
  </si>
  <si>
    <t>Personal de Ventas</t>
  </si>
  <si>
    <t>Gastos de Administración</t>
  </si>
  <si>
    <t>Total</t>
  </si>
  <si>
    <t>Alimentación  y transportación del personal</t>
  </si>
  <si>
    <t>Beneficios Sociales</t>
  </si>
  <si>
    <t xml:space="preserve">PUNTO DE EQUILIBRIO: </t>
  </si>
  <si>
    <t xml:space="preserve">COSTO FIJO </t>
  </si>
  <si>
    <t>VENTAS</t>
  </si>
  <si>
    <t>UNIDAD</t>
  </si>
  <si>
    <t>US$</t>
  </si>
  <si>
    <r>
      <t xml:space="preserve">1 - </t>
    </r>
    <r>
      <rPr>
        <u val="single"/>
        <sz val="10"/>
        <rFont val="Arial"/>
        <family val="2"/>
      </rPr>
      <t>COSTO VARIABLE</t>
    </r>
  </si>
  <si>
    <t>PUNTO DE EQUILIBRIO</t>
  </si>
  <si>
    <t>TENGO QUE ANALIZAR FLUJOS DE CAJA INCREMENTALES</t>
  </si>
  <si>
    <t xml:space="preserve">DESCRIPCIÓN                                                                                           </t>
  </si>
  <si>
    <t>SUB - TOTAL</t>
  </si>
  <si>
    <t>IMPREVISTOS (20%)</t>
  </si>
  <si>
    <t>Biologos</t>
  </si>
  <si>
    <t>Jefe de mantenimiento</t>
  </si>
  <si>
    <t>Incremento anual</t>
  </si>
  <si>
    <t>Peones, jornaleros</t>
  </si>
  <si>
    <t>INCREMENTO SALARIAL  10%</t>
  </si>
  <si>
    <t>Piscinas y preciaderos</t>
  </si>
  <si>
    <t>ESTADO DE PERDIDAS Y GANANCIAS</t>
  </si>
  <si>
    <t>(en dólares)</t>
  </si>
  <si>
    <t xml:space="preserve">DESCRIPCIÓN </t>
  </si>
  <si>
    <t>COSTO DE PRODUCCIÓN</t>
  </si>
  <si>
    <t>UTILIDAD BRUTA</t>
  </si>
  <si>
    <t>GASTOS DE VENTAS Y ADMINISTRATIVOS</t>
  </si>
  <si>
    <t>UTILIDAD NETA EN OPERACIÓN</t>
  </si>
  <si>
    <t>GASTOS FINANCIEROS</t>
  </si>
  <si>
    <t>15% TRABAJADORES</t>
  </si>
  <si>
    <t>UTILIDAD NETA</t>
  </si>
  <si>
    <t>INGRESO DISPONIBLE</t>
  </si>
  <si>
    <t>RESERVA LEGAL (10%)</t>
  </si>
  <si>
    <t>Gastos Financieros</t>
  </si>
  <si>
    <t>TMAR</t>
  </si>
  <si>
    <t xml:space="preserve">TASA PASIVA 4.05% </t>
  </si>
  <si>
    <t>TASA ACTIVA 9.48%</t>
  </si>
  <si>
    <t>Piscineros, obreros</t>
  </si>
  <si>
    <t xml:space="preserve">FINANCIAMIENTO </t>
  </si>
  <si>
    <t>INTERESES</t>
  </si>
  <si>
    <t>VALOR PRESENTE AL 12,10%</t>
  </si>
  <si>
    <t>VP DEL FLUJO DE CAJA</t>
  </si>
  <si>
    <t>Gastos de Impuestos</t>
  </si>
  <si>
    <t>IMPUESTOS 25%</t>
  </si>
  <si>
    <t>15% Trabajadores</t>
  </si>
  <si>
    <t>Otros ingresos</t>
  </si>
  <si>
    <t>OTROS GASTOS</t>
  </si>
  <si>
    <t>UTILIDAD ANTES DE IMPUESTOS</t>
  </si>
  <si>
    <t>AMORTIZACION</t>
  </si>
  <si>
    <t>DEPRECIACION</t>
  </si>
  <si>
    <t>UTILIDAD ANTES PART TRABAJADORES</t>
  </si>
  <si>
    <t>ECUADOR</t>
  </si>
  <si>
    <t>PROMEDIO ESPAÑA E ITALIA</t>
  </si>
  <si>
    <t>KG</t>
  </si>
  <si>
    <t>VAN</t>
  </si>
  <si>
    <t>TIR</t>
  </si>
  <si>
    <t>2006 - 2013</t>
  </si>
  <si>
    <t>2006 -2013</t>
  </si>
  <si>
    <t>COSTO DE PRODUCCIÓN Y VENTAS</t>
  </si>
  <si>
    <t>GASTOS  ADMINISTRATIVOS</t>
  </si>
  <si>
    <t>10 años</t>
  </si>
  <si>
    <t>5 años</t>
  </si>
  <si>
    <t>20 años</t>
  </si>
  <si>
    <t>Costos de Producción y ventas</t>
  </si>
  <si>
    <t>Infraestructura para Investigación</t>
  </si>
  <si>
    <t xml:space="preserve">Costos de Investigación   </t>
  </si>
  <si>
    <t>Diferencia en Cambio</t>
  </si>
  <si>
    <t>AMORTIZACION (-)</t>
  </si>
  <si>
    <t>Cancelación pasivo a largo plazo</t>
  </si>
  <si>
    <t>Alquiler instalaciones</t>
  </si>
  <si>
    <t>Alquiler congeladores</t>
  </si>
  <si>
    <t>Disminución pasivo a largo plazo</t>
  </si>
  <si>
    <t>ESPAÑA</t>
  </si>
  <si>
    <t>ACTIVA 8,90%</t>
  </si>
  <si>
    <t>PASIVA 3%</t>
  </si>
  <si>
    <t>VALOR PRESENTE AL 11,46%</t>
  </si>
  <si>
    <t>EUROPA</t>
  </si>
  <si>
    <t>INVERSION DEL FINANCISTA</t>
  </si>
  <si>
    <t>GANANCIA DEL INVERSIONISTA</t>
  </si>
  <si>
    <t>PAGO POR CONGELADORES</t>
  </si>
  <si>
    <t>SALDO INICIAL</t>
  </si>
  <si>
    <t>SALDO FINAL</t>
  </si>
  <si>
    <t>Empacadores, despachadores</t>
  </si>
  <si>
    <t xml:space="preserve">                    Compra de instalaciones </t>
  </si>
  <si>
    <t>costos de procesamiento de camarón si lo vendo a una procesadora de camarón</t>
  </si>
  <si>
    <t>Gerente Gral.</t>
  </si>
  <si>
    <t>Asistente de Gerencia</t>
  </si>
  <si>
    <t>Gerente RR.HH</t>
  </si>
  <si>
    <t>PRECIO UNITARIO EN ESPAÑA</t>
  </si>
  <si>
    <t>CANTIDAD EN KILOGRAMOS</t>
  </si>
  <si>
    <t>ESPECIE</t>
  </si>
  <si>
    <t xml:space="preserve">SE MANTIENE LA MISMA PRODUCCIÓN POR LA DIFICULTAD DE AUMENTAR LA SUPERVIVENCIA DEL CAMARÓN POR LAS DIFERENTES ENFERMEDADES, ENTONCES </t>
  </si>
  <si>
    <t>NO AUMENTAMOS LA PRODUCCIÓN Y LA MANTENEMOS CONSTANTE A TRAVES DE LOS AÑOS...</t>
  </si>
  <si>
    <t>ledsa importacion de materia prima, hiersa facturaba por procesamiento</t>
  </si>
  <si>
    <t>ledsa para servicio de faenamiento, procesamiento, comprar cartones y etiquetas.</t>
  </si>
  <si>
    <t xml:space="preserve">hiersa facturaba x procesamiento y empaque </t>
  </si>
  <si>
    <t xml:space="preserve">iess portoviejo 24 de junio, hay que cambiar la factura para el 19 de julio,  </t>
  </si>
  <si>
    <t xml:space="preserve">Productividad por hectárea (lbs): </t>
  </si>
  <si>
    <t>Por Operación Contratada</t>
  </si>
  <si>
    <t>SALDO TRASPASADO AL F1</t>
  </si>
  <si>
    <t>SALDO FINAL NETO DE CAJA</t>
  </si>
  <si>
    <t>FLUJO DE CAJA OPERADOR</t>
  </si>
  <si>
    <t>Gastos de envio a España, contenedores</t>
  </si>
  <si>
    <t>Gerente de Producción</t>
  </si>
  <si>
    <t>Jefe de Planta</t>
  </si>
  <si>
    <t>Jefe de Calidad</t>
  </si>
  <si>
    <t xml:space="preserve">Supervisores </t>
  </si>
  <si>
    <t>Asistentes</t>
  </si>
  <si>
    <t>inspectores línea</t>
  </si>
  <si>
    <t xml:space="preserve">Disminución de cuentas por pagar   </t>
  </si>
  <si>
    <t xml:space="preserve">Disminución de gtos acum x pagar   </t>
  </si>
  <si>
    <t>FIDEICOMISO 1</t>
  </si>
  <si>
    <t xml:space="preserve">FLUJO DE CAJA  </t>
  </si>
  <si>
    <t>Venta de Desecho</t>
  </si>
  <si>
    <t>EMPRESA SIN FIDEICOMISO</t>
  </si>
  <si>
    <t xml:space="preserve">FLUJO DE CAJA </t>
  </si>
  <si>
    <t xml:space="preserve">Disminución sobregiro bancario        </t>
  </si>
  <si>
    <t>IMPUESTO 25%</t>
  </si>
  <si>
    <t>UTILIDAD DESPUES DE IMPTOS</t>
  </si>
  <si>
    <t>UTILIDAD DESPUES DE IMPUESTOS</t>
  </si>
  <si>
    <t>DEPRECIACIÓN</t>
  </si>
  <si>
    <t>FLUJO ANTES DE IMPUESTOS</t>
  </si>
  <si>
    <t>PERDIDA/UTILIDAD ANTES DE PARTICIPACIÓN</t>
  </si>
  <si>
    <t>LA OPERADORA S.A.</t>
  </si>
  <si>
    <t>ANEXO III</t>
  </si>
  <si>
    <t>ANEXO IV</t>
  </si>
  <si>
    <t>ANEXO V</t>
  </si>
  <si>
    <t>ANEXO VI</t>
  </si>
  <si>
    <t>ANEXO VII</t>
  </si>
  <si>
    <t>ANEXO VIII</t>
  </si>
  <si>
    <t>ANEXO IX</t>
  </si>
  <si>
    <t>ANEXO X</t>
  </si>
  <si>
    <t>ANEXO XI</t>
  </si>
  <si>
    <t>ANEXO XII</t>
  </si>
  <si>
    <t>ANEXO XIII</t>
  </si>
  <si>
    <t>#  Empleados</t>
  </si>
  <si>
    <t xml:space="preserve">DESCRIPCION </t>
  </si>
  <si>
    <t xml:space="preserve">ESTADO DE PÉRDIDAS Y GANANCIAS </t>
  </si>
  <si>
    <t>EGRESO/INGRESO DISPONIBLE</t>
  </si>
  <si>
    <t xml:space="preserve">                                  Amortización</t>
  </si>
  <si>
    <t xml:space="preserve">Disminución de cuentas por pagar </t>
  </si>
  <si>
    <t xml:space="preserve">disminución sobregiro bancario        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</si>
</sst>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_);_(* \(#,##0\);_(* &quot;-&quot;??_);_(@_)"/>
    <numFmt numFmtId="165" formatCode="d\-mmm\-yy"/>
    <numFmt numFmtId="166" formatCode="_ * #,##0.0_ ;_ * \-#,##0.0_ ;_ * &quot;-&quot;??_ ;_ @_ "/>
    <numFmt numFmtId="167" formatCode="_ * #,##0_ ;_ * \-#,##0_ ;_ * &quot;-&quot;??_ ;_ @_ "/>
    <numFmt numFmtId="168" formatCode="0.000%"/>
    <numFmt numFmtId="169" formatCode="_ * #,##0.000_ ;_ * \-#,##0.000_ ;_ * &quot;-&quot;??_ ;_ @_ "/>
    <numFmt numFmtId="170" formatCode="_ * #,##0.000000000000000_ ;_ * \-#,##0.000000000000000_ ;_ * &quot;-&quot;???_ ;_ @_ "/>
    <numFmt numFmtId="171" formatCode="_ * #,##0.0000000_ ;_ * \-#,##0.0000000_ ;_ * &quot;-&quot;??_ ;_ @_ "/>
    <numFmt numFmtId="172" formatCode="_ * #,##0.0_ ;_ * \-#,##0.0_ ;_ * &quot;-&quot;?_ ;_ @_ "/>
    <numFmt numFmtId="173" formatCode="_ * #,##0.0000_ ;_ * \-#,##0.0000_ ;_ * &quot;-&quot;??_ ;_ @_ "/>
    <numFmt numFmtId="174" formatCode="#,##0.0"/>
    <numFmt numFmtId="175" formatCode="_ * #,##0.00000_ ;_ * \-#,##0.00000_ ;_ * &quot;-&quot;??_ ;_ @_ "/>
    <numFmt numFmtId="176" formatCode="0.0000"/>
    <numFmt numFmtId="177" formatCode="0.000"/>
    <numFmt numFmtId="178" formatCode="0.0"/>
    <numFmt numFmtId="179" formatCode="0.0%"/>
    <numFmt numFmtId="180" formatCode="_ * #,##0.00_ ;_ * \-#,##0.00_ ;_ * &quot;-&quot;?_ ;_ @_ "/>
    <numFmt numFmtId="181" formatCode="_ &quot;$&quot;\ * #,##0.0_ ;_ &quot;$&quot;\ * \-#,##0.0_ ;_ &quot;$&quot;\ * &quot;-&quot;??_ ;_ @_ "/>
    <numFmt numFmtId="182" formatCode="_ &quot;$&quot;\ * #,##0_ ;_ &quot;$&quot;\ * \-#,##0_ ;_ &quot;$&quot;\ * &quot;-&quot;??_ ;_ @_ 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000_ ;_ * \-#,##0.000000_ ;_ * &quot;-&quot;??_ ;_ @_ "/>
    <numFmt numFmtId="188" formatCode="_ * #,##0.00000000_ ;_ * \-#,##0.00000000_ ;_ * &quot;-&quot;??_ ;_ @_ "/>
    <numFmt numFmtId="189" formatCode="_ * #,##0.000000000_ ;_ * \-#,##0.000000000_ ;_ * &quot;-&quot;??_ ;_ @_ "/>
    <numFmt numFmtId="190" formatCode="_ * #,##0.0000000000_ ;_ * \-#,##0.0000000000_ ;_ * &quot;-&quot;??_ ;_ @_ "/>
    <numFmt numFmtId="191" formatCode="_ * #,##0.0000000000_ ;_ * \-#,##0.0000000000_ ;_ * &quot;-&quot;??????????_ ;_ @_ "/>
    <numFmt numFmtId="192" formatCode="_ * #,##0.000000000_ ;_ * \-#,##0.000000000_ ;_ * &quot;-&quot;??????????_ ;_ @_ "/>
    <numFmt numFmtId="193" formatCode="_ * #,##0.00000000_ ;_ * \-#,##0.00000000_ ;_ * &quot;-&quot;??????????_ ;_ @_ "/>
    <numFmt numFmtId="194" formatCode="_ * #,##0.0000000_ ;_ * \-#,##0.0000000_ ;_ * &quot;-&quot;??????????_ ;_ @_ "/>
    <numFmt numFmtId="195" formatCode="_ * #,##0.000000_ ;_ * \-#,##0.000000_ ;_ * &quot;-&quot;??????????_ ;_ @_ "/>
    <numFmt numFmtId="196" formatCode="_ * #,##0.00000_ ;_ * \-#,##0.00000_ ;_ * &quot;-&quot;??????????_ ;_ @_ "/>
    <numFmt numFmtId="197" formatCode="_ * #,##0.0000_ ;_ * \-#,##0.0000_ ;_ * &quot;-&quot;??????????_ ;_ @_ "/>
    <numFmt numFmtId="198" formatCode="_ * #,##0.000_ ;_ * \-#,##0.000_ ;_ * &quot;-&quot;??????????_ ;_ @_ "/>
    <numFmt numFmtId="199" formatCode="_ * #,##0.00_ ;_ * \-#,##0.00_ ;_ * &quot;-&quot;??????????_ ;_ @_ "/>
    <numFmt numFmtId="200" formatCode="_ [$€-2]\ * #,##0.00_ ;_ [$€-2]\ * \-#,##0.00_ ;_ [$€-2]\ * &quot;-&quot;??_ "/>
    <numFmt numFmtId="201" formatCode="_ * #,##0.000_ ;_ * \-#,##0.000_ ;_ * &quot;-&quot;?_ ;_ @_ 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0"/>
    </font>
    <font>
      <b/>
      <sz val="13"/>
      <color indexed="10"/>
      <name val="Times New Roman"/>
      <family val="1"/>
    </font>
    <font>
      <b/>
      <sz val="10"/>
      <color indexed="53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b/>
      <sz val="13"/>
      <name val="Arial"/>
      <family val="2"/>
    </font>
    <font>
      <sz val="9.85"/>
      <color indexed="8"/>
      <name val="Times New Roman"/>
      <family val="0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Accounting"/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u val="double"/>
      <sz val="25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8" applyNumberFormat="1" applyFont="1" applyAlignment="1">
      <alignment horizontal="center"/>
    </xf>
    <xf numFmtId="164" fontId="1" fillId="0" borderId="0" xfId="18" applyNumberFormat="1" applyFont="1" applyAlignment="1">
      <alignment/>
    </xf>
    <xf numFmtId="165" fontId="1" fillId="0" borderId="0" xfId="18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18" applyNumberFormat="1" applyAlignment="1">
      <alignment/>
    </xf>
    <xf numFmtId="164" fontId="0" fillId="0" borderId="0" xfId="18" applyNumberFormat="1" applyFont="1" applyAlignment="1">
      <alignment/>
    </xf>
    <xf numFmtId="164" fontId="1" fillId="0" borderId="1" xfId="18" applyNumberFormat="1" applyFont="1" applyBorder="1" applyAlignment="1">
      <alignment/>
    </xf>
    <xf numFmtId="0" fontId="0" fillId="0" borderId="0" xfId="0" applyFont="1" applyAlignment="1">
      <alignment/>
    </xf>
    <xf numFmtId="164" fontId="1" fillId="0" borderId="2" xfId="18" applyNumberFormat="1" applyFont="1" applyBorder="1" applyAlignment="1">
      <alignment/>
    </xf>
    <xf numFmtId="9" fontId="0" fillId="0" borderId="0" xfId="22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167" fontId="0" fillId="0" borderId="0" xfId="18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7" fontId="0" fillId="0" borderId="0" xfId="0" applyNumberFormat="1" applyAlignment="1">
      <alignment/>
    </xf>
    <xf numFmtId="167" fontId="1" fillId="0" borderId="0" xfId="18" applyNumberFormat="1" applyFont="1" applyAlignment="1">
      <alignment/>
    </xf>
    <xf numFmtId="43" fontId="0" fillId="0" borderId="0" xfId="18" applyAlignment="1">
      <alignment/>
    </xf>
    <xf numFmtId="43" fontId="3" fillId="0" borderId="0" xfId="18" applyFont="1" applyAlignment="1">
      <alignment/>
    </xf>
    <xf numFmtId="0" fontId="1" fillId="0" borderId="0" xfId="0" applyFont="1" applyAlignment="1">
      <alignment horizontal="center"/>
    </xf>
    <xf numFmtId="168" fontId="0" fillId="0" borderId="0" xfId="22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2" fillId="0" borderId="0" xfId="18" applyFont="1" applyAlignment="1">
      <alignment/>
    </xf>
    <xf numFmtId="43" fontId="0" fillId="0" borderId="0" xfId="0" applyNumberFormat="1" applyAlignment="1">
      <alignment/>
    </xf>
    <xf numFmtId="43" fontId="0" fillId="0" borderId="0" xfId="18" applyNumberFormat="1" applyAlignment="1">
      <alignment/>
    </xf>
    <xf numFmtId="43" fontId="0" fillId="0" borderId="0" xfId="18" applyFont="1" applyAlignment="1">
      <alignment/>
    </xf>
    <xf numFmtId="167" fontId="13" fillId="0" borderId="0" xfId="18" applyNumberFormat="1" applyFont="1" applyAlignment="1">
      <alignment/>
    </xf>
    <xf numFmtId="43" fontId="13" fillId="0" borderId="0" xfId="18" applyFont="1" applyAlignment="1">
      <alignment/>
    </xf>
    <xf numFmtId="0" fontId="13" fillId="0" borderId="0" xfId="0" applyFont="1" applyAlignment="1">
      <alignment/>
    </xf>
    <xf numFmtId="43" fontId="14" fillId="0" borderId="0" xfId="18" applyFont="1" applyAlignment="1">
      <alignment/>
    </xf>
    <xf numFmtId="43" fontId="15" fillId="0" borderId="0" xfId="18" applyFont="1" applyAlignment="1">
      <alignment/>
    </xf>
    <xf numFmtId="167" fontId="0" fillId="0" borderId="0" xfId="18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43" fontId="12" fillId="0" borderId="0" xfId="0" applyNumberFormat="1" applyFont="1" applyAlignment="1">
      <alignment/>
    </xf>
    <xf numFmtId="0" fontId="16" fillId="0" borderId="0" xfId="0" applyFont="1" applyAlignment="1">
      <alignment/>
    </xf>
    <xf numFmtId="44" fontId="0" fillId="0" borderId="0" xfId="20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3" fontId="0" fillId="0" borderId="5" xfId="18" applyBorder="1" applyAlignment="1">
      <alignment/>
    </xf>
    <xf numFmtId="43" fontId="0" fillId="0" borderId="6" xfId="18" applyBorder="1" applyAlignment="1">
      <alignment/>
    </xf>
    <xf numFmtId="43" fontId="0" fillId="0" borderId="4" xfId="0" applyNumberFormat="1" applyBorder="1" applyAlignment="1">
      <alignment/>
    </xf>
    <xf numFmtId="166" fontId="0" fillId="0" borderId="4" xfId="0" applyNumberFormat="1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1" fillId="0" borderId="8" xfId="0" applyFont="1" applyBorder="1" applyAlignment="1">
      <alignment horizontal="center"/>
    </xf>
    <xf numFmtId="0" fontId="17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4" xfId="0" applyNumberFormat="1" applyBorder="1" applyAlignment="1">
      <alignment/>
    </xf>
    <xf numFmtId="43" fontId="0" fillId="0" borderId="4" xfId="18" applyBorder="1" applyAlignment="1">
      <alignment/>
    </xf>
    <xf numFmtId="0" fontId="1" fillId="0" borderId="9" xfId="0" applyFont="1" applyBorder="1" applyAlignment="1">
      <alignment horizontal="center"/>
    </xf>
    <xf numFmtId="44" fontId="0" fillId="0" borderId="3" xfId="0" applyNumberFormat="1" applyBorder="1" applyAlignment="1">
      <alignment/>
    </xf>
    <xf numFmtId="43" fontId="0" fillId="0" borderId="3" xfId="18" applyBorder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4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43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1" fillId="0" borderId="0" xfId="0" applyFont="1" applyBorder="1" applyAlignment="1">
      <alignment/>
    </xf>
    <xf numFmtId="43" fontId="0" fillId="0" borderId="4" xfId="18" applyNumberFormat="1" applyBorder="1" applyAlignment="1">
      <alignment/>
    </xf>
    <xf numFmtId="43" fontId="21" fillId="0" borderId="4" xfId="18" applyNumberFormat="1" applyFont="1" applyBorder="1" applyAlignment="1">
      <alignment/>
    </xf>
    <xf numFmtId="44" fontId="1" fillId="0" borderId="10" xfId="20" applyFont="1" applyBorder="1" applyAlignment="1">
      <alignment/>
    </xf>
    <xf numFmtId="43" fontId="21" fillId="0" borderId="3" xfId="0" applyNumberFormat="1" applyFont="1" applyBorder="1" applyAlignment="1">
      <alignment/>
    </xf>
    <xf numFmtId="43" fontId="0" fillId="0" borderId="3" xfId="18" applyNumberFormat="1" applyBorder="1" applyAlignment="1">
      <alignment/>
    </xf>
    <xf numFmtId="43" fontId="21" fillId="0" borderId="3" xfId="18" applyNumberFormat="1" applyFont="1" applyBorder="1" applyAlignment="1">
      <alignment/>
    </xf>
    <xf numFmtId="44" fontId="1" fillId="0" borderId="13" xfId="20" applyFont="1" applyBorder="1" applyAlignment="1">
      <alignment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66" fontId="21" fillId="0" borderId="0" xfId="18" applyNumberFormat="1" applyFont="1" applyBorder="1" applyAlignment="1">
      <alignment/>
    </xf>
    <xf numFmtId="166" fontId="21" fillId="0" borderId="4" xfId="18" applyNumberFormat="1" applyFont="1" applyBorder="1" applyAlignment="1">
      <alignment/>
    </xf>
    <xf numFmtId="166" fontId="0" fillId="0" borderId="0" xfId="18" applyNumberFormat="1" applyBorder="1" applyAlignment="1">
      <alignment/>
    </xf>
    <xf numFmtId="166" fontId="0" fillId="0" borderId="4" xfId="18" applyNumberFormat="1" applyBorder="1" applyAlignment="1">
      <alignment/>
    </xf>
    <xf numFmtId="166" fontId="0" fillId="0" borderId="0" xfId="18" applyNumberFormat="1" applyFont="1" applyBorder="1" applyAlignment="1">
      <alignment/>
    </xf>
    <xf numFmtId="166" fontId="0" fillId="0" borderId="4" xfId="18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6" fontId="21" fillId="0" borderId="3" xfId="18" applyNumberFormat="1" applyFont="1" applyBorder="1" applyAlignment="1">
      <alignment/>
    </xf>
    <xf numFmtId="166" fontId="0" fillId="0" borderId="3" xfId="18" applyNumberFormat="1" applyBorder="1" applyAlignment="1">
      <alignment/>
    </xf>
    <xf numFmtId="166" fontId="0" fillId="0" borderId="3" xfId="18" applyNumberFormat="1" applyFont="1" applyBorder="1" applyAlignment="1">
      <alignment/>
    </xf>
    <xf numFmtId="172" fontId="0" fillId="0" borderId="13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10" fillId="0" borderId="11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10" xfId="0" applyFont="1" applyBorder="1" applyAlignment="1">
      <alignment/>
    </xf>
    <xf numFmtId="44" fontId="10" fillId="0" borderId="8" xfId="20" applyFont="1" applyBorder="1" applyAlignment="1">
      <alignment/>
    </xf>
    <xf numFmtId="44" fontId="10" fillId="0" borderId="13" xfId="20" applyFont="1" applyBorder="1" applyAlignment="1">
      <alignment/>
    </xf>
    <xf numFmtId="44" fontId="10" fillId="0" borderId="10" xfId="2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7" fontId="0" fillId="0" borderId="12" xfId="18" applyNumberFormat="1" applyBorder="1" applyAlignment="1">
      <alignment/>
    </xf>
    <xf numFmtId="167" fontId="0" fillId="0" borderId="4" xfId="18" applyNumberFormat="1" applyBorder="1" applyAlignment="1">
      <alignment/>
    </xf>
    <xf numFmtId="166" fontId="0" fillId="0" borderId="12" xfId="18" applyNumberFormat="1" applyBorder="1" applyAlignment="1">
      <alignment/>
    </xf>
    <xf numFmtId="43" fontId="0" fillId="0" borderId="12" xfId="18" applyBorder="1" applyAlignment="1">
      <alignment/>
    </xf>
    <xf numFmtId="43" fontId="0" fillId="0" borderId="12" xfId="18" applyNumberFormat="1" applyBorder="1" applyAlignment="1">
      <alignment/>
    </xf>
    <xf numFmtId="167" fontId="0" fillId="0" borderId="3" xfId="18" applyNumberFormat="1" applyBorder="1" applyAlignment="1">
      <alignment/>
    </xf>
    <xf numFmtId="172" fontId="0" fillId="0" borderId="3" xfId="0" applyNumberFormat="1" applyBorder="1" applyAlignment="1">
      <alignment/>
    </xf>
    <xf numFmtId="0" fontId="1" fillId="0" borderId="7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7" xfId="0" applyFont="1" applyBorder="1" applyAlignment="1">
      <alignment/>
    </xf>
    <xf numFmtId="43" fontId="0" fillId="0" borderId="11" xfId="18" applyBorder="1" applyAlignment="1">
      <alignment/>
    </xf>
    <xf numFmtId="43" fontId="0" fillId="0" borderId="13" xfId="18" applyBorder="1" applyAlignment="1">
      <alignment/>
    </xf>
    <xf numFmtId="172" fontId="0" fillId="0" borderId="6" xfId="0" applyNumberFormat="1" applyFont="1" applyBorder="1" applyAlignment="1">
      <alignment/>
    </xf>
    <xf numFmtId="166" fontId="0" fillId="0" borderId="15" xfId="18" applyNumberFormat="1" applyFon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9" xfId="0" applyNumberFormat="1" applyBorder="1" applyAlignment="1">
      <alignment/>
    </xf>
    <xf numFmtId="43" fontId="0" fillId="0" borderId="11" xfId="0" applyNumberFormat="1" applyBorder="1" applyAlignment="1">
      <alignment/>
    </xf>
    <xf numFmtId="166" fontId="0" fillId="0" borderId="15" xfId="18" applyNumberFormat="1" applyBorder="1" applyAlignment="1">
      <alignment/>
    </xf>
    <xf numFmtId="166" fontId="0" fillId="0" borderId="11" xfId="18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0" borderId="5" xfId="0" applyNumberFormat="1" applyFont="1" applyBorder="1" applyAlignment="1">
      <alignment/>
    </xf>
    <xf numFmtId="44" fontId="1" fillId="0" borderId="7" xfId="20" applyFont="1" applyBorder="1" applyAlignment="1">
      <alignment/>
    </xf>
    <xf numFmtId="44" fontId="1" fillId="0" borderId="5" xfId="20" applyFont="1" applyBorder="1" applyAlignment="1">
      <alignment/>
    </xf>
    <xf numFmtId="44" fontId="1" fillId="0" borderId="6" xfId="20" applyFont="1" applyBorder="1" applyAlignment="1">
      <alignment/>
    </xf>
    <xf numFmtId="44" fontId="24" fillId="0" borderId="7" xfId="20" applyFont="1" applyBorder="1" applyAlignment="1">
      <alignment/>
    </xf>
    <xf numFmtId="44" fontId="24" fillId="0" borderId="5" xfId="20" applyFont="1" applyBorder="1" applyAlignment="1">
      <alignment/>
    </xf>
    <xf numFmtId="44" fontId="1" fillId="0" borderId="5" xfId="20" applyNumberFormat="1" applyFont="1" applyBorder="1" applyAlignment="1">
      <alignment/>
    </xf>
    <xf numFmtId="44" fontId="1" fillId="0" borderId="7" xfId="20" applyNumberFormat="1" applyFont="1" applyBorder="1" applyAlignment="1">
      <alignment/>
    </xf>
    <xf numFmtId="167" fontId="0" fillId="0" borderId="9" xfId="18" applyNumberFormat="1" applyBorder="1" applyAlignment="1">
      <alignment/>
    </xf>
    <xf numFmtId="167" fontId="0" fillId="0" borderId="17" xfId="18" applyNumberFormat="1" applyBorder="1" applyAlignment="1">
      <alignment/>
    </xf>
    <xf numFmtId="167" fontId="0" fillId="0" borderId="10" xfId="18" applyNumberFormat="1" applyBorder="1" applyAlignment="1">
      <alignment/>
    </xf>
    <xf numFmtId="0" fontId="20" fillId="0" borderId="11" xfId="0" applyFont="1" applyFill="1" applyBorder="1" applyAlignment="1">
      <alignment vertical="center"/>
    </xf>
    <xf numFmtId="43" fontId="21" fillId="0" borderId="12" xfId="18" applyFont="1" applyBorder="1" applyAlignment="1">
      <alignment/>
    </xf>
    <xf numFmtId="43" fontId="21" fillId="0" borderId="12" xfId="18" applyFont="1" applyBorder="1" applyAlignment="1">
      <alignment/>
    </xf>
    <xf numFmtId="43" fontId="21" fillId="0" borderId="3" xfId="18" applyFont="1" applyBorder="1" applyAlignment="1">
      <alignment/>
    </xf>
    <xf numFmtId="0" fontId="20" fillId="0" borderId="0" xfId="0" applyFont="1" applyFill="1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43" fontId="21" fillId="0" borderId="15" xfId="18" applyFont="1" applyBorder="1" applyAlignment="1">
      <alignment/>
    </xf>
    <xf numFmtId="0" fontId="0" fillId="0" borderId="0" xfId="0" applyFill="1" applyBorder="1" applyAlignment="1">
      <alignment/>
    </xf>
    <xf numFmtId="44" fontId="25" fillId="0" borderId="0" xfId="20" applyFont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18" applyFont="1" applyBorder="1" applyAlignment="1">
      <alignment vertical="center" wrapText="1"/>
    </xf>
    <xf numFmtId="43" fontId="0" fillId="0" borderId="0" xfId="18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3" fontId="1" fillId="0" borderId="11" xfId="0" applyNumberFormat="1" applyFont="1" applyBorder="1" applyAlignment="1">
      <alignment/>
    </xf>
    <xf numFmtId="43" fontId="1" fillId="0" borderId="8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0" fontId="10" fillId="0" borderId="0" xfId="0" applyFont="1" applyFill="1" applyBorder="1" applyAlignment="1">
      <alignment horizontal="center" vertical="distributed"/>
    </xf>
    <xf numFmtId="44" fontId="1" fillId="0" borderId="1" xfId="20" applyFont="1" applyBorder="1" applyAlignment="1">
      <alignment/>
    </xf>
    <xf numFmtId="0" fontId="0" fillId="0" borderId="13" xfId="0" applyBorder="1" applyAlignment="1">
      <alignment horizontal="center"/>
    </xf>
    <xf numFmtId="172" fontId="0" fillId="0" borderId="0" xfId="0" applyNumberFormat="1" applyAlignment="1">
      <alignment/>
    </xf>
    <xf numFmtId="167" fontId="0" fillId="0" borderId="4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43" fontId="0" fillId="0" borderId="3" xfId="0" applyNumberFormat="1" applyBorder="1" applyAlignment="1">
      <alignment/>
    </xf>
    <xf numFmtId="166" fontId="0" fillId="0" borderId="3" xfId="0" applyNumberFormat="1" applyBorder="1" applyAlignment="1">
      <alignment/>
    </xf>
    <xf numFmtId="43" fontId="1" fillId="0" borderId="13" xfId="0" applyNumberFormat="1" applyFont="1" applyBorder="1" applyAlignment="1">
      <alignment/>
    </xf>
    <xf numFmtId="8" fontId="0" fillId="0" borderId="0" xfId="0" applyNumberFormat="1" applyAlignment="1">
      <alignment/>
    </xf>
    <xf numFmtId="43" fontId="1" fillId="0" borderId="9" xfId="18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43" fontId="19" fillId="0" borderId="0" xfId="18" applyFont="1" applyAlignment="1">
      <alignment/>
    </xf>
    <xf numFmtId="0" fontId="19" fillId="0" borderId="7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6" xfId="0" applyFont="1" applyBorder="1" applyAlignment="1">
      <alignment/>
    </xf>
    <xf numFmtId="0" fontId="7" fillId="0" borderId="0" xfId="0" applyFont="1" applyAlignment="1">
      <alignment horizontal="left" vertical="center" wrapText="1"/>
    </xf>
    <xf numFmtId="44" fontId="0" fillId="0" borderId="0" xfId="20" applyAlignment="1">
      <alignment vertical="center" wrapText="1"/>
    </xf>
    <xf numFmtId="168" fontId="0" fillId="0" borderId="0" xfId="22" applyNumberFormat="1" applyAlignment="1">
      <alignment vertical="center" wrapText="1"/>
    </xf>
    <xf numFmtId="167" fontId="0" fillId="0" borderId="9" xfId="18" applyNumberFormat="1" applyFont="1" applyBorder="1" applyAlignment="1">
      <alignment horizontal="left"/>
    </xf>
    <xf numFmtId="167" fontId="0" fillId="0" borderId="3" xfId="18" applyNumberFormat="1" applyFont="1" applyBorder="1" applyAlignment="1">
      <alignment/>
    </xf>
    <xf numFmtId="0" fontId="0" fillId="0" borderId="3" xfId="0" applyBorder="1" applyAlignment="1">
      <alignment horizontal="center"/>
    </xf>
    <xf numFmtId="167" fontId="0" fillId="0" borderId="0" xfId="0" applyNumberFormat="1" applyBorder="1" applyAlignment="1">
      <alignment/>
    </xf>
    <xf numFmtId="43" fontId="1" fillId="0" borderId="0" xfId="18" applyFont="1" applyBorder="1" applyAlignment="1">
      <alignment/>
    </xf>
    <xf numFmtId="43" fontId="0" fillId="0" borderId="3" xfId="18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5" xfId="0" applyFont="1" applyFill="1" applyBorder="1" applyAlignment="1">
      <alignment horizontal="center"/>
    </xf>
    <xf numFmtId="43" fontId="0" fillId="0" borderId="9" xfId="0" applyNumberFormat="1" applyBorder="1" applyAlignment="1">
      <alignment/>
    </xf>
    <xf numFmtId="43" fontId="0" fillId="0" borderId="17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44" fontId="0" fillId="0" borderId="12" xfId="0" applyNumberFormat="1" applyBorder="1" applyAlignment="1">
      <alignment/>
    </xf>
    <xf numFmtId="166" fontId="0" fillId="0" borderId="12" xfId="18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4" xfId="0" applyFill="1" applyBorder="1" applyAlignment="1">
      <alignment/>
    </xf>
    <xf numFmtId="0" fontId="26" fillId="0" borderId="12" xfId="0" applyFont="1" applyBorder="1" applyAlignment="1">
      <alignment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44" fontId="1" fillId="0" borderId="18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0" fontId="27" fillId="0" borderId="3" xfId="0" applyFont="1" applyBorder="1" applyAlignment="1">
      <alignment/>
    </xf>
    <xf numFmtId="0" fontId="27" fillId="0" borderId="13" xfId="0" applyFont="1" applyBorder="1" applyAlignment="1">
      <alignment/>
    </xf>
    <xf numFmtId="44" fontId="0" fillId="0" borderId="4" xfId="0" applyNumberFormat="1" applyBorder="1" applyAlignment="1">
      <alignment horizontal="center"/>
    </xf>
    <xf numFmtId="167" fontId="1" fillId="0" borderId="0" xfId="0" applyNumberFormat="1" applyFont="1" applyAlignment="1">
      <alignment/>
    </xf>
    <xf numFmtId="44" fontId="0" fillId="0" borderId="0" xfId="20" applyFont="1" applyAlignment="1">
      <alignment/>
    </xf>
    <xf numFmtId="44" fontId="0" fillId="0" borderId="2" xfId="20" applyFont="1" applyBorder="1" applyAlignment="1">
      <alignment/>
    </xf>
    <xf numFmtId="44" fontId="0" fillId="0" borderId="0" xfId="20" applyFont="1" applyBorder="1" applyAlignment="1">
      <alignment/>
    </xf>
    <xf numFmtId="44" fontId="0" fillId="0" borderId="2" xfId="20" applyFont="1" applyBorder="1" applyAlignment="1" applyProtection="1">
      <alignment/>
      <protection/>
    </xf>
    <xf numFmtId="8" fontId="0" fillId="0" borderId="0" xfId="0" applyNumberFormat="1" applyFont="1" applyAlignment="1">
      <alignment/>
    </xf>
    <xf numFmtId="10" fontId="0" fillId="0" borderId="0" xfId="22" applyNumberFormat="1" applyAlignment="1">
      <alignment horizontal="left"/>
    </xf>
    <xf numFmtId="44" fontId="0" fillId="0" borderId="4" xfId="20" applyBorder="1" applyAlignment="1">
      <alignment/>
    </xf>
    <xf numFmtId="0" fontId="28" fillId="0" borderId="3" xfId="0" applyFont="1" applyBorder="1" applyAlignment="1">
      <alignment/>
    </xf>
    <xf numFmtId="44" fontId="0" fillId="0" borderId="3" xfId="20" applyBorder="1" applyAlignment="1">
      <alignment/>
    </xf>
    <xf numFmtId="182" fontId="0" fillId="0" borderId="3" xfId="20" applyNumberFormat="1" applyFont="1" applyBorder="1" applyAlignment="1">
      <alignment/>
    </xf>
    <xf numFmtId="182" fontId="0" fillId="0" borderId="4" xfId="20" applyNumberFormat="1" applyFont="1" applyBorder="1" applyAlignment="1">
      <alignment/>
    </xf>
    <xf numFmtId="44" fontId="0" fillId="0" borderId="3" xfId="0" applyNumberFormat="1" applyBorder="1" applyAlignment="1">
      <alignment horizontal="center"/>
    </xf>
    <xf numFmtId="44" fontId="1" fillId="0" borderId="4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43" fontId="1" fillId="0" borderId="15" xfId="18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5" xfId="0" applyFont="1" applyBorder="1" applyAlignment="1">
      <alignment/>
    </xf>
    <xf numFmtId="44" fontId="1" fillId="0" borderId="0" xfId="20" applyFont="1" applyAlignment="1">
      <alignment/>
    </xf>
    <xf numFmtId="8" fontId="16" fillId="0" borderId="0" xfId="0" applyNumberFormat="1" applyFont="1" applyAlignment="1">
      <alignment/>
    </xf>
    <xf numFmtId="9" fontId="16" fillId="0" borderId="0" xfId="22" applyFont="1" applyAlignment="1">
      <alignment/>
    </xf>
    <xf numFmtId="0" fontId="1" fillId="0" borderId="4" xfId="0" applyFont="1" applyBorder="1" applyAlignment="1">
      <alignment/>
    </xf>
    <xf numFmtId="44" fontId="1" fillId="0" borderId="3" xfId="0" applyNumberFormat="1" applyFont="1" applyBorder="1" applyAlignment="1">
      <alignment/>
    </xf>
    <xf numFmtId="44" fontId="1" fillId="0" borderId="12" xfId="0" applyNumberFormat="1" applyFont="1" applyBorder="1" applyAlignment="1">
      <alignment/>
    </xf>
    <xf numFmtId="44" fontId="1" fillId="0" borderId="19" xfId="0" applyNumberFormat="1" applyFon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2" xfId="0" applyNumberFormat="1" applyBorder="1" applyAlignment="1">
      <alignment horizontal="center"/>
    </xf>
    <xf numFmtId="44" fontId="0" fillId="0" borderId="12" xfId="20" applyBorder="1" applyAlignment="1">
      <alignment/>
    </xf>
    <xf numFmtId="44" fontId="1" fillId="0" borderId="20" xfId="0" applyNumberFormat="1" applyFont="1" applyBorder="1" applyAlignment="1">
      <alignment/>
    </xf>
    <xf numFmtId="44" fontId="0" fillId="0" borderId="11" xfId="0" applyNumberFormat="1" applyBorder="1" applyAlignment="1">
      <alignment/>
    </xf>
    <xf numFmtId="43" fontId="21" fillId="0" borderId="9" xfId="18" applyFont="1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44" fontId="0" fillId="0" borderId="0" xfId="0" applyNumberFormat="1" applyFill="1" applyAlignment="1">
      <alignment/>
    </xf>
    <xf numFmtId="43" fontId="29" fillId="0" borderId="0" xfId="0" applyNumberFormat="1" applyFont="1" applyAlignment="1">
      <alignment/>
    </xf>
    <xf numFmtId="0" fontId="30" fillId="0" borderId="0" xfId="0" applyFont="1" applyAlignment="1">
      <alignment/>
    </xf>
    <xf numFmtId="190" fontId="0" fillId="0" borderId="0" xfId="18" applyNumberFormat="1" applyAlignment="1">
      <alignment/>
    </xf>
    <xf numFmtId="199" fontId="0" fillId="0" borderId="0" xfId="0" applyNumberFormat="1" applyAlignment="1">
      <alignment/>
    </xf>
    <xf numFmtId="44" fontId="0" fillId="0" borderId="0" xfId="20" applyNumberFormat="1" applyAlignment="1">
      <alignment/>
    </xf>
    <xf numFmtId="44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44" fontId="0" fillId="0" borderId="0" xfId="20" applyBorder="1" applyAlignment="1">
      <alignment/>
    </xf>
    <xf numFmtId="44" fontId="0" fillId="0" borderId="0" xfId="20" applyFont="1" applyBorder="1" applyAlignment="1">
      <alignment/>
    </xf>
    <xf numFmtId="44" fontId="0" fillId="0" borderId="0" xfId="0" applyNumberFormat="1" applyBorder="1" applyAlignment="1">
      <alignment/>
    </xf>
    <xf numFmtId="43" fontId="0" fillId="0" borderId="0" xfId="18" applyBorder="1" applyAlignment="1">
      <alignment/>
    </xf>
    <xf numFmtId="0" fontId="0" fillId="0" borderId="13" xfId="0" applyFill="1" applyBorder="1" applyAlignment="1">
      <alignment/>
    </xf>
    <xf numFmtId="172" fontId="16" fillId="0" borderId="0" xfId="0" applyNumberFormat="1" applyFont="1" applyFill="1" applyAlignment="1">
      <alignment/>
    </xf>
    <xf numFmtId="167" fontId="16" fillId="0" borderId="0" xfId="18" applyNumberFormat="1" applyFont="1" applyAlignment="1">
      <alignment/>
    </xf>
    <xf numFmtId="166" fontId="16" fillId="0" borderId="0" xfId="18" applyNumberFormat="1" applyFont="1" applyAlignment="1">
      <alignment/>
    </xf>
    <xf numFmtId="167" fontId="16" fillId="0" borderId="0" xfId="0" applyNumberFormat="1" applyFont="1" applyAlignment="1">
      <alignment/>
    </xf>
    <xf numFmtId="44" fontId="16" fillId="0" borderId="0" xfId="20" applyFont="1" applyAlignment="1">
      <alignment/>
    </xf>
    <xf numFmtId="0" fontId="32" fillId="0" borderId="0" xfId="0" applyFont="1" applyAlignment="1">
      <alignment/>
    </xf>
    <xf numFmtId="0" fontId="10" fillId="0" borderId="0" xfId="0" applyFont="1" applyBorder="1" applyAlignment="1">
      <alignment horizontal="center" vertical="distributed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center" vertical="justify"/>
    </xf>
    <xf numFmtId="0" fontId="18" fillId="0" borderId="0" xfId="0" applyFont="1" applyBorder="1" applyAlignment="1">
      <alignment/>
    </xf>
    <xf numFmtId="0" fontId="10" fillId="0" borderId="21" xfId="0" applyFont="1" applyBorder="1" applyAlignment="1">
      <alignment horizontal="center" vertical="distributed"/>
    </xf>
    <xf numFmtId="44" fontId="25" fillId="0" borderId="22" xfId="2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5" xfId="0" applyFont="1" applyBorder="1" applyAlignment="1">
      <alignment horizontal="center" vertical="center" wrapText="1"/>
    </xf>
    <xf numFmtId="43" fontId="23" fillId="0" borderId="24" xfId="18" applyFont="1" applyBorder="1" applyAlignment="1">
      <alignment horizontal="center" vertical="center" wrapText="1"/>
    </xf>
    <xf numFmtId="43" fontId="23" fillId="0" borderId="25" xfId="18" applyFont="1" applyBorder="1" applyAlignment="1">
      <alignment vertical="center" wrapText="1"/>
    </xf>
    <xf numFmtId="44" fontId="23" fillId="0" borderId="25" xfId="20" applyFont="1" applyBorder="1" applyAlignment="1">
      <alignment horizontal="center" vertical="center" wrapText="1"/>
    </xf>
    <xf numFmtId="0" fontId="23" fillId="0" borderId="26" xfId="0" applyFont="1" applyBorder="1" applyAlignment="1">
      <alignment/>
    </xf>
    <xf numFmtId="0" fontId="0" fillId="0" borderId="0" xfId="0" applyFont="1" applyBorder="1" applyAlignment="1">
      <alignment horizontal="left"/>
    </xf>
    <xf numFmtId="9" fontId="0" fillId="0" borderId="0" xfId="0" applyNumberFormat="1" applyFont="1" applyBorder="1" applyAlignment="1">
      <alignment horizontal="left"/>
    </xf>
    <xf numFmtId="43" fontId="21" fillId="0" borderId="3" xfId="18" applyFont="1" applyBorder="1" applyAlignment="1">
      <alignment/>
    </xf>
    <xf numFmtId="0" fontId="12" fillId="2" borderId="0" xfId="0" applyFont="1" applyFill="1" applyAlignment="1">
      <alignment/>
    </xf>
    <xf numFmtId="44" fontId="12" fillId="2" borderId="0" xfId="0" applyNumberFormat="1" applyFont="1" applyFill="1" applyAlignment="1">
      <alignment/>
    </xf>
    <xf numFmtId="44" fontId="0" fillId="2" borderId="0" xfId="20" applyFont="1" applyFill="1" applyAlignment="1">
      <alignment/>
    </xf>
    <xf numFmtId="44" fontId="12" fillId="2" borderId="0" xfId="20" applyFont="1" applyFill="1" applyAlignment="1">
      <alignment/>
    </xf>
    <xf numFmtId="8" fontId="0" fillId="0" borderId="0" xfId="20" applyNumberFormat="1" applyFont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" xfId="0" applyFont="1" applyBorder="1" applyAlignment="1">
      <alignment/>
    </xf>
    <xf numFmtId="44" fontId="0" fillId="0" borderId="4" xfId="20" applyFont="1" applyBorder="1" applyAlignment="1">
      <alignment/>
    </xf>
    <xf numFmtId="0" fontId="0" fillId="0" borderId="4" xfId="0" applyFont="1" applyBorder="1" applyAlignment="1">
      <alignment/>
    </xf>
    <xf numFmtId="44" fontId="1" fillId="0" borderId="4" xfId="20" applyFont="1" applyBorder="1" applyAlignment="1">
      <alignment/>
    </xf>
    <xf numFmtId="44" fontId="0" fillId="0" borderId="0" xfId="20" applyNumberFormat="1" applyBorder="1" applyAlignment="1">
      <alignment/>
    </xf>
    <xf numFmtId="44" fontId="0" fillId="0" borderId="4" xfId="20" applyNumberFormat="1" applyBorder="1" applyAlignment="1">
      <alignment/>
    </xf>
    <xf numFmtId="44" fontId="0" fillId="0" borderId="4" xfId="20" applyNumberFormat="1" applyFill="1" applyBorder="1" applyAlignment="1">
      <alignment/>
    </xf>
    <xf numFmtId="0" fontId="0" fillId="0" borderId="3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44" fontId="10" fillId="0" borderId="10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10" fillId="0" borderId="13" xfId="0" applyFont="1" applyBorder="1" applyAlignment="1">
      <alignment/>
    </xf>
    <xf numFmtId="49" fontId="31" fillId="0" borderId="4" xfId="18" applyNumberFormat="1" applyFont="1" applyBorder="1" applyAlignment="1">
      <alignment horizontal="center" vertical="justify" wrapText="1"/>
    </xf>
    <xf numFmtId="44" fontId="0" fillId="0" borderId="4" xfId="20" applyFont="1" applyBorder="1" applyAlignment="1">
      <alignment horizontal="center" vertical="justify" wrapText="1"/>
    </xf>
    <xf numFmtId="44" fontId="0" fillId="0" borderId="4" xfId="20" applyFont="1" applyFill="1" applyBorder="1" applyAlignment="1">
      <alignment/>
    </xf>
    <xf numFmtId="44" fontId="0" fillId="0" borderId="27" xfId="20" applyFont="1" applyBorder="1" applyAlignment="1">
      <alignment/>
    </xf>
    <xf numFmtId="44" fontId="0" fillId="0" borderId="4" xfId="0" applyNumberFormat="1" applyFont="1" applyBorder="1" applyAlignment="1">
      <alignment/>
    </xf>
    <xf numFmtId="0" fontId="12" fillId="0" borderId="4" xfId="0" applyFont="1" applyBorder="1" applyAlignment="1">
      <alignment/>
    </xf>
    <xf numFmtId="44" fontId="12" fillId="0" borderId="4" xfId="20" applyFont="1" applyBorder="1" applyAlignment="1">
      <alignment/>
    </xf>
    <xf numFmtId="0" fontId="12" fillId="0" borderId="4" xfId="0" applyFont="1" applyFill="1" applyBorder="1" applyAlignment="1">
      <alignment/>
    </xf>
    <xf numFmtId="0" fontId="27" fillId="0" borderId="3" xfId="0" applyFont="1" applyFill="1" applyBorder="1" applyAlignment="1">
      <alignment/>
    </xf>
    <xf numFmtId="49" fontId="29" fillId="0" borderId="6" xfId="18" applyNumberFormat="1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0" fillId="0" borderId="0" xfId="0" applyBorder="1" applyAlignment="1">
      <alignment horizontal="center"/>
    </xf>
    <xf numFmtId="44" fontId="0" fillId="0" borderId="4" xfId="20" applyNumberFormat="1" applyFont="1" applyBorder="1" applyAlignment="1">
      <alignment/>
    </xf>
    <xf numFmtId="167" fontId="0" fillId="0" borderId="13" xfId="18" applyNumberFormat="1" applyFont="1" applyBorder="1" applyAlignment="1">
      <alignment/>
    </xf>
    <xf numFmtId="0" fontId="16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3" fontId="0" fillId="0" borderId="17" xfId="18" applyBorder="1" applyAlignment="1">
      <alignment/>
    </xf>
    <xf numFmtId="43" fontId="0" fillId="0" borderId="4" xfId="18" applyFont="1" applyBorder="1" applyAlignment="1">
      <alignment/>
    </xf>
    <xf numFmtId="43" fontId="0" fillId="0" borderId="10" xfId="18" applyFont="1" applyBorder="1" applyAlignment="1">
      <alignment/>
    </xf>
    <xf numFmtId="0" fontId="20" fillId="0" borderId="5" xfId="0" applyFont="1" applyBorder="1" applyAlignment="1">
      <alignment vertical="center"/>
    </xf>
    <xf numFmtId="0" fontId="20" fillId="0" borderId="3" xfId="0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167" fontId="0" fillId="0" borderId="15" xfId="18" applyNumberFormat="1" applyBorder="1" applyAlignment="1">
      <alignment/>
    </xf>
    <xf numFmtId="43" fontId="0" fillId="0" borderId="10" xfId="0" applyNumberFormat="1" applyBorder="1" applyAlignment="1">
      <alignment/>
    </xf>
    <xf numFmtId="167" fontId="0" fillId="0" borderId="0" xfId="18" applyNumberForma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167" fontId="0" fillId="0" borderId="16" xfId="18" applyNumberFormat="1" applyBorder="1" applyAlignment="1">
      <alignment/>
    </xf>
    <xf numFmtId="0" fontId="0" fillId="0" borderId="7" xfId="0" applyFont="1" applyBorder="1" applyAlignment="1">
      <alignment/>
    </xf>
    <xf numFmtId="44" fontId="0" fillId="0" borderId="3" xfId="0" applyNumberFormat="1" applyFill="1" applyBorder="1" applyAlignment="1">
      <alignment/>
    </xf>
    <xf numFmtId="44" fontId="0" fillId="0" borderId="4" xfId="0" applyNumberFormat="1" applyFill="1" applyBorder="1" applyAlignment="1">
      <alignment/>
    </xf>
    <xf numFmtId="43" fontId="0" fillId="0" borderId="4" xfId="0" applyNumberFormat="1" applyFill="1" applyBorder="1" applyAlignment="1">
      <alignment/>
    </xf>
    <xf numFmtId="180" fontId="16" fillId="0" borderId="0" xfId="0" applyNumberFormat="1" applyFont="1" applyFill="1" applyAlignment="1">
      <alignment/>
    </xf>
    <xf numFmtId="0" fontId="16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0" fillId="0" borderId="17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" fillId="0" borderId="11" xfId="0" applyFont="1" applyBorder="1" applyAlignment="1">
      <alignment horizontal="left" vertical="distributed"/>
    </xf>
    <xf numFmtId="0" fontId="1" fillId="0" borderId="14" xfId="0" applyFont="1" applyBorder="1" applyAlignment="1">
      <alignment horizontal="left" vertical="distributed"/>
    </xf>
    <xf numFmtId="0" fontId="1" fillId="0" borderId="6" xfId="0" applyFont="1" applyBorder="1" applyAlignment="1">
      <alignment horizontal="left" vertical="distributed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182" fontId="0" fillId="0" borderId="3" xfId="20" applyNumberFormat="1" applyFont="1" applyFill="1" applyBorder="1" applyAlignment="1">
      <alignment/>
    </xf>
    <xf numFmtId="182" fontId="1" fillId="0" borderId="3" xfId="20" applyNumberFormat="1" applyFont="1" applyBorder="1" applyAlignment="1">
      <alignment/>
    </xf>
    <xf numFmtId="182" fontId="0" fillId="0" borderId="13" xfId="20" applyNumberFormat="1" applyFont="1" applyBorder="1" applyAlignment="1">
      <alignment/>
    </xf>
    <xf numFmtId="0" fontId="0" fillId="0" borderId="12" xfId="0" applyFont="1" applyBorder="1" applyAlignment="1">
      <alignment/>
    </xf>
    <xf numFmtId="0" fontId="27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milia%20Bastidas\Mis%20documentos\HECTOR\PROYECTO%20GRADUACI&#211;N\DATOS%20ESTADISTICOS%20CAMARON\M&#193;S%20USADOS\tablas%20de%20amortizaci&#243;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milia%20Bastidas\Mis%20documentos\HECTOR\PROYECTO%20GRADUACI&#211;N\DATOS%20ESTADISTICOS%20CAMARON\M&#193;S%20USADOS\py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milia%20Bastidas\Mis%20documentos\HECTOR\PROYECTO%20GRADUACI&#211;N\DATOS%20ESTADISTICOS%20CAMARON\M&#193;S%20USADOS\Flujo%20Efectivo%20deb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milia%20Bastidas\Mis%20documentos\HECTOR\PROYECTO%20GRADUACI&#211;N\DATOS%20ESTADISTICOS%20CAMARON\tablas%20de%20amortizaci&#243;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LUJO%20DE%20CAJA%20FIDEICOMIS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1">
        <row r="5">
          <cell r="C5">
            <v>72882</v>
          </cell>
        </row>
        <row r="7">
          <cell r="C7">
            <v>262220</v>
          </cell>
        </row>
        <row r="9">
          <cell r="C9">
            <v>395053</v>
          </cell>
        </row>
        <row r="11">
          <cell r="C11">
            <v>687451</v>
          </cell>
        </row>
        <row r="13">
          <cell r="C13">
            <v>354856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uperado_Hoja1"/>
    </sheetNames>
    <sheetDataSet>
      <sheetData sheetId="0">
        <row r="58">
          <cell r="H58">
            <v>1324.98</v>
          </cell>
        </row>
        <row r="64">
          <cell r="H64">
            <v>2339.42</v>
          </cell>
        </row>
        <row r="70">
          <cell r="H70">
            <v>280.06</v>
          </cell>
        </row>
        <row r="71">
          <cell r="H71">
            <v>1170.58</v>
          </cell>
        </row>
        <row r="74">
          <cell r="H74">
            <v>10.83</v>
          </cell>
        </row>
        <row r="77">
          <cell r="H77">
            <v>92.96</v>
          </cell>
        </row>
        <row r="79">
          <cell r="H79">
            <v>30</v>
          </cell>
        </row>
        <row r="83">
          <cell r="H83">
            <v>705.12</v>
          </cell>
        </row>
        <row r="86">
          <cell r="H86">
            <v>128.14</v>
          </cell>
        </row>
        <row r="89">
          <cell r="H89">
            <v>1440</v>
          </cell>
        </row>
        <row r="92">
          <cell r="H92">
            <v>801.92</v>
          </cell>
        </row>
        <row r="104">
          <cell r="H104">
            <v>4617.46</v>
          </cell>
        </row>
        <row r="110">
          <cell r="H110">
            <v>12822.68</v>
          </cell>
        </row>
        <row r="118">
          <cell r="H118">
            <v>12970.66</v>
          </cell>
        </row>
        <row r="119">
          <cell r="H119">
            <v>34408.090000000004</v>
          </cell>
        </row>
        <row r="128">
          <cell r="H128">
            <v>494.6</v>
          </cell>
        </row>
        <row r="130">
          <cell r="H130">
            <v>488.98</v>
          </cell>
        </row>
        <row r="134">
          <cell r="H134">
            <v>930.41</v>
          </cell>
        </row>
        <row r="137">
          <cell r="H137">
            <v>630.27</v>
          </cell>
        </row>
        <row r="142">
          <cell r="H142">
            <v>146.10999999999999</v>
          </cell>
        </row>
        <row r="145">
          <cell r="H145">
            <v>4345.150000000001</v>
          </cell>
        </row>
        <row r="153">
          <cell r="H153">
            <v>48.38</v>
          </cell>
        </row>
        <row r="155">
          <cell r="H155">
            <v>1510.44</v>
          </cell>
        </row>
        <row r="160">
          <cell r="H160">
            <v>23837.28</v>
          </cell>
        </row>
        <row r="164">
          <cell r="H164">
            <v>89.6</v>
          </cell>
        </row>
        <row r="170">
          <cell r="H170">
            <v>6.17</v>
          </cell>
        </row>
        <row r="180">
          <cell r="H180">
            <v>1057.23</v>
          </cell>
        </row>
        <row r="193">
          <cell r="H193">
            <v>2490.63</v>
          </cell>
        </row>
        <row r="200">
          <cell r="H200">
            <v>2040.59</v>
          </cell>
        </row>
        <row r="209">
          <cell r="H209">
            <v>359.41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lujo"/>
    </sheetNames>
    <sheetDataSet>
      <sheetData sheetId="0">
        <row r="122">
          <cell r="F122">
            <v>3757726</v>
          </cell>
          <cell r="G122">
            <v>5880346</v>
          </cell>
        </row>
        <row r="123">
          <cell r="F123">
            <v>-4441338</v>
          </cell>
          <cell r="G123">
            <v>-5695478</v>
          </cell>
        </row>
        <row r="126">
          <cell r="F126">
            <v>-968275</v>
          </cell>
          <cell r="G126">
            <v>-1596250</v>
          </cell>
        </row>
        <row r="130">
          <cell r="F130">
            <v>24297</v>
          </cell>
          <cell r="G130">
            <v>750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1"/>
      <sheetName val="Hoja3"/>
    </sheetNames>
    <sheetDataSet>
      <sheetData sheetId="0">
        <row r="4">
          <cell r="G4">
            <v>249527.638423</v>
          </cell>
        </row>
        <row r="5">
          <cell r="G5">
            <v>226473.20357900002</v>
          </cell>
        </row>
        <row r="6">
          <cell r="G6">
            <v>191740.0648084</v>
          </cell>
        </row>
        <row r="7">
          <cell r="G7">
            <v>131299.2353982</v>
          </cell>
        </row>
        <row r="8">
          <cell r="G8">
            <v>100100.22490700001</v>
          </cell>
        </row>
        <row r="9">
          <cell r="G9">
            <v>69756.23836080001</v>
          </cell>
        </row>
        <row r="10">
          <cell r="G10">
            <v>35693.666955600005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26">
          <cell r="C26">
            <v>2108723.8477966227</v>
          </cell>
          <cell r="D26">
            <v>2830383.650134191</v>
          </cell>
          <cell r="E26">
            <v>2830383.650134191</v>
          </cell>
          <cell r="F26">
            <v>2830383.6501341946</v>
          </cell>
          <cell r="G26">
            <v>2830383.650134193</v>
          </cell>
          <cell r="H26">
            <v>2830383.650134193</v>
          </cell>
          <cell r="I26">
            <v>2830383.650134191</v>
          </cell>
          <cell r="J26">
            <v>2832383.6501341946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9"/>
  <sheetViews>
    <sheetView showGridLines="0" zoomScale="70" zoomScaleNormal="70" workbookViewId="0" topLeftCell="A1">
      <selection activeCell="F43" sqref="F43"/>
    </sheetView>
  </sheetViews>
  <sheetFormatPr defaultColWidth="11.421875" defaultRowHeight="12.75"/>
  <cols>
    <col min="1" max="1" width="28.28125" style="0" bestFit="1" customWidth="1"/>
    <col min="2" max="2" width="18.00390625" style="0" customWidth="1"/>
    <col min="3" max="3" width="21.8515625" style="0" customWidth="1"/>
    <col min="4" max="4" width="19.57421875" style="0" customWidth="1"/>
    <col min="5" max="8" width="21.28125" style="0" customWidth="1"/>
    <col min="9" max="10" width="18.57421875" style="0" customWidth="1"/>
    <col min="11" max="16" width="19.00390625" style="0" bestFit="1" customWidth="1"/>
    <col min="17" max="17" width="11.8515625" style="0" customWidth="1"/>
    <col min="18" max="18" width="16.421875" style="0" customWidth="1"/>
    <col min="19" max="19" width="11.7109375" style="0" customWidth="1"/>
    <col min="22" max="22" width="13.00390625" style="0" bestFit="1" customWidth="1"/>
    <col min="23" max="23" width="18.28125" style="0" bestFit="1" customWidth="1"/>
    <col min="24" max="25" width="18.00390625" style="0" bestFit="1" customWidth="1"/>
    <col min="26" max="27" width="18.140625" style="0" bestFit="1" customWidth="1"/>
    <col min="31" max="33" width="14.8515625" style="0" bestFit="1" customWidth="1"/>
  </cols>
  <sheetData>
    <row r="1" spans="1:4" ht="20.25">
      <c r="A1" s="289" t="s">
        <v>310</v>
      </c>
      <c r="B1" s="289"/>
      <c r="C1" s="289"/>
      <c r="D1" s="289"/>
    </row>
    <row r="6" spans="1:7" ht="30.75">
      <c r="A6" s="359" t="s">
        <v>91</v>
      </c>
      <c r="B6" s="359"/>
      <c r="C6" s="359"/>
      <c r="D6" s="359"/>
      <c r="E6" s="288"/>
      <c r="F6" s="288"/>
      <c r="G6" s="288"/>
    </row>
    <row r="7" spans="1:3" ht="26.25" customHeight="1">
      <c r="A7" s="262" t="s">
        <v>92</v>
      </c>
      <c r="C7" s="257">
        <f>+C11/C12</f>
        <v>1979.090909090909</v>
      </c>
    </row>
    <row r="8" spans="1:5" ht="18">
      <c r="A8" s="262" t="s">
        <v>97</v>
      </c>
      <c r="C8" s="257">
        <f>+C10*C7*2.3</f>
        <v>5462290.909090908</v>
      </c>
      <c r="E8" s="19"/>
    </row>
    <row r="9" spans="1:3" ht="18">
      <c r="A9" s="262" t="s">
        <v>98</v>
      </c>
      <c r="C9" s="344">
        <f>+C25/2.2</f>
        <v>2.0454545454545454</v>
      </c>
    </row>
    <row r="10" spans="1:5" ht="18">
      <c r="A10" s="262" t="s">
        <v>283</v>
      </c>
      <c r="C10" s="258">
        <v>1200</v>
      </c>
      <c r="D10" s="48"/>
      <c r="E10" s="21"/>
    </row>
    <row r="11" spans="1:3" ht="18">
      <c r="A11" s="262" t="s">
        <v>96</v>
      </c>
      <c r="C11" s="258">
        <v>4354</v>
      </c>
    </row>
    <row r="12" spans="1:4" ht="18">
      <c r="A12" s="262" t="s">
        <v>95</v>
      </c>
      <c r="C12" s="259">
        <v>2.2</v>
      </c>
      <c r="D12" s="165"/>
    </row>
    <row r="13" spans="1:3" ht="18">
      <c r="A13" s="262" t="s">
        <v>94</v>
      </c>
      <c r="C13" s="258">
        <v>309</v>
      </c>
    </row>
    <row r="14" spans="1:3" ht="18">
      <c r="A14" s="262" t="s">
        <v>166</v>
      </c>
      <c r="C14" s="258">
        <v>1</v>
      </c>
    </row>
    <row r="15" spans="1:3" ht="18">
      <c r="A15" s="262" t="s">
        <v>99</v>
      </c>
      <c r="C15" s="260">
        <f>(C11/2.2)/5</f>
        <v>395.8181818181818</v>
      </c>
    </row>
    <row r="16" spans="1:3" ht="18">
      <c r="A16" s="262" t="s">
        <v>93</v>
      </c>
      <c r="C16" s="261">
        <v>170</v>
      </c>
    </row>
    <row r="19" ht="21" thickBot="1">
      <c r="J19" s="55"/>
    </row>
    <row r="20" spans="1:13" ht="20.25">
      <c r="A20" s="356" t="s">
        <v>100</v>
      </c>
      <c r="B20" s="357"/>
      <c r="C20" s="357"/>
      <c r="D20" s="358"/>
      <c r="E20" s="269"/>
      <c r="F20" s="269"/>
      <c r="G20" s="269"/>
      <c r="H20" s="269"/>
      <c r="I20" s="269"/>
      <c r="J20" s="269"/>
      <c r="K20" s="269"/>
      <c r="L20" s="269"/>
      <c r="M20" s="269"/>
    </row>
    <row r="21" spans="1:17" ht="15.75">
      <c r="A21" s="363" t="s">
        <v>104</v>
      </c>
      <c r="B21" s="364"/>
      <c r="C21" s="365"/>
      <c r="D21" s="270" t="s">
        <v>242</v>
      </c>
      <c r="J21" s="263"/>
      <c r="K21" s="263"/>
      <c r="L21" s="162"/>
      <c r="M21" s="162"/>
      <c r="N21" s="162"/>
      <c r="O21" s="162"/>
      <c r="P21" s="162"/>
      <c r="Q21" s="162"/>
    </row>
    <row r="22" spans="1:17" ht="18" customHeight="1">
      <c r="A22" s="361" t="s">
        <v>101</v>
      </c>
      <c r="B22" s="362"/>
      <c r="C22" s="362"/>
      <c r="D22" s="271">
        <f>+$C$25*B25</f>
        <v>11149441.777834194</v>
      </c>
      <c r="F22" s="21"/>
      <c r="J22" s="154"/>
      <c r="K22" s="154"/>
      <c r="L22" s="154"/>
      <c r="M22" s="154"/>
      <c r="N22" s="154"/>
      <c r="O22" s="154"/>
      <c r="P22" s="154"/>
      <c r="Q22" s="154"/>
    </row>
    <row r="23" spans="1:16" ht="15.75">
      <c r="A23" s="363" t="s">
        <v>102</v>
      </c>
      <c r="B23" s="364"/>
      <c r="C23" s="365"/>
      <c r="D23" s="272"/>
      <c r="J23" s="252"/>
      <c r="K23" s="252"/>
      <c r="L23" s="252"/>
      <c r="M23" s="252"/>
      <c r="N23" s="252"/>
      <c r="O23" s="252"/>
      <c r="P23" s="252"/>
    </row>
    <row r="24" spans="1:11" ht="30">
      <c r="A24" s="273" t="s">
        <v>276</v>
      </c>
      <c r="B24" s="273" t="s">
        <v>275</v>
      </c>
      <c r="C24" s="273" t="s">
        <v>274</v>
      </c>
      <c r="D24" s="272"/>
      <c r="E24" s="153"/>
      <c r="I24" s="52"/>
      <c r="J24" s="52"/>
      <c r="K24" s="52"/>
    </row>
    <row r="25" spans="1:11" ht="15.75" thickBot="1">
      <c r="A25" s="274" t="s">
        <v>103</v>
      </c>
      <c r="B25" s="275">
        <f>C8/2.2046224</f>
        <v>2477653.7284075986</v>
      </c>
      <c r="C25" s="276">
        <v>4.5</v>
      </c>
      <c r="D25" s="277"/>
      <c r="E25" s="244"/>
      <c r="I25" s="52"/>
      <c r="J25" s="52"/>
      <c r="K25" s="52"/>
    </row>
    <row r="26" spans="1:11" ht="12.75">
      <c r="A26" s="156"/>
      <c r="B26" s="156"/>
      <c r="C26" s="157"/>
      <c r="I26" s="52"/>
      <c r="J26" s="52"/>
      <c r="K26" s="52"/>
    </row>
    <row r="27" spans="1:11" ht="12.75">
      <c r="A27" s="278"/>
      <c r="B27" s="278"/>
      <c r="C27" s="278"/>
      <c r="D27" s="278"/>
      <c r="E27" s="278"/>
      <c r="F27" s="155"/>
      <c r="G27" s="155"/>
      <c r="H27" s="155"/>
      <c r="I27" s="52"/>
      <c r="J27" s="52"/>
      <c r="K27" s="52"/>
    </row>
    <row r="28" spans="1:11" ht="12.75" hidden="1">
      <c r="A28" s="278" t="s">
        <v>277</v>
      </c>
      <c r="B28" s="155"/>
      <c r="C28" s="155"/>
      <c r="D28" s="264"/>
      <c r="E28" s="264"/>
      <c r="F28" s="264"/>
      <c r="G28" s="264"/>
      <c r="H28" s="264"/>
      <c r="I28" s="52"/>
      <c r="J28" s="52"/>
      <c r="K28" s="52"/>
    </row>
    <row r="29" spans="1:11" ht="12.75" hidden="1">
      <c r="A29" s="279" t="s">
        <v>278</v>
      </c>
      <c r="B29" s="265"/>
      <c r="C29" s="265"/>
      <c r="D29" s="266"/>
      <c r="E29" s="266"/>
      <c r="F29" s="266"/>
      <c r="G29" s="266"/>
      <c r="H29" s="266"/>
      <c r="I29" s="52"/>
      <c r="J29" s="52"/>
      <c r="K29" s="52"/>
    </row>
    <row r="30" spans="1:11" ht="12.75" hidden="1">
      <c r="A30" s="268"/>
      <c r="B30" s="267"/>
      <c r="C30" s="267"/>
      <c r="D30" s="267"/>
      <c r="E30" s="267"/>
      <c r="F30" s="267"/>
      <c r="G30" s="267"/>
      <c r="H30" s="267"/>
      <c r="J30" s="52"/>
      <c r="K30" s="52"/>
    </row>
    <row r="31" spans="1:11" ht="12.75" hidden="1">
      <c r="A31" s="158"/>
      <c r="B31" s="158"/>
      <c r="C31" s="158"/>
      <c r="I31" s="52"/>
      <c r="J31" s="52"/>
      <c r="K31" s="52"/>
    </row>
    <row r="32" spans="1:13" ht="12.75" hidden="1">
      <c r="A32" s="360"/>
      <c r="B32" s="360"/>
      <c r="C32" s="360"/>
      <c r="D32" s="52"/>
      <c r="E32" s="52"/>
      <c r="F32" s="52"/>
      <c r="G32" s="52"/>
      <c r="H32" s="52"/>
      <c r="I32" s="252"/>
      <c r="J32" s="253"/>
      <c r="K32" s="252"/>
      <c r="L32" s="254"/>
      <c r="M32" s="254"/>
    </row>
    <row r="33" spans="1:2" ht="12.75" hidden="1">
      <c r="A33" s="41">
        <f>0.3*B25*2.2046224</f>
        <v>1638687.2727272722</v>
      </c>
      <c r="B33" t="s">
        <v>270</v>
      </c>
    </row>
    <row r="34" ht="12.75" hidden="1"/>
    <row r="35" ht="12.75">
      <c r="A35" s="21"/>
    </row>
    <row r="37" spans="5:8" ht="16.5">
      <c r="E37" s="175"/>
      <c r="F37" s="175"/>
      <c r="G37" s="175"/>
      <c r="H37" s="175"/>
    </row>
    <row r="40" spans="3:4" ht="14.25">
      <c r="C40" s="179"/>
      <c r="D40" s="180"/>
    </row>
    <row r="41" spans="3:4" ht="14.25">
      <c r="C41" s="179"/>
      <c r="D41" s="181"/>
    </row>
    <row r="42" spans="1:4" ht="14.25">
      <c r="A42" s="62"/>
      <c r="C42" s="179"/>
      <c r="D42" s="180"/>
    </row>
    <row r="43" spans="3:4" ht="14.25">
      <c r="C43" s="179"/>
      <c r="D43" s="180"/>
    </row>
    <row r="71" ht="18" customHeight="1"/>
    <row r="100" ht="14.25" customHeight="1"/>
    <row r="101" ht="14.25" customHeight="1"/>
    <row r="104" ht="18.75" customHeight="1"/>
    <row r="105" ht="17.25" customHeight="1"/>
    <row r="179" ht="12.75">
      <c r="C179" s="28"/>
    </row>
  </sheetData>
  <mergeCells count="6">
    <mergeCell ref="A20:D20"/>
    <mergeCell ref="A6:D6"/>
    <mergeCell ref="A32:C32"/>
    <mergeCell ref="A22:C22"/>
    <mergeCell ref="A21:C21"/>
    <mergeCell ref="A23:C23"/>
  </mergeCells>
  <printOptions horizontalCentered="1" verticalCentered="1"/>
  <pageMargins left="0.5118110236220472" right="0.4724409448818898" top="0.7874015748031497" bottom="0.7086614173228347" header="0" footer="0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65" zoomScaleNormal="65" workbookViewId="0" topLeftCell="A1">
      <selection activeCell="G44" sqref="G44"/>
    </sheetView>
  </sheetViews>
  <sheetFormatPr defaultColWidth="11.421875" defaultRowHeight="12.75"/>
  <cols>
    <col min="1" max="1" width="49.8515625" style="0" customWidth="1"/>
    <col min="2" max="2" width="16.421875" style="0" hidden="1" customWidth="1"/>
    <col min="3" max="3" width="16.00390625" style="0" hidden="1" customWidth="1"/>
    <col min="4" max="4" width="19.8515625" style="0" bestFit="1" customWidth="1"/>
    <col min="5" max="5" width="19.421875" style="0" customWidth="1"/>
    <col min="6" max="6" width="19.8515625" style="0" bestFit="1" customWidth="1"/>
    <col min="7" max="10" width="18.421875" style="0" customWidth="1"/>
    <col min="11" max="11" width="18.421875" style="0" bestFit="1" customWidth="1"/>
  </cols>
  <sheetData>
    <row r="1" ht="20.25">
      <c r="A1" s="289" t="s">
        <v>318</v>
      </c>
    </row>
    <row r="3" spans="1:11" ht="20.25">
      <c r="A3" s="399" t="s">
        <v>323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</row>
    <row r="4" spans="1:11" ht="15" customHeight="1">
      <c r="A4" s="367" t="s">
        <v>300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:11" ht="12.75">
      <c r="A5" s="367" t="s">
        <v>208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ht="12.75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</row>
    <row r="7" spans="1:11" ht="12.75">
      <c r="A7" s="320" t="s">
        <v>209</v>
      </c>
      <c r="B7" s="346">
        <v>2004</v>
      </c>
      <c r="C7" s="346">
        <v>2005</v>
      </c>
      <c r="D7" s="167">
        <v>2006</v>
      </c>
      <c r="E7" s="167">
        <v>2007</v>
      </c>
      <c r="F7" s="167">
        <v>2008</v>
      </c>
      <c r="G7" s="167">
        <v>2009</v>
      </c>
      <c r="H7" s="167">
        <v>2010</v>
      </c>
      <c r="I7" s="167">
        <v>2011</v>
      </c>
      <c r="J7" s="167">
        <v>2012</v>
      </c>
      <c r="K7" s="167">
        <v>2013</v>
      </c>
    </row>
    <row r="8" spans="1:11" ht="12.75">
      <c r="A8" s="120"/>
      <c r="B8" s="95"/>
      <c r="C8" s="95"/>
      <c r="D8" s="95"/>
      <c r="E8" s="122"/>
      <c r="F8" s="122"/>
      <c r="G8" s="122"/>
      <c r="H8" s="122"/>
      <c r="I8" s="122"/>
      <c r="J8" s="122"/>
      <c r="K8" s="122"/>
    </row>
    <row r="9" spans="1:11" ht="12.75">
      <c r="A9" s="405" t="s">
        <v>101</v>
      </c>
      <c r="B9" s="219">
        <v>3757726</v>
      </c>
      <c r="C9" s="219">
        <v>5880346</v>
      </c>
      <c r="D9" s="60">
        <f>'Otros '!J113</f>
        <v>5880346</v>
      </c>
      <c r="E9" s="57">
        <f>'Otros '!K113</f>
        <v>5880346</v>
      </c>
      <c r="F9" s="57">
        <f>'Otros '!L113</f>
        <v>5880346</v>
      </c>
      <c r="G9" s="57">
        <f>'Otros '!M113</f>
        <v>5880346</v>
      </c>
      <c r="H9" s="57">
        <f>'Otros '!N113</f>
        <v>5880346</v>
      </c>
      <c r="I9" s="60">
        <f>'Otros '!O113</f>
        <v>5880346</v>
      </c>
      <c r="J9" s="60">
        <f>'Otros '!P113</f>
        <v>5880346</v>
      </c>
      <c r="K9" s="60">
        <f>'Otros '!Q113</f>
        <v>5880346</v>
      </c>
    </row>
    <row r="10" spans="1:11" ht="12.75">
      <c r="A10" s="406"/>
      <c r="B10" s="219"/>
      <c r="C10" s="219"/>
      <c r="D10" s="42"/>
      <c r="E10" s="43"/>
      <c r="F10" s="43"/>
      <c r="G10" s="43"/>
      <c r="H10" s="43"/>
      <c r="I10" s="43"/>
      <c r="J10" s="43"/>
      <c r="K10" s="43"/>
    </row>
    <row r="11" spans="1:11" ht="12.75">
      <c r="A11" s="405" t="s">
        <v>244</v>
      </c>
      <c r="B11" s="219">
        <v>4441338</v>
      </c>
      <c r="C11" s="219">
        <v>5695478</v>
      </c>
      <c r="D11" s="60">
        <f>-'Otros '!J114</f>
        <v>5695478</v>
      </c>
      <c r="E11" s="57">
        <f>-'Otros '!K114</f>
        <v>5695478</v>
      </c>
      <c r="F11" s="57">
        <f>-'Otros '!L114</f>
        <v>5695478</v>
      </c>
      <c r="G11" s="57">
        <f>-'Otros '!M114</f>
        <v>5695478</v>
      </c>
      <c r="H11" s="57">
        <f>-'Otros '!N114</f>
        <v>5695478</v>
      </c>
      <c r="I11" s="60">
        <f>-'Otros '!O114</f>
        <v>5695478</v>
      </c>
      <c r="J11" s="60">
        <f>-'Otros '!P114</f>
        <v>5695478</v>
      </c>
      <c r="K11" s="60">
        <f>-'Otros '!Q114</f>
        <v>5695478</v>
      </c>
    </row>
    <row r="12" spans="1:11" ht="12.75">
      <c r="A12" s="405"/>
      <c r="B12" s="219"/>
      <c r="C12" s="219"/>
      <c r="D12" s="42"/>
      <c r="E12" s="43"/>
      <c r="F12" s="43"/>
      <c r="G12" s="43"/>
      <c r="H12" s="43"/>
      <c r="I12" s="43"/>
      <c r="J12" s="43"/>
      <c r="K12" s="43"/>
    </row>
    <row r="13" spans="1:11" ht="12.75">
      <c r="A13" s="405" t="s">
        <v>211</v>
      </c>
      <c r="B13" s="219">
        <f>B9-B11</f>
        <v>-683612</v>
      </c>
      <c r="C13" s="219">
        <f>C9-C11</f>
        <v>184868</v>
      </c>
      <c r="D13" s="60">
        <f>D9-D11</f>
        <v>184868</v>
      </c>
      <c r="E13" s="57">
        <f>E9-E11</f>
        <v>184868</v>
      </c>
      <c r="F13" s="57">
        <f aca="true" t="shared" si="0" ref="F13:K13">F9-F11</f>
        <v>184868</v>
      </c>
      <c r="G13" s="57">
        <f t="shared" si="0"/>
        <v>184868</v>
      </c>
      <c r="H13" s="57">
        <f t="shared" si="0"/>
        <v>184868</v>
      </c>
      <c r="I13" s="57">
        <f>I9-I11</f>
        <v>184868</v>
      </c>
      <c r="J13" s="57">
        <f t="shared" si="0"/>
        <v>184868</v>
      </c>
      <c r="K13" s="57">
        <f t="shared" si="0"/>
        <v>184868</v>
      </c>
    </row>
    <row r="14" spans="1:11" ht="12.75">
      <c r="A14" s="405"/>
      <c r="B14" s="219"/>
      <c r="C14" s="219"/>
      <c r="D14" s="42"/>
      <c r="E14" s="43"/>
      <c r="F14" s="43"/>
      <c r="G14" s="43"/>
      <c r="H14" s="43"/>
      <c r="I14" s="43"/>
      <c r="J14" s="43"/>
      <c r="K14" s="43"/>
    </row>
    <row r="15" spans="1:11" ht="12.75">
      <c r="A15" s="405" t="s">
        <v>245</v>
      </c>
      <c r="B15" s="219"/>
      <c r="C15" s="219"/>
      <c r="D15" s="60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</row>
    <row r="16" spans="1:11" ht="12.75">
      <c r="A16" s="407" t="s">
        <v>253</v>
      </c>
      <c r="B16" s="402">
        <v>230397</v>
      </c>
      <c r="C16" s="402"/>
      <c r="D16" s="341">
        <f>884117</f>
        <v>884117</v>
      </c>
      <c r="E16" s="342">
        <f>884117</f>
        <v>884117</v>
      </c>
      <c r="F16" s="343">
        <v>764313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</row>
    <row r="17" spans="1:11" ht="12.75">
      <c r="A17" s="405" t="s">
        <v>105</v>
      </c>
      <c r="B17" s="219">
        <v>24297</v>
      </c>
      <c r="C17" s="219">
        <v>750</v>
      </c>
      <c r="D17" s="60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</row>
    <row r="18" spans="1:11" ht="12.75">
      <c r="A18" s="405" t="s">
        <v>235</v>
      </c>
      <c r="B18" s="219"/>
      <c r="C18" s="219"/>
      <c r="D18" s="60">
        <f>'Otros '!F46</f>
        <v>990443.7500000001</v>
      </c>
      <c r="E18" s="46">
        <f>+'Otros '!H46</f>
        <v>827561.7500000001</v>
      </c>
      <c r="F18" s="46">
        <f>+'Otros '!J46</f>
        <v>827561.7500000001</v>
      </c>
      <c r="G18" s="46">
        <f>+'Otros '!K46</f>
        <v>827561.7500000001</v>
      </c>
      <c r="H18" s="46">
        <f>+'Otros '!L46</f>
        <v>827561.7500000001</v>
      </c>
      <c r="I18" s="46">
        <f>+'Otros '!M46</f>
        <v>810596.1500000001</v>
      </c>
      <c r="J18" s="46">
        <f>+'Otros '!N46</f>
        <v>810596.1500000001</v>
      </c>
      <c r="K18" s="46">
        <f>+'Otros '!O46</f>
        <v>810596.1500000001</v>
      </c>
    </row>
    <row r="19" spans="1:11" ht="12.75">
      <c r="A19" s="405"/>
      <c r="B19" s="219"/>
      <c r="C19" s="219"/>
      <c r="D19" s="42"/>
      <c r="E19" s="43"/>
      <c r="F19" s="43"/>
      <c r="G19" s="43"/>
      <c r="H19" s="43"/>
      <c r="I19" s="43"/>
      <c r="J19" s="43"/>
      <c r="K19" s="43"/>
    </row>
    <row r="20" spans="1:11" ht="12.75">
      <c r="A20" s="405" t="s">
        <v>213</v>
      </c>
      <c r="B20" s="219" t="e">
        <f>B13+B17-#REF!-B16</f>
        <v>#REF!</v>
      </c>
      <c r="C20" s="219" t="e">
        <f>C13-#REF!+C17-C16</f>
        <v>#REF!</v>
      </c>
      <c r="D20" s="219">
        <f>D13-D17-D16</f>
        <v>-699249</v>
      </c>
      <c r="E20" s="220">
        <f aca="true" t="shared" si="1" ref="E20:K20">E13-E17-E16</f>
        <v>-699249</v>
      </c>
      <c r="F20" s="220">
        <f t="shared" si="1"/>
        <v>-579445</v>
      </c>
      <c r="G20" s="220">
        <f t="shared" si="1"/>
        <v>184868</v>
      </c>
      <c r="H20" s="220">
        <f t="shared" si="1"/>
        <v>184868</v>
      </c>
      <c r="I20" s="220">
        <f t="shared" si="1"/>
        <v>184868</v>
      </c>
      <c r="J20" s="220">
        <f t="shared" si="1"/>
        <v>184868</v>
      </c>
      <c r="K20" s="220">
        <f t="shared" si="1"/>
        <v>184868</v>
      </c>
    </row>
    <row r="21" spans="1:11" ht="12.75">
      <c r="A21" s="405"/>
      <c r="B21" s="219"/>
      <c r="C21" s="219"/>
      <c r="D21" s="42"/>
      <c r="E21" s="43"/>
      <c r="F21" s="43"/>
      <c r="G21" s="43"/>
      <c r="H21" s="43"/>
      <c r="I21" s="43"/>
      <c r="J21" s="43"/>
      <c r="K21" s="43"/>
    </row>
    <row r="22" spans="1:11" ht="12.75">
      <c r="A22" s="405" t="s">
        <v>214</v>
      </c>
      <c r="B22" s="219">
        <v>966695</v>
      </c>
      <c r="C22" s="219">
        <v>910500</v>
      </c>
      <c r="D22" s="221">
        <f>'FC @ sin fideicomiso'!D26</f>
        <v>1095647.56</v>
      </c>
      <c r="E22" s="208">
        <f>'FC @ sin fideicomiso'!E26</f>
        <v>249527.638423</v>
      </c>
      <c r="F22" s="208">
        <f>'FC @ sin fideicomiso'!F26</f>
        <v>226473.20357900002</v>
      </c>
      <c r="G22" s="208">
        <f>'FC @ sin fideicomiso'!G26</f>
        <v>191740.0648084</v>
      </c>
      <c r="H22" s="208">
        <f>'FC @ sin fideicomiso'!H26</f>
        <v>131299.2353982</v>
      </c>
      <c r="I22" s="221">
        <f>'FC @ sin fideicomiso'!I26</f>
        <v>100100.22490700001</v>
      </c>
      <c r="J22" s="221">
        <f>'FC @ sin fideicomiso'!J26</f>
        <v>69756.23836080001</v>
      </c>
      <c r="K22" s="221">
        <f>'FC @ sin fideicomiso'!K26</f>
        <v>35693.666955600005</v>
      </c>
    </row>
    <row r="23" spans="1:11" ht="12.75">
      <c r="A23" s="405" t="s">
        <v>232</v>
      </c>
      <c r="B23" s="219">
        <v>1580</v>
      </c>
      <c r="C23" s="219">
        <v>0</v>
      </c>
      <c r="D23" s="61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 ht="12.75">
      <c r="A24" s="405"/>
      <c r="B24" s="219"/>
      <c r="C24" s="219"/>
      <c r="D24" s="42"/>
      <c r="E24" s="43"/>
      <c r="F24" s="43"/>
      <c r="G24" s="43"/>
      <c r="H24" s="43"/>
      <c r="I24" s="43"/>
      <c r="J24" s="43"/>
      <c r="K24" s="43"/>
    </row>
    <row r="25" spans="1:11" ht="12.75">
      <c r="A25" s="408" t="s">
        <v>308</v>
      </c>
      <c r="B25" s="403" t="e">
        <f>+B20-B22-B23</f>
        <v>#REF!</v>
      </c>
      <c r="C25" s="403" t="e">
        <f>C20-C22</f>
        <v>#REF!</v>
      </c>
      <c r="D25" s="234">
        <f>D20-D22-D23</f>
        <v>-1794896.56</v>
      </c>
      <c r="E25" s="222">
        <f aca="true" t="shared" si="2" ref="E25:J25">E20-E22-E23</f>
        <v>-948776.638423</v>
      </c>
      <c r="F25" s="222">
        <f t="shared" si="2"/>
        <v>-805918.203579</v>
      </c>
      <c r="G25" s="222">
        <f t="shared" si="2"/>
        <v>-6872.064808399999</v>
      </c>
      <c r="H25" s="222">
        <f t="shared" si="2"/>
        <v>53568.76460180001</v>
      </c>
      <c r="I25" s="234">
        <f t="shared" si="2"/>
        <v>84767.77509299999</v>
      </c>
      <c r="J25" s="234">
        <f t="shared" si="2"/>
        <v>115111.76163919999</v>
      </c>
      <c r="K25" s="234">
        <f>K20-K22-K23</f>
        <v>149174.3330444</v>
      </c>
    </row>
    <row r="26" spans="1:11" ht="12.75">
      <c r="A26" s="401"/>
      <c r="B26" s="219"/>
      <c r="C26" s="219"/>
      <c r="D26" s="42"/>
      <c r="E26" s="43"/>
      <c r="F26" s="43"/>
      <c r="G26" s="43"/>
      <c r="H26" s="43"/>
      <c r="I26" s="43"/>
      <c r="J26" s="43"/>
      <c r="K26" s="43"/>
    </row>
    <row r="27" spans="1:11" ht="12.75">
      <c r="A27" s="401" t="s">
        <v>215</v>
      </c>
      <c r="B27" s="219"/>
      <c r="C27" s="219"/>
      <c r="D27" s="60"/>
      <c r="E27" s="57"/>
      <c r="F27" s="57"/>
      <c r="G27" s="57"/>
      <c r="H27" s="57">
        <f>H25*0.15</f>
        <v>8035.314690270001</v>
      </c>
      <c r="I27" s="60">
        <f>I25*0.15</f>
        <v>12715.166263949997</v>
      </c>
      <c r="J27" s="60">
        <f>J25*0.15</f>
        <v>17266.764245879996</v>
      </c>
      <c r="K27" s="60">
        <f>K25*0.15</f>
        <v>22376.14995666</v>
      </c>
    </row>
    <row r="28" spans="1:11" ht="12.75">
      <c r="A28" s="401"/>
      <c r="B28" s="219"/>
      <c r="C28" s="219"/>
      <c r="D28" s="60"/>
      <c r="E28" s="57"/>
      <c r="F28" s="57"/>
      <c r="G28" s="57"/>
      <c r="H28" s="57"/>
      <c r="I28" s="57"/>
      <c r="J28" s="57"/>
      <c r="K28" s="57"/>
    </row>
    <row r="29" spans="1:11" ht="12.75">
      <c r="A29" s="401" t="s">
        <v>233</v>
      </c>
      <c r="B29" s="219"/>
      <c r="C29" s="219"/>
      <c r="D29" s="60"/>
      <c r="E29" s="57"/>
      <c r="F29" s="57"/>
      <c r="G29" s="57"/>
      <c r="H29" s="57">
        <f>H25-H27</f>
        <v>45533.449911530006</v>
      </c>
      <c r="I29" s="60">
        <f>I25-I27</f>
        <v>72052.60882904999</v>
      </c>
      <c r="J29" s="60">
        <f>J25-J27</f>
        <v>97844.99739332</v>
      </c>
      <c r="K29" s="60">
        <f>K25-K27</f>
        <v>126798.18308774</v>
      </c>
    </row>
    <row r="30" spans="1:11" ht="12.75">
      <c r="A30" s="401"/>
      <c r="B30" s="219"/>
      <c r="C30" s="219"/>
      <c r="D30" s="60"/>
      <c r="E30" s="57"/>
      <c r="F30" s="57"/>
      <c r="G30" s="57"/>
      <c r="H30" s="57"/>
      <c r="I30" s="57"/>
      <c r="J30" s="57"/>
      <c r="K30" s="57"/>
    </row>
    <row r="31" spans="1:11" ht="12.75">
      <c r="A31" s="401" t="s">
        <v>229</v>
      </c>
      <c r="B31" s="219"/>
      <c r="C31" s="219"/>
      <c r="D31" s="218"/>
      <c r="E31" s="216"/>
      <c r="F31" s="216"/>
      <c r="G31" s="216"/>
      <c r="H31" s="216">
        <f>+H29*0.25</f>
        <v>11383.362477882501</v>
      </c>
      <c r="I31" s="218">
        <f>+I29*0.25</f>
        <v>18013.152207262498</v>
      </c>
      <c r="J31" s="218">
        <f>+J29*0.25</f>
        <v>24461.24934833</v>
      </c>
      <c r="K31" s="218">
        <f>+K29*0.25</f>
        <v>31699.545771935</v>
      </c>
    </row>
    <row r="32" spans="1:11" ht="12.75">
      <c r="A32" s="401"/>
      <c r="B32" s="219"/>
      <c r="C32" s="219"/>
      <c r="D32" s="42"/>
      <c r="E32" s="43"/>
      <c r="F32" s="43"/>
      <c r="G32" s="43"/>
      <c r="H32" s="43"/>
      <c r="I32" s="43"/>
      <c r="J32" s="43"/>
      <c r="K32" s="43"/>
    </row>
    <row r="33" spans="1:11" ht="13.5" thickBot="1">
      <c r="A33" s="401" t="s">
        <v>305</v>
      </c>
      <c r="B33" s="219"/>
      <c r="C33" s="219"/>
      <c r="D33" s="234"/>
      <c r="E33" s="222"/>
      <c r="F33" s="222"/>
      <c r="G33" s="222"/>
      <c r="H33" s="204">
        <f>H29-H31</f>
        <v>34150.0874336475</v>
      </c>
      <c r="I33" s="204">
        <f>I29-I31</f>
        <v>54039.456621787496</v>
      </c>
      <c r="J33" s="204">
        <f>J29-J31</f>
        <v>73383.74804499</v>
      </c>
      <c r="K33" s="204">
        <f>K29-K31</f>
        <v>95098.63731580501</v>
      </c>
    </row>
    <row r="34" spans="1:11" ht="13.5" thickTop="1">
      <c r="A34" s="401"/>
      <c r="B34" s="219"/>
      <c r="C34" s="219"/>
      <c r="D34" s="234"/>
      <c r="E34" s="222"/>
      <c r="F34" s="222"/>
      <c r="G34" s="222"/>
      <c r="H34" s="222"/>
      <c r="I34" s="222"/>
      <c r="J34" s="222"/>
      <c r="K34" s="222"/>
    </row>
    <row r="35" spans="1:11" ht="12.75">
      <c r="A35" s="401" t="s">
        <v>306</v>
      </c>
      <c r="B35" s="219"/>
      <c r="C35" s="219"/>
      <c r="D35" s="60">
        <f>D18</f>
        <v>990443.7500000001</v>
      </c>
      <c r="E35" s="57">
        <f aca="true" t="shared" si="3" ref="E35:K35">E18</f>
        <v>827561.7500000001</v>
      </c>
      <c r="F35" s="57">
        <f t="shared" si="3"/>
        <v>827561.7500000001</v>
      </c>
      <c r="G35" s="57">
        <f t="shared" si="3"/>
        <v>827561.7500000001</v>
      </c>
      <c r="H35" s="57">
        <f t="shared" si="3"/>
        <v>827561.7500000001</v>
      </c>
      <c r="I35" s="57">
        <f t="shared" si="3"/>
        <v>810596.1500000001</v>
      </c>
      <c r="J35" s="57">
        <f t="shared" si="3"/>
        <v>810596.1500000001</v>
      </c>
      <c r="K35" s="57">
        <f t="shared" si="3"/>
        <v>810596.1500000001</v>
      </c>
    </row>
    <row r="36" spans="1:11" ht="12.75">
      <c r="A36" s="401" t="s">
        <v>218</v>
      </c>
      <c r="B36" s="219"/>
      <c r="C36" s="219"/>
      <c r="D36" s="60"/>
      <c r="E36" s="57"/>
      <c r="F36" s="57"/>
      <c r="G36" s="57"/>
      <c r="H36" s="57">
        <f>H33*0.1</f>
        <v>3415.0087433647504</v>
      </c>
      <c r="I36" s="57">
        <f>I33*0.1</f>
        <v>5403.94566217875</v>
      </c>
      <c r="J36" s="57">
        <f>J33*0.1</f>
        <v>7338.374804499001</v>
      </c>
      <c r="K36" s="57">
        <f>K33*0.1</f>
        <v>9509.8637315805</v>
      </c>
    </row>
    <row r="37" spans="1:11" ht="12.75">
      <c r="A37" s="401"/>
      <c r="B37" s="219"/>
      <c r="C37" s="219"/>
      <c r="D37" s="42"/>
      <c r="E37" s="43"/>
      <c r="F37" s="43"/>
      <c r="G37" s="43"/>
      <c r="H37" s="43"/>
      <c r="I37" s="43"/>
      <c r="J37" s="43"/>
      <c r="K37" s="43"/>
    </row>
    <row r="38" spans="1:11" ht="12.75">
      <c r="A38" s="409" t="s">
        <v>324</v>
      </c>
      <c r="B38" s="404"/>
      <c r="C38" s="404"/>
      <c r="D38" s="237">
        <f>D25+D35</f>
        <v>-804452.8099999999</v>
      </c>
      <c r="E38" s="205">
        <f>E25+E35</f>
        <v>-121214.88842299988</v>
      </c>
      <c r="F38" s="205">
        <f>F25+F35</f>
        <v>21643.546421000152</v>
      </c>
      <c r="G38" s="205">
        <f>G25+G35</f>
        <v>820689.6851916001</v>
      </c>
      <c r="H38" s="205">
        <f>H33-H36+H35</f>
        <v>858296.8286902829</v>
      </c>
      <c r="I38" s="205">
        <f>I33-I36+I35</f>
        <v>859231.6609596089</v>
      </c>
      <c r="J38" s="205">
        <f>J33-J36+J35</f>
        <v>876641.5232404912</v>
      </c>
      <c r="K38" s="205">
        <f>K33-K36+K35</f>
        <v>896184.9235842247</v>
      </c>
    </row>
  </sheetData>
  <mergeCells count="3">
    <mergeCell ref="A3:K3"/>
    <mergeCell ref="A5:K5"/>
    <mergeCell ref="A4:K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65" zoomScaleNormal="65" workbookViewId="0" topLeftCell="A2">
      <selection activeCell="E50" sqref="E50"/>
    </sheetView>
  </sheetViews>
  <sheetFormatPr defaultColWidth="11.421875" defaultRowHeight="12.75"/>
  <cols>
    <col min="1" max="1" width="35.7109375" style="0" customWidth="1"/>
    <col min="2" max="2" width="20.421875" style="0" customWidth="1"/>
    <col min="3" max="3" width="15.57421875" style="0" customWidth="1"/>
    <col min="4" max="4" width="20.421875" style="0" bestFit="1" customWidth="1"/>
    <col min="5" max="5" width="20.421875" style="0" customWidth="1"/>
    <col min="6" max="7" width="20.421875" style="0" bestFit="1" customWidth="1"/>
    <col min="8" max="8" width="20.421875" style="0" customWidth="1"/>
    <col min="9" max="9" width="20.8515625" style="0" bestFit="1" customWidth="1"/>
    <col min="10" max="10" width="21.28125" style="0" customWidth="1"/>
    <col min="11" max="11" width="20.421875" style="0" bestFit="1" customWidth="1"/>
    <col min="12" max="12" width="20.8515625" style="0" bestFit="1" customWidth="1"/>
  </cols>
  <sheetData>
    <row r="1" ht="20.25">
      <c r="A1" s="289" t="s">
        <v>319</v>
      </c>
    </row>
    <row r="3" spans="1:11" ht="20.25">
      <c r="A3" s="399" t="s">
        <v>301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</row>
    <row r="4" spans="1:11" ht="14.25" customHeight="1">
      <c r="A4" s="400" t="s">
        <v>300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</row>
    <row r="5" spans="1:11" ht="12.75">
      <c r="A5" s="400" t="s">
        <v>208</v>
      </c>
      <c r="B5" s="400">
        <v>2004</v>
      </c>
      <c r="C5" s="400">
        <v>2005</v>
      </c>
      <c r="D5" s="400">
        <v>2006</v>
      </c>
      <c r="E5" s="400">
        <v>2007</v>
      </c>
      <c r="F5" s="400">
        <v>2008</v>
      </c>
      <c r="G5" s="400">
        <v>2009</v>
      </c>
      <c r="H5" s="400">
        <v>2010</v>
      </c>
      <c r="I5" s="400">
        <v>2011</v>
      </c>
      <c r="J5" s="400">
        <v>2012</v>
      </c>
      <c r="K5" s="400">
        <v>2013</v>
      </c>
    </row>
    <row r="6" spans="1:11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2.75">
      <c r="A7" s="229" t="s">
        <v>148</v>
      </c>
      <c r="B7" s="302"/>
      <c r="C7" s="302"/>
      <c r="D7" s="303">
        <v>2006</v>
      </c>
      <c r="E7" s="303">
        <v>2007</v>
      </c>
      <c r="F7" s="303">
        <v>2008</v>
      </c>
      <c r="G7" s="303">
        <v>2009</v>
      </c>
      <c r="H7" s="303">
        <v>2010</v>
      </c>
      <c r="I7" s="303">
        <v>2011</v>
      </c>
      <c r="J7" s="303">
        <v>2012</v>
      </c>
      <c r="K7" s="303">
        <v>2013</v>
      </c>
    </row>
    <row r="8" spans="1:11" ht="12.75">
      <c r="A8" s="223"/>
      <c r="B8" s="304"/>
      <c r="C8" s="304"/>
      <c r="D8" s="233"/>
      <c r="E8" s="233"/>
      <c r="F8" s="233"/>
      <c r="G8" s="233"/>
      <c r="H8" s="233"/>
      <c r="I8" s="233"/>
      <c r="J8" s="233"/>
      <c r="K8" s="233"/>
    </row>
    <row r="9" spans="1:11" ht="12.75">
      <c r="A9" s="306" t="s">
        <v>101</v>
      </c>
      <c r="B9" s="52"/>
      <c r="C9" s="52"/>
      <c r="D9" s="43"/>
      <c r="E9" s="43"/>
      <c r="F9" s="43"/>
      <c r="G9" s="43"/>
      <c r="H9" s="43"/>
      <c r="I9" s="43"/>
      <c r="J9" s="43"/>
      <c r="K9" s="43"/>
    </row>
    <row r="10" spans="1:12" ht="12.75">
      <c r="A10" s="306" t="s">
        <v>82</v>
      </c>
      <c r="B10" s="252">
        <f>'[3]flujo'!$F$122</f>
        <v>3757726</v>
      </c>
      <c r="C10" s="252">
        <f>'[3]flujo'!$G$122</f>
        <v>5880346</v>
      </c>
      <c r="D10" s="57">
        <f>'ER @ sin fid.'!D9</f>
        <v>5880346</v>
      </c>
      <c r="E10" s="57">
        <f>'ER @ sin fid.'!E9</f>
        <v>5880346</v>
      </c>
      <c r="F10" s="57">
        <f>'ER @ sin fid.'!F9</f>
        <v>5880346</v>
      </c>
      <c r="G10" s="57">
        <f>'ER @ sin fid.'!G9</f>
        <v>5880346</v>
      </c>
      <c r="H10" s="57">
        <f>'ER @ sin fid.'!H9</f>
        <v>5880346</v>
      </c>
      <c r="I10" s="57">
        <f>'ER @ sin fid.'!I9</f>
        <v>5880346</v>
      </c>
      <c r="J10" s="57">
        <f>'ER @ sin fid.'!J9</f>
        <v>5880346</v>
      </c>
      <c r="K10" s="57">
        <f>'ER @ sin fid.'!K9</f>
        <v>5880346</v>
      </c>
      <c r="L10" s="56"/>
    </row>
    <row r="11" spans="1:11" ht="12.75">
      <c r="A11" s="306"/>
      <c r="B11" s="252"/>
      <c r="C11" s="252"/>
      <c r="D11" s="43"/>
      <c r="E11" s="43"/>
      <c r="F11" s="43"/>
      <c r="G11" s="43"/>
      <c r="H11" s="43"/>
      <c r="I11" s="43"/>
      <c r="J11" s="43"/>
      <c r="K11" s="43"/>
    </row>
    <row r="12" spans="1:12" ht="12.75">
      <c r="A12" s="306" t="s">
        <v>115</v>
      </c>
      <c r="B12" s="252">
        <f>SUM(B13:B16)</f>
        <v>4671735</v>
      </c>
      <c r="C12" s="252">
        <f>SUM(C13:C16)</f>
        <v>5695478</v>
      </c>
      <c r="D12" s="216">
        <f>SUM(D13:D16)</f>
        <v>6579595</v>
      </c>
      <c r="E12" s="216">
        <f>SUM(E13:E16)</f>
        <v>6579595</v>
      </c>
      <c r="F12" s="216">
        <f aca="true" t="shared" si="0" ref="F12:K12">SUM(F13:F16)</f>
        <v>6459791</v>
      </c>
      <c r="G12" s="216">
        <f t="shared" si="0"/>
        <v>5695478</v>
      </c>
      <c r="H12" s="216">
        <f t="shared" si="0"/>
        <v>5695478</v>
      </c>
      <c r="I12" s="216">
        <f t="shared" si="0"/>
        <v>5695478</v>
      </c>
      <c r="J12" s="216">
        <f t="shared" si="0"/>
        <v>5695478</v>
      </c>
      <c r="K12" s="216">
        <f t="shared" si="0"/>
        <v>5695478</v>
      </c>
      <c r="L12" s="41"/>
    </row>
    <row r="13" spans="1:12" ht="12.75">
      <c r="A13" s="306" t="s">
        <v>249</v>
      </c>
      <c r="B13" s="252">
        <f>-'[3]flujo'!$F$123</f>
        <v>4441338</v>
      </c>
      <c r="C13" s="252">
        <f>-'[3]flujo'!$G$123</f>
        <v>5695478</v>
      </c>
      <c r="D13" s="57">
        <f>'ER @ sin fid.'!D11</f>
        <v>5695478</v>
      </c>
      <c r="E13" s="57">
        <f>'ER @ sin fid.'!E11</f>
        <v>5695478</v>
      </c>
      <c r="F13" s="57">
        <f>'ER @ sin fid.'!F11</f>
        <v>5695478</v>
      </c>
      <c r="G13" s="57">
        <f>'ER @ sin fid.'!G11</f>
        <v>5695478</v>
      </c>
      <c r="H13" s="57">
        <f>'ER @ sin fid.'!H11</f>
        <v>5695478</v>
      </c>
      <c r="I13" s="57">
        <f>'ER @ sin fid.'!I11</f>
        <v>5695478</v>
      </c>
      <c r="J13" s="57">
        <f>'ER @ sin fid.'!J11</f>
        <v>5695478</v>
      </c>
      <c r="K13" s="57">
        <f>'ER @ sin fid.'!K11</f>
        <v>5695478</v>
      </c>
      <c r="L13" s="56"/>
    </row>
    <row r="14" spans="1:11" ht="12.75">
      <c r="A14" s="306" t="s">
        <v>118</v>
      </c>
      <c r="B14" s="252"/>
      <c r="C14" s="252"/>
      <c r="D14" s="43"/>
      <c r="E14" s="43"/>
      <c r="F14" s="43"/>
      <c r="G14" s="43"/>
      <c r="H14" s="43"/>
      <c r="I14" s="43"/>
      <c r="J14" s="43"/>
      <c r="K14" s="43"/>
    </row>
    <row r="15" spans="1:12" ht="12.75">
      <c r="A15" s="307" t="s">
        <v>325</v>
      </c>
      <c r="B15" s="296">
        <f>'ER @ sin fid.'!B16</f>
        <v>230397</v>
      </c>
      <c r="C15" s="296">
        <f>'ER @ sin fid.'!C16</f>
        <v>0</v>
      </c>
      <c r="D15" s="297">
        <f>'ER @ sin fid.'!D16</f>
        <v>884117</v>
      </c>
      <c r="E15" s="297">
        <f>'ER @ sin fid.'!E16</f>
        <v>884117</v>
      </c>
      <c r="F15" s="297">
        <f>'ER @ sin fid.'!F16</f>
        <v>764313</v>
      </c>
      <c r="G15" s="297">
        <f>'ER @ sin fid.'!G16</f>
        <v>0</v>
      </c>
      <c r="H15" s="297">
        <f>'ER @ sin fid.'!H16</f>
        <v>0</v>
      </c>
      <c r="I15" s="297">
        <f>'ER @ sin fid.'!I16</f>
        <v>0</v>
      </c>
      <c r="J15" s="297">
        <f>'ER @ sin fid.'!J16</f>
        <v>0</v>
      </c>
      <c r="K15" s="297">
        <f>'ER @ sin fid.'!K16</f>
        <v>0</v>
      </c>
      <c r="L15" s="249"/>
    </row>
    <row r="16" spans="1:12" ht="12.75">
      <c r="A16" s="306"/>
      <c r="B16" s="296"/>
      <c r="C16" s="296"/>
      <c r="D16" s="297"/>
      <c r="E16" s="297"/>
      <c r="F16" s="297"/>
      <c r="G16" s="297"/>
      <c r="H16" s="297"/>
      <c r="I16" s="297"/>
      <c r="J16" s="297"/>
      <c r="K16" s="297"/>
      <c r="L16" s="249"/>
    </row>
    <row r="17" spans="1:12" ht="12.75">
      <c r="A17" s="306"/>
      <c r="B17" s="296"/>
      <c r="C17" s="296"/>
      <c r="D17" s="297"/>
      <c r="E17" s="297"/>
      <c r="F17" s="297"/>
      <c r="G17" s="297"/>
      <c r="H17" s="297"/>
      <c r="I17" s="297"/>
      <c r="J17" s="297"/>
      <c r="K17" s="297"/>
      <c r="L17" s="249"/>
    </row>
    <row r="18" spans="1:12" ht="12.75">
      <c r="A18" s="306" t="s">
        <v>171</v>
      </c>
      <c r="B18" s="296">
        <f>B10-B12</f>
        <v>-914009</v>
      </c>
      <c r="C18" s="296">
        <f>C10-C12</f>
        <v>184868</v>
      </c>
      <c r="D18" s="297">
        <f>D10-D12</f>
        <v>-699249</v>
      </c>
      <c r="E18" s="297">
        <f aca="true" t="shared" si="1" ref="E18:K18">E10-E12</f>
        <v>-699249</v>
      </c>
      <c r="F18" s="297">
        <f t="shared" si="1"/>
        <v>-579445</v>
      </c>
      <c r="G18" s="297">
        <f t="shared" si="1"/>
        <v>184868</v>
      </c>
      <c r="H18" s="297">
        <f t="shared" si="1"/>
        <v>184868</v>
      </c>
      <c r="I18" s="297">
        <f t="shared" si="1"/>
        <v>184868</v>
      </c>
      <c r="J18" s="297">
        <f t="shared" si="1"/>
        <v>184868</v>
      </c>
      <c r="K18" s="297">
        <f t="shared" si="1"/>
        <v>184868</v>
      </c>
      <c r="L18" s="249"/>
    </row>
    <row r="19" spans="1:12" ht="12.75">
      <c r="A19" s="306"/>
      <c r="B19" s="296"/>
      <c r="C19" s="296"/>
      <c r="D19" s="297"/>
      <c r="E19" s="297"/>
      <c r="F19" s="297"/>
      <c r="G19" s="297"/>
      <c r="H19" s="297"/>
      <c r="I19" s="297"/>
      <c r="J19" s="297"/>
      <c r="K19" s="297"/>
      <c r="L19" s="249"/>
    </row>
    <row r="20" spans="1:12" ht="12.75">
      <c r="A20" s="306" t="s">
        <v>119</v>
      </c>
      <c r="B20" s="296">
        <f>SUM(B21:B22)</f>
        <v>24297</v>
      </c>
      <c r="C20" s="296">
        <f aca="true" t="shared" si="2" ref="C20:K20">SUM(C21:C22)</f>
        <v>750</v>
      </c>
      <c r="D20" s="297">
        <f t="shared" si="2"/>
        <v>0</v>
      </c>
      <c r="E20" s="297">
        <f t="shared" si="2"/>
        <v>0</v>
      </c>
      <c r="F20" s="297">
        <f t="shared" si="2"/>
        <v>0</v>
      </c>
      <c r="G20" s="297">
        <f t="shared" si="2"/>
        <v>0</v>
      </c>
      <c r="H20" s="297">
        <f t="shared" si="2"/>
        <v>0</v>
      </c>
      <c r="I20" s="297">
        <f t="shared" si="2"/>
        <v>0</v>
      </c>
      <c r="J20" s="297">
        <f t="shared" si="2"/>
        <v>0</v>
      </c>
      <c r="K20" s="297">
        <f t="shared" si="2"/>
        <v>0</v>
      </c>
      <c r="L20" s="249"/>
    </row>
    <row r="21" spans="1:12" ht="12.75">
      <c r="A21" s="306" t="s">
        <v>120</v>
      </c>
      <c r="B21" s="296"/>
      <c r="C21" s="296"/>
      <c r="D21" s="297"/>
      <c r="E21" s="297"/>
      <c r="F21" s="297"/>
      <c r="G21" s="297"/>
      <c r="H21" s="297"/>
      <c r="I21" s="297"/>
      <c r="J21" s="297"/>
      <c r="K21" s="297"/>
      <c r="L21" s="249"/>
    </row>
    <row r="22" spans="1:12" ht="12.75">
      <c r="A22" s="306" t="s">
        <v>231</v>
      </c>
      <c r="B22" s="296">
        <f>'[3]flujo'!$F$130</f>
        <v>24297</v>
      </c>
      <c r="C22" s="296">
        <f>'[3]flujo'!$G$130</f>
        <v>750</v>
      </c>
      <c r="D22" s="297">
        <v>0</v>
      </c>
      <c r="E22" s="297">
        <v>0</v>
      </c>
      <c r="F22" s="297">
        <v>0</v>
      </c>
      <c r="G22" s="297">
        <v>0</v>
      </c>
      <c r="H22" s="297">
        <v>0</v>
      </c>
      <c r="I22" s="297">
        <v>0</v>
      </c>
      <c r="J22" s="297">
        <v>0</v>
      </c>
      <c r="K22" s="297">
        <v>0</v>
      </c>
      <c r="L22" s="249"/>
    </row>
    <row r="23" spans="1:12" ht="12.75">
      <c r="A23" s="42"/>
      <c r="B23" s="296"/>
      <c r="C23" s="296"/>
      <c r="D23" s="297"/>
      <c r="E23" s="297"/>
      <c r="F23" s="297"/>
      <c r="G23" s="297"/>
      <c r="H23" s="297"/>
      <c r="I23" s="297"/>
      <c r="J23" s="297"/>
      <c r="K23" s="297"/>
      <c r="L23" s="249"/>
    </row>
    <row r="24" spans="1:12" ht="12.75">
      <c r="A24" s="306" t="s">
        <v>121</v>
      </c>
      <c r="B24" s="296">
        <f aca="true" t="shared" si="3" ref="B24:K24">SUM(B25:B26)</f>
        <v>968275</v>
      </c>
      <c r="C24" s="296">
        <f>SUM(C25:C26)</f>
        <v>1632691</v>
      </c>
      <c r="D24" s="322">
        <f>SUM(D25:D30)</f>
        <v>10248737.31</v>
      </c>
      <c r="E24" s="322">
        <f>SUM(E25:E30)</f>
        <v>1920648.388423</v>
      </c>
      <c r="F24" s="322">
        <f>SUM(F25:F30)</f>
        <v>1449087.9535790002</v>
      </c>
      <c r="G24" s="322">
        <f t="shared" si="3"/>
        <v>879191.0648084</v>
      </c>
      <c r="H24" s="322">
        <f t="shared" si="3"/>
        <v>486155.2353982</v>
      </c>
      <c r="I24" s="322">
        <f t="shared" si="3"/>
        <v>445231.224907</v>
      </c>
      <c r="J24" s="322">
        <f t="shared" si="3"/>
        <v>457182.2383608</v>
      </c>
      <c r="K24" s="322">
        <f t="shared" si="3"/>
        <v>441671.6669556</v>
      </c>
      <c r="L24" s="249"/>
    </row>
    <row r="25" spans="1:12" ht="16.5" customHeight="1">
      <c r="A25" s="306" t="s">
        <v>254</v>
      </c>
      <c r="B25" s="296"/>
      <c r="C25" s="296">
        <v>36441</v>
      </c>
      <c r="D25" s="297">
        <v>72882</v>
      </c>
      <c r="E25" s="297">
        <v>262220</v>
      </c>
      <c r="F25" s="297">
        <v>395053</v>
      </c>
      <c r="G25" s="297">
        <v>687451</v>
      </c>
      <c r="H25" s="297">
        <v>354856</v>
      </c>
      <c r="I25" s="297">
        <v>345131</v>
      </c>
      <c r="J25" s="297">
        <v>387426</v>
      </c>
      <c r="K25" s="297">
        <v>405978</v>
      </c>
      <c r="L25" s="249"/>
    </row>
    <row r="26" spans="1:12" ht="12.75">
      <c r="A26" s="306" t="s">
        <v>219</v>
      </c>
      <c r="B26" s="296">
        <f>-'[3]flujo'!$F$126</f>
        <v>968275</v>
      </c>
      <c r="C26" s="296">
        <f>-'[3]flujo'!$G$126</f>
        <v>1596250</v>
      </c>
      <c r="D26" s="298">
        <f>D27*0.12+255935.44</f>
        <v>1095647.56</v>
      </c>
      <c r="E26" s="297">
        <f>'[4]Hoja2'!$G$4</f>
        <v>249527.638423</v>
      </c>
      <c r="F26" s="297">
        <f>'[4]Hoja2'!$G$5</f>
        <v>226473.20357900002</v>
      </c>
      <c r="G26" s="297">
        <f>'[4]Hoja2'!$G$6</f>
        <v>191740.0648084</v>
      </c>
      <c r="H26" s="297">
        <f>'[4]Hoja2'!$G$7</f>
        <v>131299.2353982</v>
      </c>
      <c r="I26" s="297">
        <f>'[4]Hoja2'!$G$8</f>
        <v>100100.22490700001</v>
      </c>
      <c r="J26" s="297">
        <f>'[4]Hoja2'!$G$9</f>
        <v>69756.23836080001</v>
      </c>
      <c r="K26" s="297">
        <f>'[4]Hoja2'!$G$10</f>
        <v>35693.666955600005</v>
      </c>
      <c r="L26" s="249"/>
    </row>
    <row r="27" spans="1:12" ht="12.75">
      <c r="A27" s="42" t="s">
        <v>326</v>
      </c>
      <c r="B27" s="296"/>
      <c r="C27" s="296"/>
      <c r="D27" s="297">
        <v>6997601</v>
      </c>
      <c r="E27" s="297"/>
      <c r="F27" s="297"/>
      <c r="G27" s="297"/>
      <c r="H27" s="297"/>
      <c r="I27" s="297"/>
      <c r="J27" s="297"/>
      <c r="K27" s="297"/>
      <c r="L27" s="249"/>
    </row>
    <row r="28" spans="1:12" ht="12.75">
      <c r="A28" s="42" t="s">
        <v>296</v>
      </c>
      <c r="B28" s="296"/>
      <c r="C28" s="296"/>
      <c r="D28" s="297">
        <f>1162678/2</f>
        <v>581339</v>
      </c>
      <c r="E28" s="297">
        <f>D28</f>
        <v>581339</v>
      </c>
      <c r="F28" s="297"/>
      <c r="G28" s="297"/>
      <c r="H28" s="297"/>
      <c r="I28" s="297"/>
      <c r="J28" s="297"/>
      <c r="K28" s="297"/>
      <c r="L28" s="249"/>
    </row>
    <row r="29" spans="1:12" ht="12.75">
      <c r="A29" s="42" t="s">
        <v>327</v>
      </c>
      <c r="B29" s="296"/>
      <c r="C29" s="296"/>
      <c r="D29" s="297">
        <v>510824</v>
      </c>
      <c r="E29" s="297"/>
      <c r="F29" s="297"/>
      <c r="G29" s="297"/>
      <c r="H29" s="297"/>
      <c r="I29" s="297"/>
      <c r="J29" s="297"/>
      <c r="K29" s="297"/>
      <c r="L29" s="249"/>
    </row>
    <row r="30" spans="1:12" ht="12.75">
      <c r="A30" s="42" t="s">
        <v>78</v>
      </c>
      <c r="B30" s="296"/>
      <c r="C30" s="296"/>
      <c r="D30" s="297">
        <f>'Otros '!F46</f>
        <v>990443.7500000001</v>
      </c>
      <c r="E30" s="297">
        <f>'Otros '!H46</f>
        <v>827561.7500000001</v>
      </c>
      <c r="F30" s="297">
        <f>'Otros '!J46</f>
        <v>827561.7500000001</v>
      </c>
      <c r="G30" s="297">
        <f>'Otros '!K46</f>
        <v>827561.7500000001</v>
      </c>
      <c r="H30" s="297">
        <f>'Otros '!L46</f>
        <v>827561.7500000001</v>
      </c>
      <c r="I30" s="297">
        <f>'Otros '!M46</f>
        <v>810596.1500000001</v>
      </c>
      <c r="J30" s="297">
        <f>'Otros '!N46</f>
        <v>810596.1500000001</v>
      </c>
      <c r="K30" s="297">
        <f>'Otros '!O46</f>
        <v>810596.1500000001</v>
      </c>
      <c r="L30" s="249"/>
    </row>
    <row r="31" spans="1:12" ht="12.75">
      <c r="A31" s="42"/>
      <c r="B31" s="296"/>
      <c r="C31" s="296"/>
      <c r="D31" s="297"/>
      <c r="E31" s="297"/>
      <c r="F31" s="297"/>
      <c r="G31" s="297"/>
      <c r="H31" s="297"/>
      <c r="I31" s="297"/>
      <c r="J31" s="297"/>
      <c r="K31" s="297"/>
      <c r="L31" s="249"/>
    </row>
    <row r="32" spans="1:12" ht="12.75">
      <c r="A32" s="306" t="s">
        <v>122</v>
      </c>
      <c r="B32" s="296">
        <f>B20-B24</f>
        <v>-943978</v>
      </c>
      <c r="C32" s="296">
        <f>C20-C24</f>
        <v>-1631941</v>
      </c>
      <c r="D32" s="297">
        <f>D20-D24</f>
        <v>-10248737.31</v>
      </c>
      <c r="E32" s="297">
        <f aca="true" t="shared" si="4" ref="E32:K32">E20-E24</f>
        <v>-1920648.388423</v>
      </c>
      <c r="F32" s="297">
        <f t="shared" si="4"/>
        <v>-1449087.9535790002</v>
      </c>
      <c r="G32" s="297">
        <f t="shared" si="4"/>
        <v>-879191.0648084</v>
      </c>
      <c r="H32" s="297">
        <f t="shared" si="4"/>
        <v>-486155.2353982</v>
      </c>
      <c r="I32" s="297">
        <f t="shared" si="4"/>
        <v>-445231.224907</v>
      </c>
      <c r="J32" s="297">
        <f t="shared" si="4"/>
        <v>-457182.2383608</v>
      </c>
      <c r="K32" s="297">
        <f t="shared" si="4"/>
        <v>-441671.6669556</v>
      </c>
      <c r="L32" s="249"/>
    </row>
    <row r="33" spans="1:12" ht="12.75">
      <c r="A33" s="42"/>
      <c r="B33" s="296"/>
      <c r="C33" s="296"/>
      <c r="D33" s="297"/>
      <c r="E33" s="297"/>
      <c r="F33" s="297"/>
      <c r="G33" s="297"/>
      <c r="H33" s="297"/>
      <c r="I33" s="297"/>
      <c r="J33" s="297"/>
      <c r="K33" s="297"/>
      <c r="L33" s="249"/>
    </row>
    <row r="34" spans="1:12" ht="12.75">
      <c r="A34" s="42" t="s">
        <v>307</v>
      </c>
      <c r="B34" s="296">
        <f>B18+B32</f>
        <v>-1857987</v>
      </c>
      <c r="C34" s="296">
        <f>C18+C32</f>
        <v>-1447073</v>
      </c>
      <c r="D34" s="297">
        <f>D18+D32</f>
        <v>-10947986.31</v>
      </c>
      <c r="E34" s="297">
        <f aca="true" t="shared" si="5" ref="E34:K34">E18+E32</f>
        <v>-2619897.388423</v>
      </c>
      <c r="F34" s="297">
        <f t="shared" si="5"/>
        <v>-2028532.9535790002</v>
      </c>
      <c r="G34" s="297">
        <f t="shared" si="5"/>
        <v>-694323.0648084</v>
      </c>
      <c r="H34" s="297">
        <f t="shared" si="5"/>
        <v>-301287.2353982</v>
      </c>
      <c r="I34" s="297">
        <f t="shared" si="5"/>
        <v>-260363.22490700003</v>
      </c>
      <c r="J34" s="297">
        <f t="shared" si="5"/>
        <v>-272314.2383608</v>
      </c>
      <c r="K34" s="297">
        <f t="shared" si="5"/>
        <v>-256803.66695560003</v>
      </c>
      <c r="L34" s="249"/>
    </row>
    <row r="35" spans="1:12" ht="12.75">
      <c r="A35" s="42"/>
      <c r="B35" s="296"/>
      <c r="C35" s="296"/>
      <c r="D35" s="297"/>
      <c r="E35" s="297"/>
      <c r="F35" s="297"/>
      <c r="G35" s="297"/>
      <c r="H35" s="297"/>
      <c r="I35" s="297"/>
      <c r="J35" s="297"/>
      <c r="K35" s="297"/>
      <c r="L35" s="249"/>
    </row>
    <row r="36" spans="1:12" ht="12.75">
      <c r="A36" s="42" t="s">
        <v>78</v>
      </c>
      <c r="B36" s="296">
        <f>B15</f>
        <v>230397</v>
      </c>
      <c r="C36" s="296">
        <f>-C15</f>
        <v>0</v>
      </c>
      <c r="D36" s="297">
        <f>'Otros '!F46</f>
        <v>990443.7500000001</v>
      </c>
      <c r="E36" s="297">
        <f>'Otros '!H46</f>
        <v>827561.7500000001</v>
      </c>
      <c r="F36" s="297">
        <f>'Otros '!J46</f>
        <v>827561.7500000001</v>
      </c>
      <c r="G36" s="297">
        <f>'Otros '!K46</f>
        <v>827561.7500000001</v>
      </c>
      <c r="H36" s="297">
        <f>'Otros '!L46</f>
        <v>827561.7500000001</v>
      </c>
      <c r="I36" s="297">
        <f>'Otros '!M46</f>
        <v>810596.1500000001</v>
      </c>
      <c r="J36" s="297">
        <f>'Otros '!N46</f>
        <v>810596.1500000001</v>
      </c>
      <c r="K36" s="297">
        <f>'Otros '!O46</f>
        <v>810596.1500000001</v>
      </c>
      <c r="L36" s="249"/>
    </row>
    <row r="37" spans="1:12" ht="12.75">
      <c r="A37" s="42"/>
      <c r="B37" s="52"/>
      <c r="C37" s="52"/>
      <c r="D37" s="43"/>
      <c r="E37" s="297"/>
      <c r="F37" s="297"/>
      <c r="G37" s="297"/>
      <c r="H37" s="297"/>
      <c r="I37" s="297"/>
      <c r="J37" s="297"/>
      <c r="K37" s="297"/>
      <c r="L37" s="249"/>
    </row>
    <row r="38" spans="1:12" ht="12.75">
      <c r="A38" s="42" t="s">
        <v>123</v>
      </c>
      <c r="B38" s="254">
        <f>B34+B36</f>
        <v>-1627590</v>
      </c>
      <c r="C38" s="254">
        <f>C34-C36</f>
        <v>-1447073</v>
      </c>
      <c r="D38" s="57">
        <f>D34+D36</f>
        <v>-9957542.56</v>
      </c>
      <c r="E38" s="57">
        <f>E34+E36</f>
        <v>-1792335.638423</v>
      </c>
      <c r="F38" s="57">
        <f>F34+F36</f>
        <v>-1200971.2035790002</v>
      </c>
      <c r="G38" s="57">
        <f>G34+G36</f>
        <v>133238.68519160012</v>
      </c>
      <c r="H38" s="57">
        <f>H34+F36</f>
        <v>526274.5146018001</v>
      </c>
      <c r="I38" s="57">
        <f>I34+I36</f>
        <v>550232.925093</v>
      </c>
      <c r="J38" s="57">
        <f>J34+J36</f>
        <v>538281.9116392</v>
      </c>
      <c r="K38" s="57">
        <f>K34+K36</f>
        <v>553792.4830444001</v>
      </c>
      <c r="L38" s="56"/>
    </row>
    <row r="39" spans="1:12" ht="12.75">
      <c r="A39" s="42"/>
      <c r="B39" s="254"/>
      <c r="C39" s="254"/>
      <c r="D39" s="57"/>
      <c r="E39" s="57"/>
      <c r="F39" s="57"/>
      <c r="G39" s="57"/>
      <c r="H39" s="57"/>
      <c r="I39" s="57"/>
      <c r="J39" s="57"/>
      <c r="K39" s="57"/>
      <c r="L39" s="56"/>
    </row>
    <row r="40" spans="1:12" ht="12.75">
      <c r="A40" s="42" t="s">
        <v>124</v>
      </c>
      <c r="B40" s="185"/>
      <c r="C40" s="185"/>
      <c r="D40" s="216">
        <v>1890</v>
      </c>
      <c r="E40" s="57">
        <f aca="true" t="shared" si="6" ref="E40:K40">D42</f>
        <v>-9955652.56</v>
      </c>
      <c r="F40" s="57">
        <f t="shared" si="6"/>
        <v>-11747988.198423</v>
      </c>
      <c r="G40" s="57">
        <f t="shared" si="6"/>
        <v>-12948959.402002</v>
      </c>
      <c r="H40" s="57">
        <f t="shared" si="6"/>
        <v>-12815720.7168104</v>
      </c>
      <c r="I40" s="57">
        <f t="shared" si="6"/>
        <v>-12289446.2022086</v>
      </c>
      <c r="J40" s="57">
        <f t="shared" si="6"/>
        <v>-11739213.277115598</v>
      </c>
      <c r="K40" s="57">
        <f t="shared" si="6"/>
        <v>-11200931.365476398</v>
      </c>
      <c r="L40" s="56"/>
    </row>
    <row r="41" spans="1:11" ht="12.75">
      <c r="A41" s="42"/>
      <c r="B41" s="52"/>
      <c r="C41" s="52"/>
      <c r="D41" s="43"/>
      <c r="E41" s="43"/>
      <c r="F41" s="43"/>
      <c r="G41" s="43"/>
      <c r="H41" s="43"/>
      <c r="I41" s="43"/>
      <c r="J41" s="43"/>
      <c r="K41" s="43"/>
    </row>
    <row r="42" spans="1:12" s="25" customFormat="1" ht="15.75">
      <c r="A42" s="308" t="s">
        <v>125</v>
      </c>
      <c r="B42" s="102"/>
      <c r="C42" s="102"/>
      <c r="D42" s="305">
        <f aca="true" t="shared" si="7" ref="D42:K42">D38+D40</f>
        <v>-9955652.56</v>
      </c>
      <c r="E42" s="305">
        <f t="shared" si="7"/>
        <v>-11747988.198423</v>
      </c>
      <c r="F42" s="305">
        <f t="shared" si="7"/>
        <v>-12948959.402002</v>
      </c>
      <c r="G42" s="305">
        <f t="shared" si="7"/>
        <v>-12815720.7168104</v>
      </c>
      <c r="H42" s="305">
        <f t="shared" si="7"/>
        <v>-12289446.2022086</v>
      </c>
      <c r="I42" s="305">
        <f t="shared" si="7"/>
        <v>-11739213.277115598</v>
      </c>
      <c r="J42" s="305">
        <f t="shared" si="7"/>
        <v>-11200931.365476398</v>
      </c>
      <c r="K42" s="305">
        <f t="shared" si="7"/>
        <v>-10647138.882431997</v>
      </c>
      <c r="L42" s="250"/>
    </row>
    <row r="45" spans="2:3" ht="12.75">
      <c r="B45" s="62"/>
      <c r="C45" s="53"/>
    </row>
    <row r="48" ht="12.75">
      <c r="B48" s="19"/>
    </row>
  </sheetData>
  <mergeCells count="3">
    <mergeCell ref="A3:K3"/>
    <mergeCell ref="A4:K4"/>
    <mergeCell ref="A5:K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landscape" paperSize="9" scale="5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4"/>
  <sheetViews>
    <sheetView zoomScale="70" zoomScaleNormal="70" workbookViewId="0" topLeftCell="A1">
      <selection activeCell="E46" sqref="E46"/>
    </sheetView>
  </sheetViews>
  <sheetFormatPr defaultColWidth="11.421875" defaultRowHeight="12.75"/>
  <cols>
    <col min="1" max="1" width="33.8515625" style="9" bestFit="1" customWidth="1"/>
    <col min="2" max="2" width="19.7109375" style="9" bestFit="1" customWidth="1"/>
    <col min="3" max="3" width="20.28125" style="9" customWidth="1"/>
    <col min="4" max="4" width="19.28125" style="9" bestFit="1" customWidth="1"/>
    <col min="5" max="5" width="19.140625" style="9" bestFit="1" customWidth="1"/>
    <col min="6" max="6" width="19.7109375" style="9" customWidth="1"/>
    <col min="7" max="7" width="19.28125" style="9" bestFit="1" customWidth="1"/>
    <col min="8" max="8" width="19.7109375" style="9" customWidth="1"/>
    <col min="9" max="9" width="18.8515625" style="9" bestFit="1" customWidth="1"/>
    <col min="10" max="16384" width="11.421875" style="9" customWidth="1"/>
  </cols>
  <sheetData>
    <row r="1" ht="20.25">
      <c r="A1" s="289" t="s">
        <v>320</v>
      </c>
    </row>
    <row r="3" spans="1:9" ht="18">
      <c r="A3" s="398" t="s">
        <v>298</v>
      </c>
      <c r="B3" s="398"/>
      <c r="C3" s="398"/>
      <c r="D3" s="398"/>
      <c r="E3" s="398"/>
      <c r="F3" s="398"/>
      <c r="G3" s="398"/>
      <c r="H3" s="398"/>
      <c r="I3" s="398"/>
    </row>
    <row r="4" spans="1:9" ht="12.75">
      <c r="A4" s="400" t="s">
        <v>297</v>
      </c>
      <c r="B4" s="400"/>
      <c r="C4" s="400"/>
      <c r="D4" s="400"/>
      <c r="E4" s="400"/>
      <c r="F4" s="400"/>
      <c r="G4" s="400"/>
      <c r="H4" s="400"/>
      <c r="I4" s="400"/>
    </row>
    <row r="5" spans="1:9" ht="12.75">
      <c r="A5" s="400" t="s">
        <v>208</v>
      </c>
      <c r="B5" s="400"/>
      <c r="C5" s="400"/>
      <c r="D5" s="400"/>
      <c r="E5" s="400"/>
      <c r="F5" s="400"/>
      <c r="G5" s="400"/>
      <c r="H5" s="400"/>
      <c r="I5" s="400"/>
    </row>
    <row r="7" spans="1:9" ht="15.75">
      <c r="A7" s="229" t="s">
        <v>104</v>
      </c>
      <c r="B7" s="301">
        <v>2006</v>
      </c>
      <c r="C7" s="301">
        <v>2007</v>
      </c>
      <c r="D7" s="301">
        <v>2008</v>
      </c>
      <c r="E7" s="301">
        <v>2009</v>
      </c>
      <c r="F7" s="301">
        <v>2010</v>
      </c>
      <c r="G7" s="301">
        <v>2011</v>
      </c>
      <c r="H7" s="301">
        <v>2012</v>
      </c>
      <c r="I7" s="301">
        <v>2013</v>
      </c>
    </row>
    <row r="8" spans="1:9" ht="15.75">
      <c r="A8" s="223"/>
      <c r="B8" s="292"/>
      <c r="C8" s="292"/>
      <c r="D8" s="292"/>
      <c r="E8" s="292"/>
      <c r="F8" s="292"/>
      <c r="G8" s="292"/>
      <c r="H8" s="292"/>
      <c r="I8" s="292"/>
    </row>
    <row r="9" spans="1:9" s="1" customFormat="1" ht="12.75">
      <c r="A9" s="223" t="s">
        <v>101</v>
      </c>
      <c r="B9" s="222">
        <f>SUM(B10:B11)</f>
        <v>2109723.8477966227</v>
      </c>
      <c r="C9" s="222">
        <f aca="true" t="shared" si="0" ref="C9:I9">SUM(C10:C11)</f>
        <v>2831383.650134191</v>
      </c>
      <c r="D9" s="222">
        <f t="shared" si="0"/>
        <v>2831383.650134191</v>
      </c>
      <c r="E9" s="222">
        <f t="shared" si="0"/>
        <v>2831383.6501341946</v>
      </c>
      <c r="F9" s="222">
        <f t="shared" si="0"/>
        <v>2831383.650134193</v>
      </c>
      <c r="G9" s="222">
        <f t="shared" si="0"/>
        <v>2831383.650134193</v>
      </c>
      <c r="H9" s="222">
        <f t="shared" si="0"/>
        <v>2831383.650134191</v>
      </c>
      <c r="I9" s="222">
        <f t="shared" si="0"/>
        <v>2833383.6501341946</v>
      </c>
    </row>
    <row r="10" spans="1:9" ht="12.75">
      <c r="A10" s="299" t="s">
        <v>256</v>
      </c>
      <c r="B10" s="293">
        <f>'[5]Hoja1'!$C$26</f>
        <v>2108723.8477966227</v>
      </c>
      <c r="C10" s="293">
        <f>'[5]Hoja1'!$D$26</f>
        <v>2830383.650134191</v>
      </c>
      <c r="D10" s="293">
        <f>'[5]Hoja1'!$E$26</f>
        <v>2830383.650134191</v>
      </c>
      <c r="E10" s="293">
        <f>'[5]Hoja1'!$F$26</f>
        <v>2830383.6501341946</v>
      </c>
      <c r="F10" s="293">
        <f>'[5]Hoja1'!$G$26</f>
        <v>2830383.650134193</v>
      </c>
      <c r="G10" s="293">
        <f>'[5]Hoja1'!$H$26</f>
        <v>2830383.650134193</v>
      </c>
      <c r="H10" s="293">
        <f>'[5]Hoja1'!$I$26</f>
        <v>2830383.650134191</v>
      </c>
      <c r="I10" s="293">
        <f>'[5]Hoja1'!$J$26</f>
        <v>2832383.6501341946</v>
      </c>
    </row>
    <row r="11" spans="1:9" ht="12.75">
      <c r="A11" s="299" t="s">
        <v>255</v>
      </c>
      <c r="B11" s="293">
        <v>1000</v>
      </c>
      <c r="C11" s="293">
        <v>1000</v>
      </c>
      <c r="D11" s="293">
        <v>1000</v>
      </c>
      <c r="E11" s="293">
        <v>1000</v>
      </c>
      <c r="F11" s="293">
        <v>1000</v>
      </c>
      <c r="G11" s="293">
        <v>1000</v>
      </c>
      <c r="H11" s="293">
        <v>1000</v>
      </c>
      <c r="I11" s="293">
        <v>1000</v>
      </c>
    </row>
    <row r="12" spans="1:9" ht="12.75">
      <c r="A12" s="299"/>
      <c r="B12" s="294"/>
      <c r="C12" s="294"/>
      <c r="D12" s="294"/>
      <c r="E12" s="294"/>
      <c r="F12" s="294"/>
      <c r="G12" s="294"/>
      <c r="H12" s="294"/>
      <c r="I12" s="294"/>
    </row>
    <row r="13" spans="1:9" s="1" customFormat="1" ht="12.75">
      <c r="A13" s="223" t="s">
        <v>115</v>
      </c>
      <c r="B13" s="295">
        <f>SUM(B14:B19)</f>
        <v>10833280.21</v>
      </c>
      <c r="C13" s="295">
        <f aca="true" t="shared" si="1" ref="C13:I13">SUM(C14:C19)</f>
        <v>1348921.09</v>
      </c>
      <c r="D13" s="295">
        <f t="shared" si="1"/>
        <v>1481754.09</v>
      </c>
      <c r="E13" s="295">
        <f t="shared" si="1"/>
        <v>1774152.09</v>
      </c>
      <c r="F13" s="295">
        <f t="shared" si="1"/>
        <v>1375962.75</v>
      </c>
      <c r="G13" s="295">
        <f t="shared" si="1"/>
        <v>1349272.1500000001</v>
      </c>
      <c r="H13" s="295">
        <f t="shared" si="1"/>
        <v>1391567.1500000001</v>
      </c>
      <c r="I13" s="295">
        <f t="shared" si="1"/>
        <v>1410119.1500000001</v>
      </c>
    </row>
    <row r="14" spans="1:9" ht="12.75">
      <c r="A14" s="299" t="s">
        <v>257</v>
      </c>
      <c r="B14" s="297">
        <v>72882</v>
      </c>
      <c r="C14" s="297">
        <v>262220</v>
      </c>
      <c r="D14" s="297">
        <v>395053</v>
      </c>
      <c r="E14" s="297">
        <v>687451</v>
      </c>
      <c r="F14" s="297">
        <v>354856</v>
      </c>
      <c r="G14" s="297">
        <v>345131</v>
      </c>
      <c r="H14" s="297">
        <v>387426</v>
      </c>
      <c r="I14" s="297">
        <v>405978</v>
      </c>
    </row>
    <row r="15" spans="1:9" ht="12.75">
      <c r="A15" s="299" t="s">
        <v>219</v>
      </c>
      <c r="B15" s="298">
        <f>B16*0.12+259139.34</f>
        <v>1098851.46</v>
      </c>
      <c r="C15" s="297">
        <v>259139.34</v>
      </c>
      <c r="D15" s="297">
        <v>259139.34</v>
      </c>
      <c r="E15" s="297">
        <v>259139.34</v>
      </c>
      <c r="F15" s="297">
        <v>193545</v>
      </c>
      <c r="G15" s="297">
        <v>193545</v>
      </c>
      <c r="H15" s="297">
        <v>193545</v>
      </c>
      <c r="I15" s="297">
        <v>193545</v>
      </c>
    </row>
    <row r="16" spans="1:9" ht="12.75">
      <c r="A16" s="299" t="s">
        <v>295</v>
      </c>
      <c r="B16" s="293">
        <v>6997601</v>
      </c>
      <c r="C16" s="293"/>
      <c r="D16" s="293"/>
      <c r="E16" s="293"/>
      <c r="F16" s="293"/>
      <c r="G16" s="293"/>
      <c r="H16" s="293"/>
      <c r="I16" s="293"/>
    </row>
    <row r="17" spans="1:9" ht="12.75">
      <c r="A17" s="299" t="s">
        <v>296</v>
      </c>
      <c r="B17" s="293">
        <v>1162678</v>
      </c>
      <c r="C17" s="293"/>
      <c r="D17" s="293"/>
      <c r="E17" s="293"/>
      <c r="F17" s="293"/>
      <c r="G17" s="293"/>
      <c r="H17" s="293"/>
      <c r="I17" s="293"/>
    </row>
    <row r="18" spans="1:9" ht="12.75">
      <c r="A18" s="299" t="s">
        <v>302</v>
      </c>
      <c r="B18" s="293">
        <v>510824</v>
      </c>
      <c r="C18" s="293"/>
      <c r="D18" s="293"/>
      <c r="E18" s="293"/>
      <c r="F18" s="293"/>
      <c r="G18" s="293"/>
      <c r="H18" s="293"/>
      <c r="I18" s="293"/>
    </row>
    <row r="19" spans="1:9" ht="12.75">
      <c r="A19" s="299" t="s">
        <v>78</v>
      </c>
      <c r="B19" s="293">
        <f>'Otros '!F46</f>
        <v>990443.7500000001</v>
      </c>
      <c r="C19" s="293">
        <f>'Otros '!H46</f>
        <v>827561.7500000001</v>
      </c>
      <c r="D19" s="293">
        <f>'Otros '!J46</f>
        <v>827561.7500000001</v>
      </c>
      <c r="E19" s="293">
        <f>'Otros '!K46</f>
        <v>827561.7500000001</v>
      </c>
      <c r="F19" s="293">
        <f>'Otros '!L46</f>
        <v>827561.7500000001</v>
      </c>
      <c r="G19" s="293">
        <f>'Otros '!M46</f>
        <v>810596.1500000001</v>
      </c>
      <c r="H19" s="293">
        <f>'Otros '!N46</f>
        <v>810596.1500000001</v>
      </c>
      <c r="I19" s="293">
        <f>'Otros '!O46</f>
        <v>810596.1500000001</v>
      </c>
    </row>
    <row r="20" spans="1:9" ht="12.75">
      <c r="A20" s="299"/>
      <c r="B20" s="293"/>
      <c r="C20" s="293"/>
      <c r="D20" s="293"/>
      <c r="E20" s="293"/>
      <c r="F20" s="293"/>
      <c r="G20" s="293"/>
      <c r="H20" s="293"/>
      <c r="I20" s="293"/>
    </row>
    <row r="21" spans="1:9" ht="12.75">
      <c r="A21" s="299" t="s">
        <v>233</v>
      </c>
      <c r="B21" s="293">
        <f>B9-B13</f>
        <v>-8723556.362203378</v>
      </c>
      <c r="C21" s="293">
        <f aca="true" t="shared" si="2" ref="C21:I21">C9-C13</f>
        <v>1482462.5601341908</v>
      </c>
      <c r="D21" s="293">
        <f t="shared" si="2"/>
        <v>1349629.5601341908</v>
      </c>
      <c r="E21" s="293">
        <f t="shared" si="2"/>
        <v>1057231.5601341946</v>
      </c>
      <c r="F21" s="293">
        <f t="shared" si="2"/>
        <v>1455420.9001341928</v>
      </c>
      <c r="G21" s="293">
        <f t="shared" si="2"/>
        <v>1482111.5001341926</v>
      </c>
      <c r="H21" s="293">
        <f t="shared" si="2"/>
        <v>1439816.5001341908</v>
      </c>
      <c r="I21" s="293">
        <f t="shared" si="2"/>
        <v>1423264.5001341945</v>
      </c>
    </row>
    <row r="22" spans="1:9" ht="12.75">
      <c r="A22" s="299" t="s">
        <v>303</v>
      </c>
      <c r="B22" s="293">
        <v>0</v>
      </c>
      <c r="C22" s="293">
        <f aca="true" t="shared" si="3" ref="C22:I22">+C21*0.25</f>
        <v>370615.6400335477</v>
      </c>
      <c r="D22" s="293">
        <f t="shared" si="3"/>
        <v>337407.3900335477</v>
      </c>
      <c r="E22" s="293">
        <f t="shared" si="3"/>
        <v>264307.89003354864</v>
      </c>
      <c r="F22" s="293">
        <f t="shared" si="3"/>
        <v>363855.2250335482</v>
      </c>
      <c r="G22" s="293">
        <f t="shared" si="3"/>
        <v>370527.87503354816</v>
      </c>
      <c r="H22" s="293">
        <f t="shared" si="3"/>
        <v>359954.1250335477</v>
      </c>
      <c r="I22" s="293">
        <f t="shared" si="3"/>
        <v>355816.1250335486</v>
      </c>
    </row>
    <row r="23" spans="1:9" ht="12.75">
      <c r="A23" s="299" t="s">
        <v>304</v>
      </c>
      <c r="B23" s="293">
        <f>+B21-B22</f>
        <v>-8723556.362203378</v>
      </c>
      <c r="C23" s="293">
        <f>+C21-C22</f>
        <v>1111846.920100643</v>
      </c>
      <c r="D23" s="293">
        <f aca="true" t="shared" si="4" ref="D23:I23">+D21-D22</f>
        <v>1012222.1701006431</v>
      </c>
      <c r="E23" s="293">
        <f t="shared" si="4"/>
        <v>792923.6701006459</v>
      </c>
      <c r="F23" s="293">
        <f t="shared" si="4"/>
        <v>1091565.6751006446</v>
      </c>
      <c r="G23" s="293">
        <f t="shared" si="4"/>
        <v>1111583.6251006445</v>
      </c>
      <c r="H23" s="293">
        <f t="shared" si="4"/>
        <v>1079862.3751006431</v>
      </c>
      <c r="I23" s="293">
        <f t="shared" si="4"/>
        <v>1067448.375100646</v>
      </c>
    </row>
    <row r="24" spans="1:9" ht="12.75">
      <c r="A24" s="299"/>
      <c r="B24" s="294"/>
      <c r="C24" s="294"/>
      <c r="D24" s="294"/>
      <c r="E24" s="294"/>
      <c r="F24" s="294"/>
      <c r="G24" s="294"/>
      <c r="H24" s="294"/>
      <c r="I24" s="294"/>
    </row>
    <row r="25" spans="1:9" ht="12.75">
      <c r="A25" s="299" t="s">
        <v>78</v>
      </c>
      <c r="B25" s="293">
        <f aca="true" t="shared" si="5" ref="B25:I25">B19</f>
        <v>990443.7500000001</v>
      </c>
      <c r="C25" s="293">
        <f t="shared" si="5"/>
        <v>827561.7500000001</v>
      </c>
      <c r="D25" s="293">
        <f t="shared" si="5"/>
        <v>827561.7500000001</v>
      </c>
      <c r="E25" s="293">
        <f t="shared" si="5"/>
        <v>827561.7500000001</v>
      </c>
      <c r="F25" s="293">
        <f t="shared" si="5"/>
        <v>827561.7500000001</v>
      </c>
      <c r="G25" s="293">
        <f t="shared" si="5"/>
        <v>810596.1500000001</v>
      </c>
      <c r="H25" s="293">
        <f t="shared" si="5"/>
        <v>810596.1500000001</v>
      </c>
      <c r="I25" s="293">
        <f t="shared" si="5"/>
        <v>810596.1500000001</v>
      </c>
    </row>
    <row r="26" spans="1:9" ht="12.75">
      <c r="A26" s="299"/>
      <c r="B26" s="293"/>
      <c r="C26" s="293"/>
      <c r="D26" s="293"/>
      <c r="E26" s="293"/>
      <c r="F26" s="293"/>
      <c r="G26" s="293"/>
      <c r="H26" s="293"/>
      <c r="I26" s="293"/>
    </row>
    <row r="27" spans="1:9" ht="12.75">
      <c r="A27" s="299" t="s">
        <v>266</v>
      </c>
      <c r="B27" s="293">
        <v>0</v>
      </c>
      <c r="C27" s="293">
        <f>B29</f>
        <v>-7733112.612203378</v>
      </c>
      <c r="D27" s="293">
        <f aca="true" t="shared" si="6" ref="D27:I27">C29</f>
        <v>-5793703.942102735</v>
      </c>
      <c r="E27" s="293">
        <f t="shared" si="6"/>
        <v>-3953920.0220020916</v>
      </c>
      <c r="F27" s="293">
        <f t="shared" si="6"/>
        <v>-2333434.6019014455</v>
      </c>
      <c r="G27" s="293">
        <f t="shared" si="6"/>
        <v>-414307.17680080095</v>
      </c>
      <c r="H27" s="293">
        <f t="shared" si="6"/>
        <v>1507872.5982998437</v>
      </c>
      <c r="I27" s="293">
        <f t="shared" si="6"/>
        <v>3398331.123400487</v>
      </c>
    </row>
    <row r="28" spans="1:9" ht="12.75">
      <c r="A28" s="299"/>
      <c r="B28" s="293"/>
      <c r="C28" s="293"/>
      <c r="D28" s="293"/>
      <c r="E28" s="293"/>
      <c r="F28" s="293"/>
      <c r="G28" s="293"/>
      <c r="H28" s="293"/>
      <c r="I28" s="293"/>
    </row>
    <row r="29" spans="1:9" ht="12.75">
      <c r="A29" s="300" t="s">
        <v>267</v>
      </c>
      <c r="B29" s="76">
        <f>B23+B25+B27</f>
        <v>-7733112.612203378</v>
      </c>
      <c r="C29" s="76">
        <f>C23+C25+C27</f>
        <v>-5793703.942102735</v>
      </c>
      <c r="D29" s="76">
        <f aca="true" t="shared" si="7" ref="D29:I29">D23+D25+D27</f>
        <v>-3953920.0220020916</v>
      </c>
      <c r="E29" s="76">
        <f t="shared" si="7"/>
        <v>-2333434.6019014455</v>
      </c>
      <c r="F29" s="76">
        <f t="shared" si="7"/>
        <v>-414307.17680080095</v>
      </c>
      <c r="G29" s="76">
        <f>G23+G25+G27</f>
        <v>1507872.5982998437</v>
      </c>
      <c r="H29" s="76">
        <f t="shared" si="7"/>
        <v>3398331.123400487</v>
      </c>
      <c r="I29" s="76">
        <f t="shared" si="7"/>
        <v>5276375.648501134</v>
      </c>
    </row>
    <row r="30" spans="2:9" ht="12.75">
      <c r="B30" s="210"/>
      <c r="C30" s="210"/>
      <c r="D30" s="210"/>
      <c r="E30" s="210"/>
      <c r="F30" s="210"/>
      <c r="G30" s="210"/>
      <c r="H30" s="210"/>
      <c r="I30" s="210"/>
    </row>
    <row r="31" spans="2:9" ht="12.75">
      <c r="B31" s="210"/>
      <c r="C31" s="210"/>
      <c r="D31" s="210"/>
      <c r="E31" s="210"/>
      <c r="F31" s="210"/>
      <c r="G31" s="210"/>
      <c r="H31" s="210"/>
      <c r="I31" s="210"/>
    </row>
    <row r="32" spans="2:9" ht="12.75">
      <c r="B32" s="210"/>
      <c r="C32" s="210"/>
      <c r="D32" s="210"/>
      <c r="E32" s="210"/>
      <c r="F32" s="210"/>
      <c r="G32" s="210"/>
      <c r="H32" s="210"/>
      <c r="I32" s="210"/>
    </row>
    <row r="33" spans="2:9" ht="12.75">
      <c r="B33" s="210"/>
      <c r="C33" s="210"/>
      <c r="D33" s="210"/>
      <c r="E33" s="210"/>
      <c r="F33" s="210"/>
      <c r="G33" s="210"/>
      <c r="H33" s="210"/>
      <c r="I33" s="210"/>
    </row>
    <row r="34" spans="2:9" ht="12.75">
      <c r="B34" s="210"/>
      <c r="C34" s="210"/>
      <c r="D34" s="210"/>
      <c r="E34" s="210"/>
      <c r="F34" s="210"/>
      <c r="G34" s="210"/>
      <c r="H34" s="210"/>
      <c r="I34" s="210"/>
    </row>
  </sheetData>
  <mergeCells count="3">
    <mergeCell ref="A3:I3"/>
    <mergeCell ref="A4:I4"/>
    <mergeCell ref="A5:I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65" zoomScaleNormal="65" workbookViewId="0" topLeftCell="A1">
      <selection activeCell="I60" sqref="I60"/>
    </sheetView>
  </sheetViews>
  <sheetFormatPr defaultColWidth="11.421875" defaultRowHeight="12.75"/>
  <cols>
    <col min="1" max="1" width="19.57421875" style="0" customWidth="1"/>
    <col min="2" max="2" width="12.8515625" style="0" customWidth="1"/>
    <col min="5" max="5" width="19.421875" style="0" bestFit="1" customWidth="1"/>
    <col min="6" max="6" width="19.00390625" style="0" bestFit="1" customWidth="1"/>
    <col min="7" max="7" width="19.421875" style="0" bestFit="1" customWidth="1"/>
    <col min="8" max="8" width="18.140625" style="0" bestFit="1" customWidth="1"/>
    <col min="9" max="9" width="16.00390625" style="0" bestFit="1" customWidth="1"/>
    <col min="10" max="10" width="15.7109375" style="0" customWidth="1"/>
    <col min="11" max="11" width="16.00390625" style="0" bestFit="1" customWidth="1"/>
    <col min="12" max="12" width="19.7109375" style="0" customWidth="1"/>
  </cols>
  <sheetData>
    <row r="1" ht="20.25">
      <c r="A1" s="289" t="s">
        <v>311</v>
      </c>
    </row>
    <row r="2" spans="1:12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8">
      <c r="A3" s="366" t="s">
        <v>106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1:12" ht="12.75">
      <c r="A4" s="367" t="s">
        <v>309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</row>
    <row r="5" spans="1:12" ht="12.75">
      <c r="A5" s="367" t="s">
        <v>208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</row>
    <row r="6" spans="1:12" ht="18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</row>
    <row r="7" spans="1:12" ht="12.75">
      <c r="A7" s="374" t="s">
        <v>198</v>
      </c>
      <c r="B7" s="375"/>
      <c r="C7" s="375"/>
      <c r="D7" s="376"/>
      <c r="E7" s="118">
        <v>2006</v>
      </c>
      <c r="F7" s="118">
        <v>2007</v>
      </c>
      <c r="G7" s="119">
        <v>2008</v>
      </c>
      <c r="H7" s="174">
        <v>2009</v>
      </c>
      <c r="I7" s="174">
        <v>2010</v>
      </c>
      <c r="J7" s="174">
        <v>2011</v>
      </c>
      <c r="K7" s="174">
        <v>2012</v>
      </c>
      <c r="L7" s="174">
        <v>2013</v>
      </c>
    </row>
    <row r="8" spans="1:12" ht="12.75">
      <c r="A8" s="371" t="s">
        <v>113</v>
      </c>
      <c r="B8" s="372"/>
      <c r="C8" s="372"/>
      <c r="D8" s="373"/>
      <c r="E8" s="142">
        <f aca="true" t="shared" si="0" ref="E8:L8">SUM(E11:E13)</f>
        <v>16560</v>
      </c>
      <c r="F8" s="142">
        <f t="shared" si="0"/>
        <v>18216.000000000004</v>
      </c>
      <c r="G8" s="141">
        <f t="shared" si="0"/>
        <v>20037.600000000006</v>
      </c>
      <c r="H8" s="141">
        <f t="shared" si="0"/>
        <v>22041.360000000004</v>
      </c>
      <c r="I8" s="141">
        <f t="shared" si="0"/>
        <v>24245.49600000001</v>
      </c>
      <c r="J8" s="141">
        <f t="shared" si="0"/>
        <v>26670.045600000012</v>
      </c>
      <c r="K8" s="141">
        <f t="shared" si="0"/>
        <v>29337.050160000013</v>
      </c>
      <c r="L8" s="141">
        <f t="shared" si="0"/>
        <v>32270.75517600002</v>
      </c>
    </row>
    <row r="9" spans="1:12" ht="25.5">
      <c r="A9" s="379" t="s">
        <v>107</v>
      </c>
      <c r="B9" s="243" t="s">
        <v>108</v>
      </c>
      <c r="C9" s="377" t="s">
        <v>109</v>
      </c>
      <c r="D9" s="378"/>
      <c r="E9" s="339"/>
      <c r="F9" s="335"/>
      <c r="G9" s="143"/>
      <c r="H9" s="122"/>
      <c r="I9" s="122"/>
      <c r="J9" s="120"/>
      <c r="K9" s="95"/>
      <c r="L9" s="122"/>
    </row>
    <row r="10" spans="1:12" ht="25.5">
      <c r="A10" s="380"/>
      <c r="B10" s="381" t="s">
        <v>242</v>
      </c>
      <c r="C10" s="382"/>
      <c r="D10" s="338" t="s">
        <v>203</v>
      </c>
      <c r="E10" s="337"/>
      <c r="F10" s="111"/>
      <c r="G10" s="116"/>
      <c r="H10" s="43"/>
      <c r="I10" s="43"/>
      <c r="J10" s="69"/>
      <c r="K10" s="42"/>
      <c r="L10" s="43"/>
    </row>
    <row r="11" spans="1:12" ht="12.75">
      <c r="A11" s="95" t="s">
        <v>202</v>
      </c>
      <c r="B11" s="122">
        <v>1</v>
      </c>
      <c r="C11" s="122">
        <v>600</v>
      </c>
      <c r="D11" s="368">
        <v>0.1</v>
      </c>
      <c r="E11" s="337">
        <f>+B11*C11*12</f>
        <v>7200</v>
      </c>
      <c r="F11" s="111">
        <f>+B11*C11*12*1.1</f>
        <v>7920.000000000001</v>
      </c>
      <c r="G11" s="116">
        <f aca="true" t="shared" si="1" ref="G11:L11">F11*1.1</f>
        <v>8712.000000000002</v>
      </c>
      <c r="H11" s="166">
        <f t="shared" si="1"/>
        <v>9583.200000000003</v>
      </c>
      <c r="I11" s="58">
        <f t="shared" si="1"/>
        <v>10541.520000000004</v>
      </c>
      <c r="J11" s="114">
        <f t="shared" si="1"/>
        <v>11595.672000000006</v>
      </c>
      <c r="K11" s="61">
        <f t="shared" si="1"/>
        <v>12755.239200000007</v>
      </c>
      <c r="L11" s="58">
        <f t="shared" si="1"/>
        <v>14030.763120000009</v>
      </c>
    </row>
    <row r="12" spans="1:12" ht="12.75">
      <c r="A12" s="42" t="s">
        <v>114</v>
      </c>
      <c r="B12" s="43">
        <v>1</v>
      </c>
      <c r="C12" s="43">
        <v>300</v>
      </c>
      <c r="D12" s="369"/>
      <c r="E12" s="337">
        <f>+B12*C12*12</f>
        <v>3600</v>
      </c>
      <c r="F12" s="111">
        <f>+B12*C12*12*1.1</f>
        <v>3960.0000000000005</v>
      </c>
      <c r="G12" s="116">
        <f>F12*1.1</f>
        <v>4356.000000000001</v>
      </c>
      <c r="H12" s="116">
        <f aca="true" t="shared" si="2" ref="H12:L13">G12*1.1</f>
        <v>4791.600000000001</v>
      </c>
      <c r="I12" s="116">
        <f t="shared" si="2"/>
        <v>5270.760000000002</v>
      </c>
      <c r="J12" s="111">
        <f t="shared" si="2"/>
        <v>5797.836000000003</v>
      </c>
      <c r="K12" s="116">
        <f t="shared" si="2"/>
        <v>6377.619600000004</v>
      </c>
      <c r="L12" s="112">
        <f t="shared" si="2"/>
        <v>7015.381560000004</v>
      </c>
    </row>
    <row r="13" spans="1:12" ht="12.75">
      <c r="A13" s="96" t="s">
        <v>112</v>
      </c>
      <c r="B13" s="90">
        <v>4</v>
      </c>
      <c r="C13" s="90">
        <v>120</v>
      </c>
      <c r="D13" s="370"/>
      <c r="E13" s="337">
        <f>+B13*C13*12</f>
        <v>5760</v>
      </c>
      <c r="F13" s="111">
        <f>+B13*C13*12*1.1</f>
        <v>6336.000000000001</v>
      </c>
      <c r="G13" s="116">
        <f>F13*1.1</f>
        <v>6969.600000000001</v>
      </c>
      <c r="H13" s="116">
        <f t="shared" si="2"/>
        <v>7666.560000000002</v>
      </c>
      <c r="I13" s="116">
        <f t="shared" si="2"/>
        <v>8433.216000000004</v>
      </c>
      <c r="J13" s="111">
        <f t="shared" si="2"/>
        <v>9276.537600000005</v>
      </c>
      <c r="K13" s="116">
        <f t="shared" si="2"/>
        <v>10204.191360000006</v>
      </c>
      <c r="L13" s="112">
        <f t="shared" si="2"/>
        <v>11224.610496000008</v>
      </c>
    </row>
    <row r="14" spans="1:12" ht="12.75">
      <c r="A14" s="89"/>
      <c r="B14" s="51"/>
      <c r="C14" s="51"/>
      <c r="D14" s="90"/>
      <c r="E14" s="51"/>
      <c r="F14" s="51"/>
      <c r="G14" s="51"/>
      <c r="H14" s="51"/>
      <c r="I14" s="51"/>
      <c r="J14" s="51"/>
      <c r="K14" s="51"/>
      <c r="L14" s="336"/>
    </row>
    <row r="15" spans="1:12" ht="12.75">
      <c r="A15" s="340" t="s">
        <v>110</v>
      </c>
      <c r="B15" s="100"/>
      <c r="C15" s="100"/>
      <c r="D15" s="50"/>
      <c r="E15" s="136">
        <f aca="true" t="shared" si="3" ref="E15:L15">SUM(E16:E24)</f>
        <v>795347.2871999999</v>
      </c>
      <c r="F15" s="136">
        <f t="shared" si="3"/>
        <v>795347.2871999999</v>
      </c>
      <c r="G15" s="137">
        <f t="shared" si="3"/>
        <v>795347.2871999999</v>
      </c>
      <c r="H15" s="137">
        <f t="shared" si="3"/>
        <v>795347.2871999999</v>
      </c>
      <c r="I15" s="137">
        <f t="shared" si="3"/>
        <v>795347.2871999999</v>
      </c>
      <c r="J15" s="137">
        <f t="shared" si="3"/>
        <v>795347.2871999999</v>
      </c>
      <c r="K15" s="137">
        <f t="shared" si="3"/>
        <v>795347.2871999999</v>
      </c>
      <c r="L15" s="137">
        <f t="shared" si="3"/>
        <v>795347.2871999999</v>
      </c>
    </row>
    <row r="16" spans="1:12" ht="12.75">
      <c r="A16" s="120" t="s">
        <v>134</v>
      </c>
      <c r="B16" s="121"/>
      <c r="C16" s="121"/>
      <c r="D16" s="122"/>
      <c r="E16" s="131">
        <f>('[2]Recuperado_Hoja1'!$H$77+'[2]Recuperado_Hoja1'!$H$134)*10*2.4</f>
        <v>24560.88</v>
      </c>
      <c r="F16" s="128">
        <f aca="true" t="shared" si="4" ref="F16:L16">E16</f>
        <v>24560.88</v>
      </c>
      <c r="G16" s="129">
        <f t="shared" si="4"/>
        <v>24560.88</v>
      </c>
      <c r="H16" s="165">
        <f t="shared" si="4"/>
        <v>24560.88</v>
      </c>
      <c r="I16" s="129">
        <f t="shared" si="4"/>
        <v>24560.88</v>
      </c>
      <c r="J16" s="129">
        <f t="shared" si="4"/>
        <v>24560.88</v>
      </c>
      <c r="K16" s="129">
        <f t="shared" si="4"/>
        <v>24560.88</v>
      </c>
      <c r="L16" s="129">
        <f t="shared" si="4"/>
        <v>24560.88</v>
      </c>
    </row>
    <row r="17" spans="1:12" ht="12.75">
      <c r="A17" s="69" t="s">
        <v>135</v>
      </c>
      <c r="B17" s="52"/>
      <c r="C17" s="185"/>
      <c r="D17" s="166"/>
      <c r="E17" s="113">
        <f>('[2]Recuperado_Hoja1'!$H$79+'[2]Recuperado_Hoja1'!$H$137)*2.4*2</f>
        <v>3169.296</v>
      </c>
      <c r="F17" s="71">
        <f aca="true" t="shared" si="5" ref="F17:L17">E17*1</f>
        <v>3169.296</v>
      </c>
      <c r="G17" s="117">
        <f t="shared" si="5"/>
        <v>3169.296</v>
      </c>
      <c r="H17" s="117">
        <f t="shared" si="5"/>
        <v>3169.296</v>
      </c>
      <c r="I17" s="117">
        <f t="shared" si="5"/>
        <v>3169.296</v>
      </c>
      <c r="J17" s="71">
        <f t="shared" si="5"/>
        <v>3169.296</v>
      </c>
      <c r="K17" s="117">
        <f t="shared" si="5"/>
        <v>3169.296</v>
      </c>
      <c r="L17" s="117">
        <f t="shared" si="5"/>
        <v>3169.296</v>
      </c>
    </row>
    <row r="18" spans="1:12" ht="12.75">
      <c r="A18" s="69" t="s">
        <v>136</v>
      </c>
      <c r="B18" s="52"/>
      <c r="C18" s="52"/>
      <c r="D18" s="43"/>
      <c r="E18" s="113">
        <f>('[2]Recuperado_Hoja1'!$H$118+'[2]Recuperado_Hoja1'!$H$71)*2.4*5</f>
        <v>169694.87999999998</v>
      </c>
      <c r="F18" s="71">
        <f aca="true" t="shared" si="6" ref="F18:L18">E18</f>
        <v>169694.87999999998</v>
      </c>
      <c r="G18" s="117">
        <f t="shared" si="6"/>
        <v>169694.87999999998</v>
      </c>
      <c r="H18" s="117">
        <f t="shared" si="6"/>
        <v>169694.87999999998</v>
      </c>
      <c r="I18" s="117">
        <f t="shared" si="6"/>
        <v>169694.87999999998</v>
      </c>
      <c r="J18" s="71">
        <f t="shared" si="6"/>
        <v>169694.87999999998</v>
      </c>
      <c r="K18" s="117">
        <f t="shared" si="6"/>
        <v>169694.87999999998</v>
      </c>
      <c r="L18" s="117">
        <f t="shared" si="6"/>
        <v>169694.87999999998</v>
      </c>
    </row>
    <row r="19" spans="1:12" ht="12.75">
      <c r="A19" s="69" t="s">
        <v>133</v>
      </c>
      <c r="B19" s="52"/>
      <c r="C19" s="185"/>
      <c r="D19" s="43"/>
      <c r="E19" s="113">
        <f>'[2]Recuperado_Hoja1'!$H$142*2.4*10</f>
        <v>3506.6399999999994</v>
      </c>
      <c r="F19" s="71">
        <f>E19*1</f>
        <v>3506.6399999999994</v>
      </c>
      <c r="G19" s="71">
        <f aca="true" t="shared" si="7" ref="G19:L19">F19*1</f>
        <v>3506.6399999999994</v>
      </c>
      <c r="H19" s="71">
        <f t="shared" si="7"/>
        <v>3506.6399999999994</v>
      </c>
      <c r="I19" s="71">
        <f t="shared" si="7"/>
        <v>3506.6399999999994</v>
      </c>
      <c r="J19" s="71">
        <f t="shared" si="7"/>
        <v>3506.6399999999994</v>
      </c>
      <c r="K19" s="117">
        <f t="shared" si="7"/>
        <v>3506.6399999999994</v>
      </c>
      <c r="L19" s="117">
        <f t="shared" si="7"/>
        <v>3506.6399999999994</v>
      </c>
    </row>
    <row r="20" spans="1:12" ht="12.75">
      <c r="A20" s="69" t="s">
        <v>137</v>
      </c>
      <c r="B20" s="52"/>
      <c r="C20" s="52"/>
      <c r="D20" s="43"/>
      <c r="E20" s="113">
        <f>('[2]Recuperado_Hoja1'!$H$83+'[2]Recuperado_Hoja1'!$H$145)*2.4*8.9</f>
        <v>107873.76720000002</v>
      </c>
      <c r="F20" s="71">
        <f>E20</f>
        <v>107873.76720000002</v>
      </c>
      <c r="G20" s="71">
        <f aca="true" t="shared" si="8" ref="G20:L20">F20</f>
        <v>107873.76720000002</v>
      </c>
      <c r="H20" s="71">
        <f t="shared" si="8"/>
        <v>107873.76720000002</v>
      </c>
      <c r="I20" s="71">
        <f t="shared" si="8"/>
        <v>107873.76720000002</v>
      </c>
      <c r="J20" s="71">
        <f t="shared" si="8"/>
        <v>107873.76720000002</v>
      </c>
      <c r="K20" s="117">
        <f t="shared" si="8"/>
        <v>107873.76720000002</v>
      </c>
      <c r="L20" s="117">
        <f t="shared" si="8"/>
        <v>107873.76720000002</v>
      </c>
    </row>
    <row r="21" spans="1:12" ht="12.75">
      <c r="A21" s="69" t="s">
        <v>138</v>
      </c>
      <c r="B21" s="52"/>
      <c r="C21" s="52"/>
      <c r="D21" s="43"/>
      <c r="E21" s="113">
        <f>('[2]Recuperado_Hoja1'!$H$153)*2.4*10</f>
        <v>1161.12</v>
      </c>
      <c r="F21" s="71">
        <f>E21</f>
        <v>1161.12</v>
      </c>
      <c r="G21" s="71">
        <f aca="true" t="shared" si="9" ref="G21:L21">F21</f>
        <v>1161.12</v>
      </c>
      <c r="H21" s="71">
        <f t="shared" si="9"/>
        <v>1161.12</v>
      </c>
      <c r="I21" s="71">
        <f t="shared" si="9"/>
        <v>1161.12</v>
      </c>
      <c r="J21" s="71">
        <f t="shared" si="9"/>
        <v>1161.12</v>
      </c>
      <c r="K21" s="117">
        <f t="shared" si="9"/>
        <v>1161.12</v>
      </c>
      <c r="L21" s="117">
        <f t="shared" si="9"/>
        <v>1161.12</v>
      </c>
    </row>
    <row r="22" spans="1:12" ht="12.75">
      <c r="A22" s="69" t="s">
        <v>139</v>
      </c>
      <c r="B22" s="52"/>
      <c r="C22" s="52"/>
      <c r="D22" s="43"/>
      <c r="E22" s="113">
        <f>('[2]Recuperado_Hoja1'!$H$86+'[2]Recuperado_Hoja1'!$H$155)*10*2.4</f>
        <v>39325.92</v>
      </c>
      <c r="F22" s="71">
        <f>E22</f>
        <v>39325.92</v>
      </c>
      <c r="G22" s="71">
        <f aca="true" t="shared" si="10" ref="G22:L22">F22</f>
        <v>39325.92</v>
      </c>
      <c r="H22" s="71">
        <f t="shared" si="10"/>
        <v>39325.92</v>
      </c>
      <c r="I22" s="71">
        <f t="shared" si="10"/>
        <v>39325.92</v>
      </c>
      <c r="J22" s="71">
        <f t="shared" si="10"/>
        <v>39325.92</v>
      </c>
      <c r="K22" s="117">
        <f t="shared" si="10"/>
        <v>39325.92</v>
      </c>
      <c r="L22" s="117">
        <f t="shared" si="10"/>
        <v>39325.92</v>
      </c>
    </row>
    <row r="23" spans="1:12" ht="12.75">
      <c r="A23" s="69" t="s">
        <v>140</v>
      </c>
      <c r="B23" s="52"/>
      <c r="C23" s="52"/>
      <c r="D23" s="43"/>
      <c r="E23" s="113">
        <f>('[2]Recuperado_Hoja1'!$H$89+'[2]Recuperado_Hoja1'!$H$160)*2.4*7</f>
        <v>424658.30399999995</v>
      </c>
      <c r="F23" s="71">
        <f>E23</f>
        <v>424658.30399999995</v>
      </c>
      <c r="G23" s="71">
        <f aca="true" t="shared" si="11" ref="G23:L23">F23</f>
        <v>424658.30399999995</v>
      </c>
      <c r="H23" s="71">
        <f t="shared" si="11"/>
        <v>424658.30399999995</v>
      </c>
      <c r="I23" s="71">
        <f t="shared" si="11"/>
        <v>424658.30399999995</v>
      </c>
      <c r="J23" s="71">
        <f t="shared" si="11"/>
        <v>424658.30399999995</v>
      </c>
      <c r="K23" s="117">
        <f t="shared" si="11"/>
        <v>424658.30399999995</v>
      </c>
      <c r="L23" s="117">
        <f t="shared" si="11"/>
        <v>424658.30399999995</v>
      </c>
    </row>
    <row r="24" spans="1:12" ht="12.75">
      <c r="A24" s="89" t="s">
        <v>141</v>
      </c>
      <c r="B24" s="51"/>
      <c r="C24" s="51"/>
      <c r="D24" s="90"/>
      <c r="E24" s="132">
        <f>('[2]Recuperado_Hoja1'!$H$92+'[2]Recuperado_Hoja1'!$H$164)*10*2.4</f>
        <v>21396.48</v>
      </c>
      <c r="F24" s="133">
        <f>E24</f>
        <v>21396.48</v>
      </c>
      <c r="G24" s="133">
        <f aca="true" t="shared" si="12" ref="G24:L24">F24</f>
        <v>21396.48</v>
      </c>
      <c r="H24" s="133">
        <f t="shared" si="12"/>
        <v>21396.48</v>
      </c>
      <c r="I24" s="133">
        <f t="shared" si="12"/>
        <v>21396.48</v>
      </c>
      <c r="J24" s="133">
        <f t="shared" si="12"/>
        <v>21396.48</v>
      </c>
      <c r="K24" s="94">
        <f t="shared" si="12"/>
        <v>21396.48</v>
      </c>
      <c r="L24" s="94">
        <f t="shared" si="12"/>
        <v>21396.48</v>
      </c>
    </row>
    <row r="25" spans="5:7" ht="12.75">
      <c r="E25" s="52"/>
      <c r="F25" s="52"/>
      <c r="G25" s="52"/>
    </row>
    <row r="26" spans="1:12" ht="12.75">
      <c r="A26" s="340" t="s">
        <v>111</v>
      </c>
      <c r="B26" s="100"/>
      <c r="C26" s="100"/>
      <c r="D26" s="50"/>
      <c r="E26" s="136">
        <f aca="true" t="shared" si="13" ref="E26:L26">SUM(E27:E30)</f>
        <v>158884.03</v>
      </c>
      <c r="F26" s="136">
        <f t="shared" si="13"/>
        <v>158884.03</v>
      </c>
      <c r="G26" s="137">
        <f t="shared" si="13"/>
        <v>158884.03</v>
      </c>
      <c r="H26" s="137">
        <f t="shared" si="13"/>
        <v>158884.03</v>
      </c>
      <c r="I26" s="137">
        <f t="shared" si="13"/>
        <v>158884.03</v>
      </c>
      <c r="J26" s="137">
        <f t="shared" si="13"/>
        <v>158884.03</v>
      </c>
      <c r="K26" s="137">
        <f t="shared" si="13"/>
        <v>158884.03</v>
      </c>
      <c r="L26" s="137">
        <f t="shared" si="13"/>
        <v>158884.03</v>
      </c>
    </row>
    <row r="27" spans="1:12" ht="12.75">
      <c r="A27" s="69" t="s">
        <v>126</v>
      </c>
      <c r="B27" s="52"/>
      <c r="C27" s="52"/>
      <c r="D27" s="43"/>
      <c r="E27" s="127">
        <v>129006.53</v>
      </c>
      <c r="F27" s="128">
        <f>E27</f>
        <v>129006.53</v>
      </c>
      <c r="G27" s="128">
        <f aca="true" t="shared" si="14" ref="G27:L27">F27</f>
        <v>129006.53</v>
      </c>
      <c r="H27" s="128">
        <f t="shared" si="14"/>
        <v>129006.53</v>
      </c>
      <c r="I27" s="128">
        <f t="shared" si="14"/>
        <v>129006.53</v>
      </c>
      <c r="J27" s="128">
        <f t="shared" si="14"/>
        <v>129006.53</v>
      </c>
      <c r="K27" s="128">
        <f t="shared" si="14"/>
        <v>129006.53</v>
      </c>
      <c r="L27" s="128">
        <f t="shared" si="14"/>
        <v>129006.53</v>
      </c>
    </row>
    <row r="28" spans="1:12" ht="12.75">
      <c r="A28" s="69" t="s">
        <v>142</v>
      </c>
      <c r="B28" s="52"/>
      <c r="C28" s="52"/>
      <c r="D28" s="43"/>
      <c r="E28" s="69">
        <f>'[2]Recuperado_Hoja1'!$H$170*10*2.4</f>
        <v>148.08</v>
      </c>
      <c r="F28" s="71">
        <f>E28</f>
        <v>148.08</v>
      </c>
      <c r="G28" s="71">
        <f aca="true" t="shared" si="15" ref="G28:L28">F28</f>
        <v>148.08</v>
      </c>
      <c r="H28" s="71">
        <f t="shared" si="15"/>
        <v>148.08</v>
      </c>
      <c r="I28" s="71">
        <f t="shared" si="15"/>
        <v>148.08</v>
      </c>
      <c r="J28" s="71">
        <f t="shared" si="15"/>
        <v>148.08</v>
      </c>
      <c r="K28" s="71">
        <f t="shared" si="15"/>
        <v>148.08</v>
      </c>
      <c r="L28" s="71">
        <f t="shared" si="15"/>
        <v>148.08</v>
      </c>
    </row>
    <row r="29" spans="1:12" ht="12.75">
      <c r="A29" s="69" t="s">
        <v>127</v>
      </c>
      <c r="B29" s="52"/>
      <c r="C29" s="52"/>
      <c r="D29" s="43"/>
      <c r="E29" s="113">
        <v>4355.9</v>
      </c>
      <c r="F29" s="71">
        <f>E29</f>
        <v>4355.9</v>
      </c>
      <c r="G29" s="71">
        <f aca="true" t="shared" si="16" ref="G29:L29">F29</f>
        <v>4355.9</v>
      </c>
      <c r="H29" s="71">
        <f t="shared" si="16"/>
        <v>4355.9</v>
      </c>
      <c r="I29" s="71">
        <f t="shared" si="16"/>
        <v>4355.9</v>
      </c>
      <c r="J29" s="71">
        <f t="shared" si="16"/>
        <v>4355.9</v>
      </c>
      <c r="K29" s="71">
        <f t="shared" si="16"/>
        <v>4355.9</v>
      </c>
      <c r="L29" s="71">
        <f t="shared" si="16"/>
        <v>4355.9</v>
      </c>
    </row>
    <row r="30" spans="1:12" ht="12.75">
      <c r="A30" s="89" t="s">
        <v>170</v>
      </c>
      <c r="B30" s="51"/>
      <c r="C30" s="51"/>
      <c r="D30" s="90"/>
      <c r="E30" s="124">
        <f>'[2]Recuperado_Hoja1'!$H$180*2.4*10</f>
        <v>25373.519999999997</v>
      </c>
      <c r="F30" s="130">
        <f>E30</f>
        <v>25373.519999999997</v>
      </c>
      <c r="G30" s="94">
        <f aca="true" t="shared" si="17" ref="G30:L30">F30*1</f>
        <v>25373.519999999997</v>
      </c>
      <c r="H30" s="94">
        <f t="shared" si="17"/>
        <v>25373.519999999997</v>
      </c>
      <c r="I30" s="94">
        <f t="shared" si="17"/>
        <v>25373.519999999997</v>
      </c>
      <c r="J30" s="94">
        <f t="shared" si="17"/>
        <v>25373.519999999997</v>
      </c>
      <c r="K30" s="94">
        <f t="shared" si="17"/>
        <v>25373.519999999997</v>
      </c>
      <c r="L30" s="94">
        <f t="shared" si="17"/>
        <v>25373.519999999997</v>
      </c>
    </row>
    <row r="31" spans="5:7" ht="12.75">
      <c r="E31" s="52"/>
      <c r="F31" s="52"/>
      <c r="G31" s="52"/>
    </row>
    <row r="32" spans="1:12" ht="12.75">
      <c r="A32" s="340" t="s">
        <v>128</v>
      </c>
      <c r="B32" s="100"/>
      <c r="C32" s="100"/>
      <c r="D32" s="50"/>
      <c r="E32" s="136">
        <f aca="true" t="shared" si="18" ref="E32:L32">SUM(E33:E36)</f>
        <v>598444.3096800001</v>
      </c>
      <c r="F32" s="136">
        <f t="shared" si="18"/>
        <v>598444.3096800001</v>
      </c>
      <c r="G32" s="137">
        <f t="shared" si="18"/>
        <v>598444.3096800001</v>
      </c>
      <c r="H32" s="137">
        <f t="shared" si="18"/>
        <v>598444.3096800001</v>
      </c>
      <c r="I32" s="137">
        <f t="shared" si="18"/>
        <v>598444.3096800001</v>
      </c>
      <c r="J32" s="137">
        <f t="shared" si="18"/>
        <v>598444.3096800001</v>
      </c>
      <c r="K32" s="137">
        <f t="shared" si="18"/>
        <v>598444.3096800001</v>
      </c>
      <c r="L32" s="137">
        <f t="shared" si="18"/>
        <v>598444.3096800001</v>
      </c>
    </row>
    <row r="33" spans="1:12" ht="12.75">
      <c r="A33" s="69" t="s">
        <v>129</v>
      </c>
      <c r="B33" s="52"/>
      <c r="C33" s="52"/>
      <c r="D33" s="43"/>
      <c r="E33" s="115">
        <f>('[2]Recuperado_Hoja1'!$H$71+'[2]Recuperado_Hoja1'!$H$119)*2.4*5.71</f>
        <v>487570.09368000005</v>
      </c>
      <c r="F33" s="115">
        <f aca="true" t="shared" si="19" ref="F33:L33">E33</f>
        <v>487570.09368000005</v>
      </c>
      <c r="G33" s="78">
        <f t="shared" si="19"/>
        <v>487570.09368000005</v>
      </c>
      <c r="H33" s="78">
        <f t="shared" si="19"/>
        <v>487570.09368000005</v>
      </c>
      <c r="I33" s="78">
        <f t="shared" si="19"/>
        <v>487570.09368000005</v>
      </c>
      <c r="J33" s="78">
        <f t="shared" si="19"/>
        <v>487570.09368000005</v>
      </c>
      <c r="K33" s="78">
        <f t="shared" si="19"/>
        <v>487570.09368000005</v>
      </c>
      <c r="L33" s="78">
        <f t="shared" si="19"/>
        <v>487570.09368000005</v>
      </c>
    </row>
    <row r="34" spans="1:12" ht="12.75">
      <c r="A34" s="69" t="s">
        <v>131</v>
      </c>
      <c r="B34" s="52"/>
      <c r="C34" s="52"/>
      <c r="D34" s="43"/>
      <c r="E34" s="69">
        <f>('[2]Recuperado_Hoja1'!$H$128)*2.4*10</f>
        <v>11870.4</v>
      </c>
      <c r="F34" s="69">
        <f>E34</f>
        <v>11870.4</v>
      </c>
      <c r="G34" s="69">
        <f aca="true" t="shared" si="20" ref="G34:L34">F34</f>
        <v>11870.4</v>
      </c>
      <c r="H34" s="69">
        <f t="shared" si="20"/>
        <v>11870.4</v>
      </c>
      <c r="I34" s="69">
        <f t="shared" si="20"/>
        <v>11870.4</v>
      </c>
      <c r="J34" s="69">
        <f t="shared" si="20"/>
        <v>11870.4</v>
      </c>
      <c r="K34" s="69">
        <f t="shared" si="20"/>
        <v>11870.4</v>
      </c>
      <c r="L34" s="69">
        <f t="shared" si="20"/>
        <v>11870.4</v>
      </c>
    </row>
    <row r="35" spans="1:12" ht="12.75">
      <c r="A35" s="69" t="s">
        <v>132</v>
      </c>
      <c r="B35" s="52"/>
      <c r="C35" s="52"/>
      <c r="D35" s="43"/>
      <c r="E35" s="114">
        <f>('[2]Recuperado_Hoja1'!$H$130+'[2]Recuperado_Hoja1'!$H$74)*2.4*3</f>
        <v>3598.6319999999996</v>
      </c>
      <c r="F35" s="114">
        <f aca="true" t="shared" si="21" ref="F35:L35">E35</f>
        <v>3598.6319999999996</v>
      </c>
      <c r="G35" s="61">
        <f t="shared" si="21"/>
        <v>3598.6319999999996</v>
      </c>
      <c r="H35" s="61">
        <f t="shared" si="21"/>
        <v>3598.6319999999996</v>
      </c>
      <c r="I35" s="61">
        <f t="shared" si="21"/>
        <v>3598.6319999999996</v>
      </c>
      <c r="J35" s="61">
        <f t="shared" si="21"/>
        <v>3598.6319999999996</v>
      </c>
      <c r="K35" s="61">
        <f t="shared" si="21"/>
        <v>3598.6319999999996</v>
      </c>
      <c r="L35" s="61">
        <f t="shared" si="21"/>
        <v>3598.6319999999996</v>
      </c>
    </row>
    <row r="36" spans="1:12" ht="12.75">
      <c r="A36" s="89" t="s">
        <v>130</v>
      </c>
      <c r="B36" s="51"/>
      <c r="C36" s="51"/>
      <c r="D36" s="90"/>
      <c r="E36" s="124">
        <f>('[2]Recuperado_Hoja1'!$H$70+'[2]Recuperado_Hoja1'!$H$118)*2.4*3</f>
        <v>95405.18399999998</v>
      </c>
      <c r="F36" s="124">
        <f>E36</f>
        <v>95405.18399999998</v>
      </c>
      <c r="G36" s="124">
        <f aca="true" t="shared" si="22" ref="G36:L36">F36</f>
        <v>95405.18399999998</v>
      </c>
      <c r="H36" s="124">
        <f t="shared" si="22"/>
        <v>95405.18399999998</v>
      </c>
      <c r="I36" s="124">
        <f t="shared" si="22"/>
        <v>95405.18399999998</v>
      </c>
      <c r="J36" s="124">
        <f t="shared" si="22"/>
        <v>95405.18399999998</v>
      </c>
      <c r="K36" s="124">
        <f t="shared" si="22"/>
        <v>95405.18399999998</v>
      </c>
      <c r="L36" s="124">
        <f t="shared" si="22"/>
        <v>95405.18399999998</v>
      </c>
    </row>
    <row r="37" spans="5:7" ht="12.75">
      <c r="E37" s="52"/>
      <c r="F37" s="52"/>
      <c r="G37" s="52"/>
    </row>
    <row r="38" spans="1:12" ht="12.75">
      <c r="A38" s="49" t="s">
        <v>144</v>
      </c>
      <c r="B38" s="100"/>
      <c r="C38" s="100"/>
      <c r="D38" s="50"/>
      <c r="E38" s="136">
        <f>('[2]Recuperado_Hoja1'!$H$200+'[2]Recuperado_Hoja1'!$H$110+'[2]Recuperado_Hoja1'!$H$64)*10.3*2.4</f>
        <v>425250.4968</v>
      </c>
      <c r="F38" s="136">
        <f aca="true" t="shared" si="23" ref="F38:L38">E38</f>
        <v>425250.4968</v>
      </c>
      <c r="G38" s="137">
        <f t="shared" si="23"/>
        <v>425250.4968</v>
      </c>
      <c r="H38" s="137">
        <f t="shared" si="23"/>
        <v>425250.4968</v>
      </c>
      <c r="I38" s="137">
        <f t="shared" si="23"/>
        <v>425250.4968</v>
      </c>
      <c r="J38" s="137">
        <f t="shared" si="23"/>
        <v>425250.4968</v>
      </c>
      <c r="K38" s="137">
        <f t="shared" si="23"/>
        <v>425250.4968</v>
      </c>
      <c r="L38" s="137">
        <f t="shared" si="23"/>
        <v>425250.4968</v>
      </c>
    </row>
    <row r="39" spans="5:12" ht="12.75">
      <c r="E39" s="52"/>
      <c r="F39" s="52"/>
      <c r="G39" s="52"/>
      <c r="H39" s="52"/>
      <c r="I39" s="52"/>
      <c r="J39" s="52"/>
      <c r="K39" s="52"/>
      <c r="L39" s="52"/>
    </row>
    <row r="40" spans="1:12" ht="12.75">
      <c r="A40" s="49" t="s">
        <v>145</v>
      </c>
      <c r="B40" s="100"/>
      <c r="C40" s="100"/>
      <c r="D40" s="100"/>
      <c r="E40" s="136">
        <f>('[2]Recuperado_Hoja1'!$H$209)*2.4*10</f>
        <v>8625.84</v>
      </c>
      <c r="F40" s="137">
        <f>E40</f>
        <v>8625.84</v>
      </c>
      <c r="G40" s="137">
        <f aca="true" t="shared" si="24" ref="G40:L40">F40</f>
        <v>8625.84</v>
      </c>
      <c r="H40" s="137">
        <f t="shared" si="24"/>
        <v>8625.84</v>
      </c>
      <c r="I40" s="137">
        <f t="shared" si="24"/>
        <v>8625.84</v>
      </c>
      <c r="J40" s="137">
        <f t="shared" si="24"/>
        <v>8625.84</v>
      </c>
      <c r="K40" s="137">
        <f t="shared" si="24"/>
        <v>8625.84</v>
      </c>
      <c r="L40" s="137">
        <f t="shared" si="24"/>
        <v>8625.84</v>
      </c>
    </row>
    <row r="41" spans="5:12" ht="12.75">
      <c r="E41" s="52"/>
      <c r="F41" s="52"/>
      <c r="G41" s="52"/>
      <c r="H41" s="52"/>
      <c r="I41" s="52"/>
      <c r="J41" s="52"/>
      <c r="K41" s="52"/>
      <c r="L41" s="52"/>
    </row>
    <row r="42" spans="1:12" ht="12.75">
      <c r="A42" s="49" t="s">
        <v>146</v>
      </c>
      <c r="B42" s="100"/>
      <c r="C42" s="100"/>
      <c r="D42" s="100"/>
      <c r="E42" s="136">
        <f>('[2]Recuperado_Hoja1'!$H$58+'[2]Recuperado_Hoja1'!$H$104+'[2]Recuperado_Hoja1'!$H$193)*10.3*2.4</f>
        <v>208465.49039999998</v>
      </c>
      <c r="F42" s="137">
        <f aca="true" t="shared" si="25" ref="F42:L42">E42</f>
        <v>208465.49039999998</v>
      </c>
      <c r="G42" s="138">
        <f t="shared" si="25"/>
        <v>208465.49039999998</v>
      </c>
      <c r="H42" s="138">
        <f t="shared" si="25"/>
        <v>208465.49039999998</v>
      </c>
      <c r="I42" s="138">
        <f t="shared" si="25"/>
        <v>208465.49039999998</v>
      </c>
      <c r="J42" s="138">
        <f t="shared" si="25"/>
        <v>208465.49039999998</v>
      </c>
      <c r="K42" s="138">
        <f t="shared" si="25"/>
        <v>208465.49039999998</v>
      </c>
      <c r="L42" s="138">
        <f t="shared" si="25"/>
        <v>208465.49039999998</v>
      </c>
    </row>
    <row r="43" spans="4:12" ht="12.75">
      <c r="D43" s="100"/>
      <c r="E43" s="100"/>
      <c r="F43" s="100"/>
      <c r="G43" s="100"/>
      <c r="H43" s="100"/>
      <c r="I43" s="100"/>
      <c r="J43" s="100"/>
      <c r="K43" s="100"/>
      <c r="L43" s="100"/>
    </row>
    <row r="44" spans="4:12" ht="12.75">
      <c r="D44" s="49" t="s">
        <v>199</v>
      </c>
      <c r="E44" s="134">
        <f aca="true" t="shared" si="26" ref="E44:L44">E8+E15+E26+E32+E38+E40+E42</f>
        <v>2211577.45408</v>
      </c>
      <c r="F44" s="135">
        <f t="shared" si="26"/>
        <v>2213233.45408</v>
      </c>
      <c r="G44" s="126">
        <f t="shared" si="26"/>
        <v>2215055.05408</v>
      </c>
      <c r="H44" s="126">
        <f t="shared" si="26"/>
        <v>2217058.81408</v>
      </c>
      <c r="I44" s="126">
        <f t="shared" si="26"/>
        <v>2219262.9500800003</v>
      </c>
      <c r="J44" s="126">
        <f t="shared" si="26"/>
        <v>2221687.4996800004</v>
      </c>
      <c r="K44" s="126">
        <f t="shared" si="26"/>
        <v>2224354.50424</v>
      </c>
      <c r="L44" s="126">
        <f t="shared" si="26"/>
        <v>2227288.2092560004</v>
      </c>
    </row>
    <row r="45" spans="5:12" ht="12.75">
      <c r="E45" s="52"/>
      <c r="F45" s="52"/>
      <c r="G45" s="52"/>
      <c r="H45" s="52"/>
      <c r="I45" s="52"/>
      <c r="J45" s="52"/>
      <c r="K45" s="52"/>
      <c r="L45" s="52"/>
    </row>
    <row r="46" spans="1:12" ht="12.75">
      <c r="A46" s="49" t="s">
        <v>200</v>
      </c>
      <c r="B46" s="100"/>
      <c r="C46" s="100"/>
      <c r="D46" s="100"/>
      <c r="E46" s="44">
        <f aca="true" t="shared" si="27" ref="E46:L46">E44*0.2</f>
        <v>442315.49081600003</v>
      </c>
      <c r="F46" s="44">
        <f t="shared" si="27"/>
        <v>442646.69081600005</v>
      </c>
      <c r="G46" s="45">
        <f t="shared" si="27"/>
        <v>443011.01081600005</v>
      </c>
      <c r="H46" s="45">
        <f t="shared" si="27"/>
        <v>443411.76281600003</v>
      </c>
      <c r="I46" s="45">
        <f t="shared" si="27"/>
        <v>443852.5900160001</v>
      </c>
      <c r="J46" s="45">
        <f t="shared" si="27"/>
        <v>444337.4999360001</v>
      </c>
      <c r="K46" s="45">
        <f t="shared" si="27"/>
        <v>444870.9008480001</v>
      </c>
      <c r="L46" s="45">
        <f t="shared" si="27"/>
        <v>445457.6418512001</v>
      </c>
    </row>
    <row r="47" spans="5:12" ht="12.75">
      <c r="E47" s="52"/>
      <c r="F47" s="52"/>
      <c r="G47" s="52"/>
      <c r="H47" s="52"/>
      <c r="I47" s="52"/>
      <c r="J47" s="52"/>
      <c r="K47" s="52"/>
      <c r="L47" s="52"/>
    </row>
    <row r="48" spans="1:12" ht="15.75">
      <c r="A48" s="123" t="s">
        <v>143</v>
      </c>
      <c r="B48" s="100"/>
      <c r="C48" s="100"/>
      <c r="D48" s="50"/>
      <c r="E48" s="139">
        <f aca="true" t="shared" si="28" ref="E48:L48">E44+E46</f>
        <v>2653892.944896</v>
      </c>
      <c r="F48" s="139">
        <f t="shared" si="28"/>
        <v>2655880.144896</v>
      </c>
      <c r="G48" s="140">
        <f t="shared" si="28"/>
        <v>2658066.064896</v>
      </c>
      <c r="H48" s="140">
        <f t="shared" si="28"/>
        <v>2660470.5768959997</v>
      </c>
      <c r="I48" s="140">
        <f t="shared" si="28"/>
        <v>2663115.5400960003</v>
      </c>
      <c r="J48" s="140">
        <f t="shared" si="28"/>
        <v>2666024.9996160003</v>
      </c>
      <c r="K48" s="140">
        <f t="shared" si="28"/>
        <v>2669225.405088</v>
      </c>
      <c r="L48" s="140">
        <f t="shared" si="28"/>
        <v>2672745.8511072006</v>
      </c>
    </row>
  </sheetData>
  <mergeCells count="9">
    <mergeCell ref="A3:L3"/>
    <mergeCell ref="A4:L4"/>
    <mergeCell ref="A5:L5"/>
    <mergeCell ref="D11:D13"/>
    <mergeCell ref="A8:D8"/>
    <mergeCell ref="A7:D7"/>
    <mergeCell ref="C9:D9"/>
    <mergeCell ref="A9:A10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landscape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70" zoomScaleNormal="70" workbookViewId="0" topLeftCell="A1">
      <selection activeCell="I28" sqref="I28"/>
    </sheetView>
  </sheetViews>
  <sheetFormatPr defaultColWidth="11.421875" defaultRowHeight="12.75"/>
  <cols>
    <col min="1" max="1" width="37.421875" style="0" bestFit="1" customWidth="1"/>
    <col min="2" max="3" width="15.8515625" style="0" bestFit="1" customWidth="1"/>
    <col min="4" max="4" width="15.421875" style="0" bestFit="1" customWidth="1"/>
    <col min="5" max="5" width="15.57421875" style="0" customWidth="1"/>
    <col min="6" max="7" width="15.8515625" style="0" bestFit="1" customWidth="1"/>
    <col min="8" max="8" width="15.421875" style="0" bestFit="1" customWidth="1"/>
    <col min="9" max="9" width="15.8515625" style="0" bestFit="1" customWidth="1"/>
    <col min="10" max="10" width="15.421875" style="0" bestFit="1" customWidth="1"/>
    <col min="11" max="13" width="15.00390625" style="0" bestFit="1" customWidth="1"/>
    <col min="14" max="14" width="15.421875" style="0" bestFit="1" customWidth="1"/>
    <col min="15" max="17" width="15.00390625" style="0" bestFit="1" customWidth="1"/>
  </cols>
  <sheetData>
    <row r="1" ht="20.25">
      <c r="A1" s="289" t="s">
        <v>312</v>
      </c>
    </row>
    <row r="3" spans="1:17" ht="18">
      <c r="A3" s="366" t="s">
        <v>173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</row>
    <row r="4" spans="1:17" ht="12.75">
      <c r="A4" s="367" t="s">
        <v>309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2.75">
      <c r="A5" s="367" t="s">
        <v>208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1:17" ht="12.75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</row>
    <row r="7" spans="1:17" ht="12.75">
      <c r="A7" s="383" t="s">
        <v>148</v>
      </c>
      <c r="B7" s="385" t="s">
        <v>174</v>
      </c>
      <c r="C7" s="351"/>
      <c r="D7" s="351"/>
      <c r="E7" s="351"/>
      <c r="F7" s="351"/>
      <c r="G7" s="351"/>
      <c r="H7" s="351"/>
      <c r="I7" s="352"/>
      <c r="J7" s="385" t="s">
        <v>175</v>
      </c>
      <c r="K7" s="351"/>
      <c r="L7" s="351"/>
      <c r="M7" s="351"/>
      <c r="N7" s="351"/>
      <c r="O7" s="351"/>
      <c r="P7" s="351"/>
      <c r="Q7" s="352"/>
    </row>
    <row r="8" spans="1:17" ht="12.75">
      <c r="A8" s="384"/>
      <c r="B8" s="68">
        <v>2006</v>
      </c>
      <c r="C8" s="167">
        <v>2007</v>
      </c>
      <c r="D8" s="63">
        <v>2008</v>
      </c>
      <c r="E8" s="167">
        <v>2009</v>
      </c>
      <c r="F8" s="63">
        <v>2010</v>
      </c>
      <c r="G8" s="167">
        <v>2011</v>
      </c>
      <c r="H8" s="63">
        <v>2012</v>
      </c>
      <c r="I8" s="167">
        <v>2013</v>
      </c>
      <c r="J8" s="54">
        <v>2006</v>
      </c>
      <c r="K8" s="167">
        <v>2007</v>
      </c>
      <c r="L8" s="63">
        <v>2008</v>
      </c>
      <c r="M8" s="167">
        <v>2009</v>
      </c>
      <c r="N8" s="167">
        <v>2010</v>
      </c>
      <c r="O8" s="189">
        <v>2011</v>
      </c>
      <c r="P8" s="189">
        <v>2012</v>
      </c>
      <c r="Q8" s="189">
        <v>2013</v>
      </c>
    </row>
    <row r="9" spans="1:17" ht="12.75">
      <c r="A9" s="69" t="s">
        <v>176</v>
      </c>
      <c r="B9" s="69"/>
      <c r="C9" s="42"/>
      <c r="D9" s="43"/>
      <c r="E9" s="43"/>
      <c r="F9" s="43"/>
      <c r="G9" s="52"/>
      <c r="H9" s="95"/>
      <c r="I9" s="95"/>
      <c r="J9" s="64">
        <f>'Costos Prod'!E8</f>
        <v>2852932.82</v>
      </c>
      <c r="K9" s="168">
        <f>'Costos Prod'!F8</f>
        <v>2852932.823</v>
      </c>
      <c r="L9" s="46">
        <f>'Costos Prod'!G8</f>
        <v>2852932.823</v>
      </c>
      <c r="M9" s="46">
        <f>'Costos Prod'!H8</f>
        <v>2852932.823</v>
      </c>
      <c r="N9" s="46">
        <f>'Costos Prod'!I8</f>
        <v>2852932.823</v>
      </c>
      <c r="O9" s="190">
        <f>'Costos Prod'!J8</f>
        <v>2852932.823</v>
      </c>
      <c r="P9" s="191">
        <f>'Costos Prod'!K8</f>
        <v>2852932.823</v>
      </c>
      <c r="Q9" s="191">
        <f>'Costos Prod'!L8</f>
        <v>2852932.823</v>
      </c>
    </row>
    <row r="10" spans="1:17" ht="12.75">
      <c r="A10" s="69" t="s">
        <v>177</v>
      </c>
      <c r="B10" s="70">
        <f>'Costos Prod'!E13</f>
        <v>1017600</v>
      </c>
      <c r="C10" s="168">
        <f>'Costos Prod'!F13</f>
        <v>1017600</v>
      </c>
      <c r="D10" s="46">
        <f>'Costos Prod'!G13</f>
        <v>1119360</v>
      </c>
      <c r="E10" s="46">
        <f>'Costos Prod'!H13</f>
        <v>1119360</v>
      </c>
      <c r="F10" s="46">
        <f>'Costos Prod'!I13</f>
        <v>1231296.0000000002</v>
      </c>
      <c r="G10" s="46">
        <f>'Costos Prod'!J13</f>
        <v>1231296.0000000002</v>
      </c>
      <c r="H10" s="46">
        <f>'Costos Prod'!K13</f>
        <v>1354425.6000000003</v>
      </c>
      <c r="I10" s="46">
        <f>'Costos Prod'!L13</f>
        <v>1354425.6000000003</v>
      </c>
      <c r="J10" s="52"/>
      <c r="K10" s="42"/>
      <c r="L10" s="43"/>
      <c r="M10" s="43"/>
      <c r="N10" s="43"/>
      <c r="O10" s="42"/>
      <c r="P10" s="43"/>
      <c r="Q10" s="43"/>
    </row>
    <row r="11" spans="1:17" ht="12.75">
      <c r="A11" s="69" t="s">
        <v>178</v>
      </c>
      <c r="B11" s="69"/>
      <c r="C11" s="42"/>
      <c r="D11" s="43"/>
      <c r="E11" s="43"/>
      <c r="F11" s="43"/>
      <c r="G11" s="43"/>
      <c r="H11" s="43"/>
      <c r="I11" s="43"/>
      <c r="J11" s="52"/>
      <c r="K11" s="42"/>
      <c r="L11" s="43"/>
      <c r="M11" s="43"/>
      <c r="N11" s="43"/>
      <c r="O11" s="42"/>
      <c r="P11" s="43"/>
      <c r="Q11" s="43"/>
    </row>
    <row r="12" spans="1:17" ht="12.75">
      <c r="A12" s="69" t="s">
        <v>179</v>
      </c>
      <c r="B12" s="69">
        <f>'Carga Fabril'!E8</f>
        <v>16560</v>
      </c>
      <c r="C12" s="42">
        <f>'Carga Fabril'!F8</f>
        <v>18216.000000000004</v>
      </c>
      <c r="D12" s="43">
        <f>'Carga Fabril'!G8</f>
        <v>20037.600000000006</v>
      </c>
      <c r="E12" s="43">
        <f>'Carga Fabril'!H8</f>
        <v>22041.360000000004</v>
      </c>
      <c r="F12" s="43">
        <f>'Carga Fabril'!I8</f>
        <v>24245.49600000001</v>
      </c>
      <c r="G12" s="43">
        <f>'Carga Fabril'!J8</f>
        <v>26670.045600000012</v>
      </c>
      <c r="H12" s="43">
        <f>'Carga Fabril'!K8</f>
        <v>29337.050160000013</v>
      </c>
      <c r="I12" s="43">
        <f>'Carga Fabril'!L8</f>
        <v>32270.75517600002</v>
      </c>
      <c r="J12" s="52"/>
      <c r="K12" s="42"/>
      <c r="L12" s="43"/>
      <c r="M12" s="43"/>
      <c r="N12" s="43"/>
      <c r="O12" s="42"/>
      <c r="P12" s="43"/>
      <c r="Q12" s="43"/>
    </row>
    <row r="13" spans="1:17" ht="12.75">
      <c r="A13" s="69" t="s">
        <v>180</v>
      </c>
      <c r="B13" s="69"/>
      <c r="C13" s="42"/>
      <c r="D13" s="43"/>
      <c r="E13" s="43"/>
      <c r="F13" s="43"/>
      <c r="G13" s="43"/>
      <c r="H13" s="43"/>
      <c r="I13" s="43"/>
      <c r="J13" s="67">
        <f>'Carga Fabril'!E15</f>
        <v>795347.2871999999</v>
      </c>
      <c r="K13" s="169">
        <f>'Carga Fabril'!F15</f>
        <v>795347.2871999999</v>
      </c>
      <c r="L13" s="47">
        <f>'Carga Fabril'!G15</f>
        <v>795347.2871999999</v>
      </c>
      <c r="M13" s="47">
        <f>'Carga Fabril'!H15</f>
        <v>795347.2871999999</v>
      </c>
      <c r="N13" s="47">
        <f>'Carga Fabril'!I15</f>
        <v>795347.2871999999</v>
      </c>
      <c r="O13" s="169">
        <f>'Carga Fabril'!J15</f>
        <v>795347.2871999999</v>
      </c>
      <c r="P13" s="47">
        <f>'Carga Fabril'!K15</f>
        <v>795347.2871999999</v>
      </c>
      <c r="Q13" s="47">
        <f>'Carga Fabril'!L15</f>
        <v>795347.2871999999</v>
      </c>
    </row>
    <row r="14" spans="1:17" ht="12.75">
      <c r="A14" s="69" t="s">
        <v>181</v>
      </c>
      <c r="B14" s="71">
        <f>0.1*'Carga Fabril'!E26</f>
        <v>15888.403</v>
      </c>
      <c r="C14" s="117">
        <f>0.1*'Carga Fabril'!F26</f>
        <v>15888.403</v>
      </c>
      <c r="D14" s="66">
        <f>0.1*'Carga Fabril'!G26</f>
        <v>15888.403</v>
      </c>
      <c r="E14" s="66">
        <f>0.1*'Carga Fabril'!H26</f>
        <v>15888.403</v>
      </c>
      <c r="F14" s="66">
        <f>0.1*'Carga Fabril'!I26</f>
        <v>15888.403</v>
      </c>
      <c r="G14" s="66">
        <f>0.1*'Carga Fabril'!J26</f>
        <v>15888.403</v>
      </c>
      <c r="H14" s="66">
        <f>0.1*'Carga Fabril'!K26</f>
        <v>15888.403</v>
      </c>
      <c r="I14" s="66">
        <f>0.1*'Carga Fabril'!L26</f>
        <v>15888.403</v>
      </c>
      <c r="J14" s="65">
        <f>0.9*'Carga Fabril'!E26</f>
        <v>142995.627</v>
      </c>
      <c r="K14" s="117">
        <f>0.9*'Carga Fabril'!F26</f>
        <v>142995.627</v>
      </c>
      <c r="L14" s="66">
        <f>0.9*'Carga Fabril'!G26</f>
        <v>142995.627</v>
      </c>
      <c r="M14" s="66">
        <f>0.9*'Carga Fabril'!H26</f>
        <v>142995.627</v>
      </c>
      <c r="N14" s="66">
        <f>0.9*'Carga Fabril'!I26</f>
        <v>142995.627</v>
      </c>
      <c r="O14" s="117">
        <f>0.9*'Carga Fabril'!J26</f>
        <v>142995.627</v>
      </c>
      <c r="P14" s="66">
        <f>0.9*'Carga Fabril'!K26</f>
        <v>142995.627</v>
      </c>
      <c r="Q14" s="66">
        <f>0.9*'Carga Fabril'!L26</f>
        <v>142995.627</v>
      </c>
    </row>
    <row r="15" spans="1:17" ht="12.75">
      <c r="A15" s="69" t="s">
        <v>182</v>
      </c>
      <c r="B15" s="72">
        <f>'Carga Fabril'!E32</f>
        <v>598444.3096800001</v>
      </c>
      <c r="C15" s="169">
        <f>'Carga Fabril'!F32</f>
        <v>598444.3096800001</v>
      </c>
      <c r="D15" s="47">
        <f>'Carga Fabril'!G32</f>
        <v>598444.3096800001</v>
      </c>
      <c r="E15" s="47">
        <f>'Carga Fabril'!H32</f>
        <v>598444.3096800001</v>
      </c>
      <c r="F15" s="47">
        <f>'Carga Fabril'!I32</f>
        <v>598444.3096800001</v>
      </c>
      <c r="G15" s="47">
        <f>'Carga Fabril'!J32</f>
        <v>598444.3096800001</v>
      </c>
      <c r="H15" s="47">
        <f>'Carga Fabril'!K32</f>
        <v>598444.3096800001</v>
      </c>
      <c r="I15" s="47">
        <f>'Carga Fabril'!L32</f>
        <v>598444.3096800001</v>
      </c>
      <c r="J15" s="52"/>
      <c r="K15" s="42"/>
      <c r="L15" s="43"/>
      <c r="M15" s="43"/>
      <c r="N15" s="43"/>
      <c r="O15" s="42"/>
      <c r="P15" s="43"/>
      <c r="Q15" s="43"/>
    </row>
    <row r="16" spans="1:17" ht="12.75">
      <c r="A16" s="69" t="s">
        <v>188</v>
      </c>
      <c r="B16" s="72">
        <f>'Carga Fabril'!E38</f>
        <v>425250.4968</v>
      </c>
      <c r="C16" s="169">
        <f>'Carga Fabril'!F38</f>
        <v>425250.4968</v>
      </c>
      <c r="D16" s="47">
        <f>'Carga Fabril'!G38</f>
        <v>425250.4968</v>
      </c>
      <c r="E16" s="47">
        <f>'Carga Fabril'!H38</f>
        <v>425250.4968</v>
      </c>
      <c r="F16" s="47">
        <f>'Carga Fabril'!I38</f>
        <v>425250.4968</v>
      </c>
      <c r="G16" s="47">
        <f>'Carga Fabril'!J38</f>
        <v>425250.4968</v>
      </c>
      <c r="H16" s="47">
        <f>'Carga Fabril'!K38</f>
        <v>425250.4968</v>
      </c>
      <c r="I16" s="47">
        <f>'Carga Fabril'!L38</f>
        <v>425250.4968</v>
      </c>
      <c r="J16" s="52"/>
      <c r="K16" s="42"/>
      <c r="L16" s="43"/>
      <c r="M16" s="43"/>
      <c r="N16" s="43"/>
      <c r="O16" s="42"/>
      <c r="P16" s="43"/>
      <c r="Q16" s="43"/>
    </row>
    <row r="17" spans="1:17" ht="12.75">
      <c r="A17" s="69" t="s">
        <v>183</v>
      </c>
      <c r="B17" s="72">
        <f>'Carga Fabril'!E40</f>
        <v>8625.84</v>
      </c>
      <c r="C17" s="169">
        <f>'Carga Fabril'!F40</f>
        <v>8625.84</v>
      </c>
      <c r="D17" s="47">
        <f>'Carga Fabril'!G40</f>
        <v>8625.84</v>
      </c>
      <c r="E17" s="47">
        <f>'Carga Fabril'!H40</f>
        <v>8625.84</v>
      </c>
      <c r="F17" s="47">
        <f>'Carga Fabril'!I40</f>
        <v>8625.84</v>
      </c>
      <c r="G17" s="47">
        <f>'Carga Fabril'!J40</f>
        <v>8625.84</v>
      </c>
      <c r="H17" s="47">
        <f>'Carga Fabril'!K40</f>
        <v>8625.84</v>
      </c>
      <c r="I17" s="47">
        <f>'Carga Fabril'!L40</f>
        <v>8625.84</v>
      </c>
      <c r="J17" s="52"/>
      <c r="K17" s="42"/>
      <c r="L17" s="43"/>
      <c r="M17" s="43"/>
      <c r="N17" s="43"/>
      <c r="O17" s="42"/>
      <c r="P17" s="43"/>
      <c r="Q17" s="43"/>
    </row>
    <row r="18" spans="1:17" ht="12.75">
      <c r="A18" s="69" t="s">
        <v>189</v>
      </c>
      <c r="B18" s="72">
        <f>'Carga Fabril'!E42</f>
        <v>208465.49039999998</v>
      </c>
      <c r="C18" s="169">
        <f>'Carga Fabril'!F42</f>
        <v>208465.49039999998</v>
      </c>
      <c r="D18" s="47">
        <f>'Carga Fabril'!G42</f>
        <v>208465.49039999998</v>
      </c>
      <c r="E18" s="47">
        <f>'Carga Fabril'!H42</f>
        <v>208465.49039999998</v>
      </c>
      <c r="F18" s="47">
        <f>'Carga Fabril'!I42</f>
        <v>208465.49039999998</v>
      </c>
      <c r="G18" s="47">
        <f>'Carga Fabril'!J42</f>
        <v>208465.49039999998</v>
      </c>
      <c r="H18" s="47">
        <f>'Carga Fabril'!K42</f>
        <v>208465.49039999998</v>
      </c>
      <c r="I18" s="47">
        <f>'Carga Fabril'!L42</f>
        <v>208465.49039999998</v>
      </c>
      <c r="J18" s="52"/>
      <c r="K18" s="42"/>
      <c r="L18" s="43"/>
      <c r="M18" s="43"/>
      <c r="N18" s="43"/>
      <c r="O18" s="42"/>
      <c r="P18" s="43"/>
      <c r="Q18" s="43"/>
    </row>
    <row r="19" spans="1:17" ht="12.75">
      <c r="A19" s="69" t="s">
        <v>184</v>
      </c>
      <c r="B19" s="69"/>
      <c r="C19" s="42"/>
      <c r="D19" s="43"/>
      <c r="E19" s="43"/>
      <c r="F19" s="43"/>
      <c r="G19" s="43"/>
      <c r="H19" s="43"/>
      <c r="I19" s="43"/>
      <c r="J19" s="64">
        <f>'Gto Adm'!E32+'Gto Vts'!E16+'Carga Fabril'!E46</f>
        <v>478164.77081600006</v>
      </c>
      <c r="K19" s="168">
        <f>'Gto Adm'!F32+'Gto Vts'!F16+'Carga Fabril'!F46</f>
        <v>479095.970816</v>
      </c>
      <c r="L19" s="46">
        <f>'Gto Adm'!G32+'Gto Vts'!G16+'Carga Fabril'!G46</f>
        <v>482952.2908160001</v>
      </c>
      <c r="M19" s="46">
        <f>'Gto Adm'!H32+'Gto Vts'!H16+'Carga Fabril'!H46</f>
        <v>484079.04281600006</v>
      </c>
      <c r="N19" s="46">
        <f>'Gto Adm'!I32+'Gto Vts'!I16+'Carga Fabril'!I46</f>
        <v>488433.6700160001</v>
      </c>
      <c r="O19" s="168">
        <f>'Gto Adm'!J32+'Gto Vts'!J16+'Carga Fabril'!J46</f>
        <v>489797.03993600013</v>
      </c>
      <c r="P19" s="46">
        <f>'Gto Adm'!K32+'Gto Vts'!K16+'Carga Fabril'!K46</f>
        <v>494723.46684800007</v>
      </c>
      <c r="Q19" s="46">
        <f>'Gto Adm'!L32+'Gto Vts'!L16+'Carga Fabril'!L46</f>
        <v>496373.1444512001</v>
      </c>
    </row>
    <row r="20" spans="1:17" ht="12.75">
      <c r="A20" s="69" t="s">
        <v>185</v>
      </c>
      <c r="B20" s="72">
        <f>'Gto Vts'!E8</f>
        <v>30000</v>
      </c>
      <c r="C20" s="169">
        <f>'Gto Vts'!F8</f>
        <v>33000.00000000001</v>
      </c>
      <c r="D20" s="47">
        <f>'Gto Vts'!G8</f>
        <v>36300.00000000001</v>
      </c>
      <c r="E20" s="47">
        <f>'Gto Vts'!H8</f>
        <v>39930.000000000015</v>
      </c>
      <c r="F20" s="47">
        <f>'Gto Vts'!I8</f>
        <v>43923.00000000002</v>
      </c>
      <c r="G20" s="47">
        <f>'Gto Vts'!J8</f>
        <v>48315.300000000025</v>
      </c>
      <c r="H20" s="47">
        <f>'Gto Vts'!K8</f>
        <v>53146.83000000003</v>
      </c>
      <c r="I20" s="47">
        <f>'Gto Vts'!L8</f>
        <v>58461.513000000035</v>
      </c>
      <c r="J20" s="52"/>
      <c r="K20" s="42"/>
      <c r="L20" s="43"/>
      <c r="M20" s="43"/>
      <c r="N20" s="43"/>
      <c r="O20" s="42"/>
      <c r="P20" s="43"/>
      <c r="Q20" s="43"/>
    </row>
    <row r="21" spans="1:17" ht="12.75">
      <c r="A21" s="69" t="s">
        <v>186</v>
      </c>
      <c r="B21" s="70">
        <f>'Gto Adm'!E8</f>
        <v>179095.68</v>
      </c>
      <c r="C21" s="168">
        <f>'Gto Adm'!F8</f>
        <v>179095.68</v>
      </c>
      <c r="D21" s="46">
        <f>'Gto Adm'!G8</f>
        <v>196087.68</v>
      </c>
      <c r="E21" s="46">
        <f>'Gto Adm'!H8</f>
        <v>196087.68</v>
      </c>
      <c r="F21" s="46">
        <f>'Gto Adm'!I8</f>
        <v>214778.88000000003</v>
      </c>
      <c r="G21" s="46">
        <f>'Gto Adm'!J8</f>
        <v>214778.88000000003</v>
      </c>
      <c r="H21" s="46">
        <f>'Gto Adm'!K8</f>
        <v>235339.20000000007</v>
      </c>
      <c r="I21" s="46">
        <f>'Gto Adm'!L8</f>
        <v>235339.20000000007</v>
      </c>
      <c r="J21" s="52"/>
      <c r="K21" s="42"/>
      <c r="L21" s="43"/>
      <c r="M21" s="43"/>
      <c r="N21" s="43"/>
      <c r="O21" s="96"/>
      <c r="P21" s="90"/>
      <c r="Q21" s="90"/>
    </row>
    <row r="22" spans="1:17" ht="15.75">
      <c r="A22" s="101" t="s">
        <v>187</v>
      </c>
      <c r="B22" s="159">
        <f aca="true" t="shared" si="0" ref="B22:Q22">SUM(B10:B21)</f>
        <v>2499930.21988</v>
      </c>
      <c r="C22" s="170">
        <f t="shared" si="0"/>
        <v>2504586.21988</v>
      </c>
      <c r="D22" s="161">
        <f t="shared" si="0"/>
        <v>2628459.81988</v>
      </c>
      <c r="E22" s="161">
        <f t="shared" si="0"/>
        <v>2634093.57988</v>
      </c>
      <c r="F22" s="161">
        <f t="shared" si="0"/>
        <v>2770917.9158799998</v>
      </c>
      <c r="G22" s="161">
        <f t="shared" si="0"/>
        <v>2777734.7654799996</v>
      </c>
      <c r="H22" s="161">
        <f t="shared" si="0"/>
        <v>2928923.2200400005</v>
      </c>
      <c r="I22" s="161">
        <f t="shared" si="0"/>
        <v>2937171.6080560004</v>
      </c>
      <c r="J22" s="160">
        <f t="shared" si="0"/>
        <v>1416507.685016</v>
      </c>
      <c r="K22" s="170">
        <f t="shared" si="0"/>
        <v>1417438.885016</v>
      </c>
      <c r="L22" s="161">
        <f t="shared" si="0"/>
        <v>1421295.205016</v>
      </c>
      <c r="M22" s="161">
        <f t="shared" si="0"/>
        <v>1422421.957016</v>
      </c>
      <c r="N22" s="161">
        <f t="shared" si="0"/>
        <v>1426776.584216</v>
      </c>
      <c r="O22" s="161">
        <f t="shared" si="0"/>
        <v>1428139.954136</v>
      </c>
      <c r="P22" s="161">
        <f t="shared" si="0"/>
        <v>1433066.381048</v>
      </c>
      <c r="Q22" s="161">
        <f t="shared" si="0"/>
        <v>1434716.0586512</v>
      </c>
    </row>
    <row r="27" spans="1:3" ht="12.75">
      <c r="A27" s="62" t="s">
        <v>190</v>
      </c>
      <c r="B27" s="354" t="s">
        <v>191</v>
      </c>
      <c r="C27" s="354"/>
    </row>
    <row r="28" spans="2:3" ht="12.75">
      <c r="B28" s="355" t="s">
        <v>195</v>
      </c>
      <c r="C28" s="355"/>
    </row>
    <row r="29" spans="2:3" ht="12.75">
      <c r="B29" s="353" t="s">
        <v>192</v>
      </c>
      <c r="C29" s="353"/>
    </row>
    <row r="34" spans="2:10" ht="12.75">
      <c r="B34" s="385" t="s">
        <v>196</v>
      </c>
      <c r="C34" s="351"/>
      <c r="D34" s="351"/>
      <c r="E34" s="351"/>
      <c r="F34" s="351"/>
      <c r="G34" s="351"/>
      <c r="H34" s="351"/>
      <c r="I34" s="351"/>
      <c r="J34" s="352"/>
    </row>
    <row r="35" spans="2:10" ht="12.75">
      <c r="B35" s="167" t="s">
        <v>193</v>
      </c>
      <c r="C35" s="59">
        <v>2006</v>
      </c>
      <c r="D35" s="59">
        <v>2007</v>
      </c>
      <c r="E35" s="192">
        <v>2008</v>
      </c>
      <c r="F35" s="192">
        <v>2009</v>
      </c>
      <c r="G35" s="192">
        <v>2010</v>
      </c>
      <c r="H35" s="192">
        <v>2011</v>
      </c>
      <c r="I35" s="192">
        <v>2012</v>
      </c>
      <c r="J35" s="59">
        <v>2013</v>
      </c>
    </row>
    <row r="36" spans="2:10" ht="12.75">
      <c r="B36" s="184" t="s">
        <v>194</v>
      </c>
      <c r="C36" s="60">
        <f>B22/(1-(J22/INGRESOS!$D$22))</f>
        <v>2863764.0170364757</v>
      </c>
      <c r="D36" s="60">
        <f>C22/(1-(K22/INGRESOS!$D$22))</f>
        <v>2869372.167647542</v>
      </c>
      <c r="E36" s="60">
        <f>D22/(1-(L22/INGRESOS!$D$22))</f>
        <v>3012481.309544954</v>
      </c>
      <c r="F36" s="60">
        <f>E22/(1-(M22/INGRESOS!$D$22))</f>
        <v>3019287.875139597</v>
      </c>
      <c r="G36" s="60">
        <f>F22/(1-(N22/INGRESOS!$D$22))</f>
        <v>3177543.1282504913</v>
      </c>
      <c r="H36" s="60">
        <f>G22/(1-(O22/INGRESOS!$D$22))</f>
        <v>3185807.0661366875</v>
      </c>
      <c r="I36" s="60">
        <f>H22/(1-(P22/INGRESOS!$D$22))</f>
        <v>3360909.555263164</v>
      </c>
      <c r="J36" s="60">
        <f>I22/(1-(Q22/INGRESOS!$D$22))</f>
        <v>3370946.826719272</v>
      </c>
    </row>
    <row r="37" spans="2:10" ht="12.75">
      <c r="B37" s="164" t="s">
        <v>239</v>
      </c>
      <c r="C37" s="125">
        <f>C36/4.5</f>
        <v>636392.0037858835</v>
      </c>
      <c r="D37" s="125">
        <f aca="true" t="shared" si="1" ref="D37:J37">D36/2.3</f>
        <v>1247553.1163684966</v>
      </c>
      <c r="E37" s="124">
        <f t="shared" si="1"/>
        <v>1309774.4824108498</v>
      </c>
      <c r="F37" s="124">
        <f t="shared" si="1"/>
        <v>1312733.8587563466</v>
      </c>
      <c r="G37" s="124">
        <f t="shared" si="1"/>
        <v>1381540.490543692</v>
      </c>
      <c r="H37" s="124">
        <f t="shared" si="1"/>
        <v>1385133.5070159512</v>
      </c>
      <c r="I37" s="124">
        <f t="shared" si="1"/>
        <v>1461265.0240274628</v>
      </c>
      <c r="J37" s="125">
        <f t="shared" si="1"/>
        <v>1465629.0550953357</v>
      </c>
    </row>
  </sheetData>
  <mergeCells count="10">
    <mergeCell ref="B29:C29"/>
    <mergeCell ref="B27:C27"/>
    <mergeCell ref="B28:C28"/>
    <mergeCell ref="B34:J34"/>
    <mergeCell ref="A3:Q3"/>
    <mergeCell ref="A7:A8"/>
    <mergeCell ref="B7:I7"/>
    <mergeCell ref="J7:Q7"/>
    <mergeCell ref="A5:Q5"/>
    <mergeCell ref="A4:Q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70" zoomScaleNormal="70" workbookViewId="0" topLeftCell="A1">
      <selection activeCell="F25" sqref="F25"/>
    </sheetView>
  </sheetViews>
  <sheetFormatPr defaultColWidth="11.421875" defaultRowHeight="12.75"/>
  <cols>
    <col min="1" max="1" width="13.57421875" style="0" customWidth="1"/>
    <col min="2" max="2" width="6.7109375" style="0" customWidth="1"/>
    <col min="4" max="4" width="18.28125" style="0" bestFit="1" customWidth="1"/>
    <col min="5" max="12" width="15.7109375" style="0" bestFit="1" customWidth="1"/>
  </cols>
  <sheetData>
    <row r="1" ht="20.25">
      <c r="A1" s="289" t="s">
        <v>313</v>
      </c>
    </row>
    <row r="2" ht="12.75">
      <c r="A2" s="52"/>
    </row>
    <row r="3" spans="1:12" ht="18">
      <c r="A3" s="366" t="s">
        <v>152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1:12" ht="12.75">
      <c r="A4" s="367" t="s">
        <v>309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</row>
    <row r="5" spans="1:12" ht="12.75">
      <c r="A5" s="367" t="s">
        <v>208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</row>
    <row r="6" spans="1:12" ht="18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</row>
    <row r="7" spans="1:12" ht="15.75">
      <c r="A7" s="387" t="s">
        <v>322</v>
      </c>
      <c r="B7" s="388"/>
      <c r="C7" s="388"/>
      <c r="D7" s="389"/>
      <c r="E7" s="107">
        <v>2006</v>
      </c>
      <c r="F7" s="108">
        <v>2007</v>
      </c>
      <c r="G7" s="109">
        <v>2008</v>
      </c>
      <c r="H7" s="108">
        <v>2009</v>
      </c>
      <c r="I7" s="109">
        <v>2010</v>
      </c>
      <c r="J7" s="108">
        <v>2011</v>
      </c>
      <c r="K7" s="109">
        <v>2012</v>
      </c>
      <c r="L7" s="108">
        <v>2013</v>
      </c>
    </row>
    <row r="8" spans="1:12" ht="15">
      <c r="A8" s="97" t="s">
        <v>154</v>
      </c>
      <c r="B8" s="98"/>
      <c r="C8" s="98"/>
      <c r="D8" s="99"/>
      <c r="E8" s="83">
        <f aca="true" t="shared" si="0" ref="E8:L8">SUM(E11:E12)</f>
        <v>30000</v>
      </c>
      <c r="F8" s="91">
        <f t="shared" si="0"/>
        <v>33000.00000000001</v>
      </c>
      <c r="G8" s="84">
        <f t="shared" si="0"/>
        <v>36300.00000000001</v>
      </c>
      <c r="H8" s="84">
        <f t="shared" si="0"/>
        <v>39930.000000000015</v>
      </c>
      <c r="I8" s="84">
        <f t="shared" si="0"/>
        <v>43923.00000000002</v>
      </c>
      <c r="J8" s="84">
        <f t="shared" si="0"/>
        <v>48315.300000000025</v>
      </c>
      <c r="K8" s="84">
        <f t="shared" si="0"/>
        <v>53146.83000000003</v>
      </c>
      <c r="L8" s="84">
        <f t="shared" si="0"/>
        <v>58461.513000000035</v>
      </c>
    </row>
    <row r="9" spans="1:12" ht="12.75">
      <c r="A9" s="69"/>
      <c r="B9" s="350" t="s">
        <v>108</v>
      </c>
      <c r="C9" s="386"/>
      <c r="D9" s="390" t="s">
        <v>109</v>
      </c>
      <c r="E9" s="85"/>
      <c r="F9" s="92"/>
      <c r="G9" s="86"/>
      <c r="H9" s="86"/>
      <c r="I9" s="86"/>
      <c r="J9" s="86"/>
      <c r="K9" s="86"/>
      <c r="L9" s="86"/>
    </row>
    <row r="10" spans="1:12" ht="12.75">
      <c r="A10" s="69"/>
      <c r="B10" s="392" t="s">
        <v>243</v>
      </c>
      <c r="C10" s="393"/>
      <c r="D10" s="391"/>
      <c r="E10" s="85"/>
      <c r="F10" s="92"/>
      <c r="G10" s="86"/>
      <c r="H10" s="86"/>
      <c r="I10" s="86"/>
      <c r="J10" s="86"/>
      <c r="K10" s="86"/>
      <c r="L10" s="86"/>
    </row>
    <row r="11" spans="1:12" ht="12.75">
      <c r="A11" s="95" t="s">
        <v>165</v>
      </c>
      <c r="B11" s="348">
        <v>1</v>
      </c>
      <c r="C11" s="349"/>
      <c r="D11" s="43">
        <v>2000</v>
      </c>
      <c r="E11" s="85">
        <f>D11*12</f>
        <v>24000</v>
      </c>
      <c r="F11" s="92">
        <f aca="true" t="shared" si="1" ref="F11:L12">E11*1.1</f>
        <v>26400.000000000004</v>
      </c>
      <c r="G11" s="86">
        <f t="shared" si="1"/>
        <v>29040.000000000007</v>
      </c>
      <c r="H11" s="86">
        <f t="shared" si="1"/>
        <v>31944.00000000001</v>
      </c>
      <c r="I11" s="86">
        <f t="shared" si="1"/>
        <v>35138.400000000016</v>
      </c>
      <c r="J11" s="86">
        <f t="shared" si="1"/>
        <v>38652.24000000002</v>
      </c>
      <c r="K11" s="86">
        <f t="shared" si="1"/>
        <v>42517.46400000002</v>
      </c>
      <c r="L11" s="86">
        <f t="shared" si="1"/>
        <v>46769.210400000025</v>
      </c>
    </row>
    <row r="12" spans="1:12" ht="12.75">
      <c r="A12" s="96" t="s">
        <v>114</v>
      </c>
      <c r="B12" s="350">
        <v>1</v>
      </c>
      <c r="C12" s="386"/>
      <c r="D12" s="90">
        <v>500</v>
      </c>
      <c r="E12" s="85">
        <f>D12*12</f>
        <v>6000</v>
      </c>
      <c r="F12" s="92">
        <f t="shared" si="1"/>
        <v>6600.000000000001</v>
      </c>
      <c r="G12" s="86">
        <f t="shared" si="1"/>
        <v>7260.000000000002</v>
      </c>
      <c r="H12" s="86">
        <f t="shared" si="1"/>
        <v>7986.000000000003</v>
      </c>
      <c r="I12" s="86">
        <f t="shared" si="1"/>
        <v>8784.600000000004</v>
      </c>
      <c r="J12" s="86">
        <f t="shared" si="1"/>
        <v>9663.060000000005</v>
      </c>
      <c r="K12" s="86">
        <f t="shared" si="1"/>
        <v>10629.366000000005</v>
      </c>
      <c r="L12" s="86">
        <f t="shared" si="1"/>
        <v>11692.302600000006</v>
      </c>
    </row>
    <row r="13" spans="1:13" ht="12.75">
      <c r="A13" s="69"/>
      <c r="B13" s="52"/>
      <c r="C13" s="52"/>
      <c r="D13" s="43"/>
      <c r="E13" s="87"/>
      <c r="F13" s="93"/>
      <c r="G13" s="93"/>
      <c r="H13" s="93"/>
      <c r="I13" s="93"/>
      <c r="J13" s="93"/>
      <c r="K13" s="93"/>
      <c r="L13" s="194"/>
      <c r="M13" s="69"/>
    </row>
    <row r="14" spans="1:12" ht="15">
      <c r="A14" s="69"/>
      <c r="B14" s="52"/>
      <c r="C14" s="52"/>
      <c r="D14" s="49" t="s">
        <v>167</v>
      </c>
      <c r="E14" s="91">
        <f>E8</f>
        <v>30000</v>
      </c>
      <c r="F14" s="91">
        <f aca="true" t="shared" si="2" ref="F14:L14">F8</f>
        <v>33000.00000000001</v>
      </c>
      <c r="G14" s="91">
        <f t="shared" si="2"/>
        <v>36300.00000000001</v>
      </c>
      <c r="H14" s="91">
        <f t="shared" si="2"/>
        <v>39930.000000000015</v>
      </c>
      <c r="I14" s="91">
        <f t="shared" si="2"/>
        <v>43923.00000000002</v>
      </c>
      <c r="J14" s="91">
        <f t="shared" si="2"/>
        <v>48315.300000000025</v>
      </c>
      <c r="K14" s="91">
        <f t="shared" si="2"/>
        <v>53146.83000000003</v>
      </c>
      <c r="L14" s="91">
        <f t="shared" si="2"/>
        <v>58461.513000000035</v>
      </c>
    </row>
    <row r="15" spans="1:12" ht="12.75">
      <c r="A15" s="69"/>
      <c r="B15" s="52"/>
      <c r="C15" s="52"/>
      <c r="D15" s="43"/>
      <c r="E15" s="85"/>
      <c r="F15" s="92"/>
      <c r="G15" s="86"/>
      <c r="H15" s="86"/>
      <c r="I15" s="86"/>
      <c r="J15" s="86"/>
      <c r="K15" s="86"/>
      <c r="L15" s="86"/>
    </row>
    <row r="16" spans="1:12" ht="12.75">
      <c r="A16" s="69" t="s">
        <v>168</v>
      </c>
      <c r="B16" s="52"/>
      <c r="C16" s="52"/>
      <c r="D16" s="43"/>
      <c r="E16" s="87">
        <f aca="true" t="shared" si="3" ref="E16:L16">E14*0.2</f>
        <v>6000</v>
      </c>
      <c r="F16" s="93">
        <f t="shared" si="3"/>
        <v>6600.000000000002</v>
      </c>
      <c r="G16" s="88">
        <f t="shared" si="3"/>
        <v>7260.000000000002</v>
      </c>
      <c r="H16" s="88">
        <f t="shared" si="3"/>
        <v>7986.000000000004</v>
      </c>
      <c r="I16" s="88">
        <f t="shared" si="3"/>
        <v>8784.600000000004</v>
      </c>
      <c r="J16" s="88">
        <f t="shared" si="3"/>
        <v>9663.060000000005</v>
      </c>
      <c r="K16" s="88">
        <f t="shared" si="3"/>
        <v>10629.366000000007</v>
      </c>
      <c r="L16" s="88">
        <f t="shared" si="3"/>
        <v>11692.302600000008</v>
      </c>
    </row>
    <row r="17" spans="1:12" ht="12.75">
      <c r="A17" s="69"/>
      <c r="B17" s="52"/>
      <c r="C17" s="52"/>
      <c r="D17" s="43"/>
      <c r="E17" s="52"/>
      <c r="F17" s="42"/>
      <c r="G17" s="43"/>
      <c r="H17" s="43"/>
      <c r="I17" s="43"/>
      <c r="J17" s="43"/>
      <c r="K17" s="43"/>
      <c r="L17" s="43"/>
    </row>
    <row r="18" spans="1:12" ht="15.75">
      <c r="A18" s="101" t="s">
        <v>169</v>
      </c>
      <c r="B18" s="102"/>
      <c r="C18" s="102"/>
      <c r="D18" s="103"/>
      <c r="E18" s="104">
        <f aca="true" t="shared" si="4" ref="E18:L18">E16+E14</f>
        <v>36000</v>
      </c>
      <c r="F18" s="105">
        <f t="shared" si="4"/>
        <v>39600.00000000001</v>
      </c>
      <c r="G18" s="106">
        <f t="shared" si="4"/>
        <v>43560.00000000001</v>
      </c>
      <c r="H18" s="106">
        <f t="shared" si="4"/>
        <v>47916.000000000015</v>
      </c>
      <c r="I18" s="106">
        <f t="shared" si="4"/>
        <v>52707.60000000003</v>
      </c>
      <c r="J18" s="106">
        <f t="shared" si="4"/>
        <v>57978.36000000003</v>
      </c>
      <c r="K18" s="106">
        <f t="shared" si="4"/>
        <v>63776.19600000004</v>
      </c>
      <c r="L18" s="106">
        <f t="shared" si="4"/>
        <v>70153.81560000005</v>
      </c>
    </row>
  </sheetData>
  <mergeCells count="9">
    <mergeCell ref="B12:C12"/>
    <mergeCell ref="B9:C9"/>
    <mergeCell ref="A7:D7"/>
    <mergeCell ref="D9:D10"/>
    <mergeCell ref="B10:C10"/>
    <mergeCell ref="A3:L3"/>
    <mergeCell ref="A4:L4"/>
    <mergeCell ref="A5:L5"/>
    <mergeCell ref="B11:C1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70" zoomScaleNormal="70" workbookViewId="0" topLeftCell="A1">
      <selection activeCell="D39" sqref="D39"/>
    </sheetView>
  </sheetViews>
  <sheetFormatPr defaultColWidth="11.421875" defaultRowHeight="12.75"/>
  <cols>
    <col min="1" max="1" width="31.57421875" style="0" customWidth="1"/>
    <col min="2" max="2" width="6.57421875" style="0" hidden="1" customWidth="1"/>
    <col min="3" max="3" width="13.28125" style="0" customWidth="1"/>
    <col min="5" max="6" width="13.57421875" style="0" bestFit="1" customWidth="1"/>
    <col min="7" max="7" width="13.421875" style="0" customWidth="1"/>
    <col min="8" max="8" width="13.57421875" style="0" bestFit="1" customWidth="1"/>
    <col min="9" max="10" width="14.00390625" style="0" bestFit="1" customWidth="1"/>
    <col min="11" max="11" width="13.8515625" style="0" customWidth="1"/>
    <col min="12" max="12" width="13.57421875" style="0" bestFit="1" customWidth="1"/>
  </cols>
  <sheetData>
    <row r="1" ht="20.25">
      <c r="A1" s="289" t="s">
        <v>314</v>
      </c>
    </row>
    <row r="3" spans="1:12" ht="18">
      <c r="A3" s="366" t="s">
        <v>155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1:12" ht="12.75">
      <c r="A4" s="367" t="s">
        <v>309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</row>
    <row r="5" spans="1:12" ht="12.75">
      <c r="A5" s="367" t="s">
        <v>208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</row>
    <row r="6" spans="1:12" ht="18">
      <c r="A6" s="290"/>
      <c r="B6" s="324"/>
      <c r="C6" s="324"/>
      <c r="D6" s="324"/>
      <c r="E6" s="290"/>
      <c r="F6" s="290"/>
      <c r="G6" s="290"/>
      <c r="H6" s="290"/>
      <c r="I6" s="290"/>
      <c r="J6" s="290"/>
      <c r="K6" s="290"/>
      <c r="L6" s="290"/>
    </row>
    <row r="7" spans="1:12" ht="15.75">
      <c r="A7" s="396" t="s">
        <v>153</v>
      </c>
      <c r="B7" s="351"/>
      <c r="C7" s="351"/>
      <c r="D7" s="351"/>
      <c r="E7" s="291">
        <v>2006</v>
      </c>
      <c r="F7" s="291">
        <v>2007</v>
      </c>
      <c r="G7" s="291">
        <v>2008</v>
      </c>
      <c r="H7" s="291">
        <v>2009</v>
      </c>
      <c r="I7" s="291">
        <v>2010</v>
      </c>
      <c r="J7" s="291">
        <v>2011</v>
      </c>
      <c r="K7" s="291">
        <v>2012</v>
      </c>
      <c r="L7" s="325">
        <v>2013</v>
      </c>
    </row>
    <row r="8" spans="1:12" ht="12.75" customHeight="1">
      <c r="A8" s="394" t="s">
        <v>155</v>
      </c>
      <c r="B8" s="395"/>
      <c r="C8" s="395"/>
      <c r="D8" s="395"/>
      <c r="E8" s="227">
        <f aca="true" t="shared" si="0" ref="E8:L8">+E30+E32</f>
        <v>179095.68</v>
      </c>
      <c r="F8" s="227">
        <f t="shared" si="0"/>
        <v>179095.68</v>
      </c>
      <c r="G8" s="227">
        <f t="shared" si="0"/>
        <v>196087.68</v>
      </c>
      <c r="H8" s="227">
        <f t="shared" si="0"/>
        <v>196087.68</v>
      </c>
      <c r="I8" s="227">
        <f t="shared" si="0"/>
        <v>214778.88000000003</v>
      </c>
      <c r="J8" s="227">
        <f t="shared" si="0"/>
        <v>214778.88000000003</v>
      </c>
      <c r="K8" s="227">
        <f t="shared" si="0"/>
        <v>235339.20000000007</v>
      </c>
      <c r="L8" s="172">
        <f t="shared" si="0"/>
        <v>235339.20000000007</v>
      </c>
    </row>
    <row r="9" spans="1:12" ht="12.75" customHeight="1">
      <c r="A9" s="202"/>
      <c r="B9" s="203"/>
      <c r="C9" s="203"/>
      <c r="D9" s="203"/>
      <c r="E9" s="228"/>
      <c r="F9" s="228"/>
      <c r="G9" s="228"/>
      <c r="H9" s="228"/>
      <c r="I9" s="228"/>
      <c r="J9" s="228"/>
      <c r="K9" s="228"/>
      <c r="L9" s="173"/>
    </row>
    <row r="10" spans="1:12" ht="25.5">
      <c r="A10" s="151" t="s">
        <v>154</v>
      </c>
      <c r="B10" s="50"/>
      <c r="C10" s="326" t="s">
        <v>321</v>
      </c>
      <c r="D10" s="327" t="s">
        <v>156</v>
      </c>
      <c r="E10" s="147">
        <f>SUM(E11:E20)</f>
        <v>141600</v>
      </c>
      <c r="F10" s="147">
        <f aca="true" t="shared" si="1" ref="F10:L10">SUM(F11:F20)</f>
        <v>141600</v>
      </c>
      <c r="G10" s="147">
        <f t="shared" si="1"/>
        <v>155760</v>
      </c>
      <c r="H10" s="147">
        <f t="shared" si="1"/>
        <v>155760</v>
      </c>
      <c r="I10" s="147">
        <f t="shared" si="1"/>
        <v>171336.00000000003</v>
      </c>
      <c r="J10" s="147">
        <f t="shared" si="1"/>
        <v>171336.00000000003</v>
      </c>
      <c r="K10" s="147">
        <f t="shared" si="1"/>
        <v>188469.60000000006</v>
      </c>
      <c r="L10" s="280">
        <f t="shared" si="1"/>
        <v>188469.60000000006</v>
      </c>
    </row>
    <row r="11" spans="1:12" ht="12.75">
      <c r="A11" s="69" t="s">
        <v>271</v>
      </c>
      <c r="B11" s="52"/>
      <c r="C11" s="95">
        <v>1</v>
      </c>
      <c r="D11" s="328">
        <v>1000</v>
      </c>
      <c r="E11" s="255">
        <f aca="true" t="shared" si="2" ref="E11:E20">D11*C11*12</f>
        <v>12000</v>
      </c>
      <c r="F11" s="114">
        <f>E11</f>
        <v>12000</v>
      </c>
      <c r="G11" s="114">
        <f>F11*1.1</f>
        <v>13200.000000000002</v>
      </c>
      <c r="H11" s="114">
        <f>G11</f>
        <v>13200.000000000002</v>
      </c>
      <c r="I11" s="114">
        <f>H11*1.1</f>
        <v>14520.000000000004</v>
      </c>
      <c r="J11" s="114">
        <f>I11</f>
        <v>14520.000000000004</v>
      </c>
      <c r="K11" s="114">
        <f>J11*1.1</f>
        <v>15972.000000000005</v>
      </c>
      <c r="L11" s="114">
        <f>K11</f>
        <v>15972.000000000005</v>
      </c>
    </row>
    <row r="12" spans="1:13" ht="12.75">
      <c r="A12" s="69" t="s">
        <v>272</v>
      </c>
      <c r="B12" s="52"/>
      <c r="C12" s="42">
        <v>1</v>
      </c>
      <c r="D12" s="58">
        <v>500</v>
      </c>
      <c r="E12" s="255">
        <f t="shared" si="2"/>
        <v>6000</v>
      </c>
      <c r="F12" s="114">
        <f aca="true" t="shared" si="3" ref="F12:L20">E12</f>
        <v>6000</v>
      </c>
      <c r="G12" s="114">
        <f aca="true" t="shared" si="4" ref="G12:G20">F12*1.1</f>
        <v>6600.000000000001</v>
      </c>
      <c r="H12" s="114">
        <f t="shared" si="3"/>
        <v>6600.000000000001</v>
      </c>
      <c r="I12" s="114">
        <f aca="true" t="shared" si="5" ref="I12:I20">H12*1.1</f>
        <v>7260.000000000002</v>
      </c>
      <c r="J12" s="114">
        <f t="shared" si="3"/>
        <v>7260.000000000002</v>
      </c>
      <c r="K12" s="114">
        <f aca="true" t="shared" si="6" ref="K12:K20">J12*1.1</f>
        <v>7986.000000000003</v>
      </c>
      <c r="L12" s="114">
        <f t="shared" si="3"/>
        <v>7986.000000000003</v>
      </c>
      <c r="M12" s="28"/>
    </row>
    <row r="13" spans="1:13" ht="12.75">
      <c r="A13" s="52" t="s">
        <v>292</v>
      </c>
      <c r="B13" s="52"/>
      <c r="C13" s="42">
        <v>3</v>
      </c>
      <c r="D13" s="58">
        <v>500</v>
      </c>
      <c r="E13" s="255">
        <f t="shared" si="2"/>
        <v>18000</v>
      </c>
      <c r="F13" s="114">
        <f t="shared" si="3"/>
        <v>18000</v>
      </c>
      <c r="G13" s="114">
        <f t="shared" si="4"/>
        <v>19800</v>
      </c>
      <c r="H13" s="114">
        <f t="shared" si="3"/>
        <v>19800</v>
      </c>
      <c r="I13" s="114">
        <f t="shared" si="5"/>
        <v>21780</v>
      </c>
      <c r="J13" s="114">
        <f t="shared" si="3"/>
        <v>21780</v>
      </c>
      <c r="K13" s="114">
        <f t="shared" si="6"/>
        <v>23958.000000000004</v>
      </c>
      <c r="L13" s="114">
        <f t="shared" si="3"/>
        <v>23958.000000000004</v>
      </c>
      <c r="M13" s="28"/>
    </row>
    <row r="14" spans="1:12" ht="12.75">
      <c r="A14" s="69" t="s">
        <v>273</v>
      </c>
      <c r="B14" s="52"/>
      <c r="C14" s="286">
        <v>1</v>
      </c>
      <c r="D14" s="329">
        <v>1600</v>
      </c>
      <c r="E14" s="255">
        <f t="shared" si="2"/>
        <v>19200</v>
      </c>
      <c r="F14" s="114">
        <f t="shared" si="3"/>
        <v>19200</v>
      </c>
      <c r="G14" s="114">
        <f t="shared" si="4"/>
        <v>21120</v>
      </c>
      <c r="H14" s="114">
        <f t="shared" si="3"/>
        <v>21120</v>
      </c>
      <c r="I14" s="114">
        <f t="shared" si="5"/>
        <v>23232.000000000004</v>
      </c>
      <c r="J14" s="114">
        <f t="shared" si="3"/>
        <v>23232.000000000004</v>
      </c>
      <c r="K14" s="114">
        <f t="shared" si="6"/>
        <v>25555.200000000004</v>
      </c>
      <c r="L14" s="114">
        <f t="shared" si="3"/>
        <v>25555.200000000004</v>
      </c>
    </row>
    <row r="15" spans="1:12" ht="12.75">
      <c r="A15" s="69" t="s">
        <v>289</v>
      </c>
      <c r="B15" s="52"/>
      <c r="C15" s="286">
        <v>1</v>
      </c>
      <c r="D15" s="329">
        <v>2000</v>
      </c>
      <c r="E15" s="255">
        <f t="shared" si="2"/>
        <v>24000</v>
      </c>
      <c r="F15" s="114">
        <f t="shared" si="3"/>
        <v>24000</v>
      </c>
      <c r="G15" s="114">
        <f t="shared" si="4"/>
        <v>26400.000000000004</v>
      </c>
      <c r="H15" s="114">
        <f t="shared" si="3"/>
        <v>26400.000000000004</v>
      </c>
      <c r="I15" s="114">
        <f t="shared" si="5"/>
        <v>29040.000000000007</v>
      </c>
      <c r="J15" s="114">
        <f t="shared" si="3"/>
        <v>29040.000000000007</v>
      </c>
      <c r="K15" s="114">
        <f t="shared" si="6"/>
        <v>31944.00000000001</v>
      </c>
      <c r="L15" s="114">
        <f t="shared" si="3"/>
        <v>31944.00000000001</v>
      </c>
    </row>
    <row r="16" spans="1:12" ht="12.75">
      <c r="A16" s="69" t="s">
        <v>290</v>
      </c>
      <c r="B16" s="52"/>
      <c r="C16" s="286">
        <v>1</v>
      </c>
      <c r="D16" s="329">
        <v>900</v>
      </c>
      <c r="E16" s="255">
        <f t="shared" si="2"/>
        <v>10800</v>
      </c>
      <c r="F16" s="114">
        <f t="shared" si="3"/>
        <v>10800</v>
      </c>
      <c r="G16" s="114">
        <f t="shared" si="4"/>
        <v>11880.000000000002</v>
      </c>
      <c r="H16" s="114">
        <f t="shared" si="3"/>
        <v>11880.000000000002</v>
      </c>
      <c r="I16" s="114">
        <f t="shared" si="5"/>
        <v>13068.000000000004</v>
      </c>
      <c r="J16" s="114">
        <f t="shared" si="3"/>
        <v>13068.000000000004</v>
      </c>
      <c r="K16" s="114">
        <f t="shared" si="6"/>
        <v>14374.800000000005</v>
      </c>
      <c r="L16" s="114">
        <f t="shared" si="3"/>
        <v>14374.800000000005</v>
      </c>
    </row>
    <row r="17" spans="1:12" ht="12.75">
      <c r="A17" s="69" t="s">
        <v>291</v>
      </c>
      <c r="B17" s="52"/>
      <c r="C17" s="286">
        <v>1</v>
      </c>
      <c r="D17" s="329">
        <v>900</v>
      </c>
      <c r="E17" s="255">
        <f t="shared" si="2"/>
        <v>10800</v>
      </c>
      <c r="F17" s="114">
        <f t="shared" si="3"/>
        <v>10800</v>
      </c>
      <c r="G17" s="114">
        <f t="shared" si="4"/>
        <v>11880.000000000002</v>
      </c>
      <c r="H17" s="114">
        <f t="shared" si="3"/>
        <v>11880.000000000002</v>
      </c>
      <c r="I17" s="114">
        <f t="shared" si="5"/>
        <v>13068.000000000004</v>
      </c>
      <c r="J17" s="114">
        <f t="shared" si="3"/>
        <v>13068.000000000004</v>
      </c>
      <c r="K17" s="114">
        <f t="shared" si="6"/>
        <v>14374.800000000005</v>
      </c>
      <c r="L17" s="114">
        <f t="shared" si="3"/>
        <v>14374.800000000005</v>
      </c>
    </row>
    <row r="18" spans="1:12" ht="12.75">
      <c r="A18" s="69" t="s">
        <v>202</v>
      </c>
      <c r="B18" s="52"/>
      <c r="C18" s="286">
        <v>1</v>
      </c>
      <c r="D18" s="329">
        <v>800</v>
      </c>
      <c r="E18" s="255">
        <f t="shared" si="2"/>
        <v>9600</v>
      </c>
      <c r="F18" s="114">
        <f t="shared" si="3"/>
        <v>9600</v>
      </c>
      <c r="G18" s="114">
        <f t="shared" si="4"/>
        <v>10560</v>
      </c>
      <c r="H18" s="114">
        <f t="shared" si="3"/>
        <v>10560</v>
      </c>
      <c r="I18" s="114">
        <f t="shared" si="5"/>
        <v>11616.000000000002</v>
      </c>
      <c r="J18" s="114">
        <f t="shared" si="3"/>
        <v>11616.000000000002</v>
      </c>
      <c r="K18" s="114">
        <f t="shared" si="6"/>
        <v>12777.600000000002</v>
      </c>
      <c r="L18" s="114">
        <f t="shared" si="3"/>
        <v>12777.600000000002</v>
      </c>
    </row>
    <row r="19" spans="1:12" ht="12.75">
      <c r="A19" s="69" t="s">
        <v>293</v>
      </c>
      <c r="B19" s="52"/>
      <c r="C19" s="286">
        <v>2</v>
      </c>
      <c r="D19" s="329">
        <v>500</v>
      </c>
      <c r="E19" s="255">
        <f t="shared" si="2"/>
        <v>12000</v>
      </c>
      <c r="F19" s="114">
        <f t="shared" si="3"/>
        <v>12000</v>
      </c>
      <c r="G19" s="114">
        <f t="shared" si="4"/>
        <v>13200.000000000002</v>
      </c>
      <c r="H19" s="114">
        <f t="shared" si="3"/>
        <v>13200.000000000002</v>
      </c>
      <c r="I19" s="114">
        <f t="shared" si="5"/>
        <v>14520.000000000004</v>
      </c>
      <c r="J19" s="114">
        <f t="shared" si="3"/>
        <v>14520.000000000004</v>
      </c>
      <c r="K19" s="114">
        <f t="shared" si="6"/>
        <v>15972.000000000005</v>
      </c>
      <c r="L19" s="114">
        <f t="shared" si="3"/>
        <v>15972.000000000005</v>
      </c>
    </row>
    <row r="20" spans="1:12" ht="12.75">
      <c r="A20" s="69" t="s">
        <v>294</v>
      </c>
      <c r="B20" s="52"/>
      <c r="C20" s="256">
        <v>4</v>
      </c>
      <c r="D20" s="330">
        <v>400</v>
      </c>
      <c r="E20" s="255">
        <f t="shared" si="2"/>
        <v>19200</v>
      </c>
      <c r="F20" s="114">
        <f t="shared" si="3"/>
        <v>19200</v>
      </c>
      <c r="G20" s="114">
        <f t="shared" si="4"/>
        <v>21120</v>
      </c>
      <c r="H20" s="114">
        <f t="shared" si="3"/>
        <v>21120</v>
      </c>
      <c r="I20" s="114">
        <f t="shared" si="5"/>
        <v>23232.000000000004</v>
      </c>
      <c r="J20" s="114">
        <f t="shared" si="3"/>
        <v>23232.000000000004</v>
      </c>
      <c r="K20" s="114">
        <f t="shared" si="6"/>
        <v>25555.200000000004</v>
      </c>
      <c r="L20" s="114">
        <f t="shared" si="3"/>
        <v>25555.200000000004</v>
      </c>
    </row>
    <row r="21" spans="1:12" ht="12.75">
      <c r="A21" s="120"/>
      <c r="B21" s="52"/>
      <c r="C21" s="52"/>
      <c r="D21" s="186"/>
      <c r="E21" s="114"/>
      <c r="F21" s="114"/>
      <c r="G21" s="114"/>
      <c r="H21" s="114"/>
      <c r="I21" s="114"/>
      <c r="J21" s="114"/>
      <c r="K21" s="114"/>
      <c r="L21" s="61"/>
    </row>
    <row r="22" spans="1:12" ht="15">
      <c r="A22" s="331" t="s">
        <v>157</v>
      </c>
      <c r="B22" s="121"/>
      <c r="C22" s="121"/>
      <c r="D22" s="121"/>
      <c r="E22" s="152">
        <f aca="true" t="shared" si="7" ref="E22:L22">SUM(E23:E28)</f>
        <v>7646.4</v>
      </c>
      <c r="F22" s="152">
        <f t="shared" si="7"/>
        <v>7646.4</v>
      </c>
      <c r="G22" s="152">
        <f t="shared" si="7"/>
        <v>7646.4</v>
      </c>
      <c r="H22" s="152">
        <f t="shared" si="7"/>
        <v>7646.4</v>
      </c>
      <c r="I22" s="152">
        <f t="shared" si="7"/>
        <v>7646.4</v>
      </c>
      <c r="J22" s="152">
        <f t="shared" si="7"/>
        <v>7646.4</v>
      </c>
      <c r="K22" s="152">
        <f t="shared" si="7"/>
        <v>7646.4</v>
      </c>
      <c r="L22" s="242">
        <f t="shared" si="7"/>
        <v>7646.4</v>
      </c>
    </row>
    <row r="23" spans="1:12" ht="12.75">
      <c r="A23" s="332" t="s">
        <v>158</v>
      </c>
      <c r="B23" s="52"/>
      <c r="C23" s="52"/>
      <c r="D23" s="52"/>
      <c r="E23" s="114">
        <f>26*3*2.4</f>
        <v>187.2</v>
      </c>
      <c r="F23" s="114">
        <f>E23</f>
        <v>187.2</v>
      </c>
      <c r="G23" s="114">
        <f aca="true" t="shared" si="8" ref="G23:L23">F23</f>
        <v>187.2</v>
      </c>
      <c r="H23" s="114">
        <f t="shared" si="8"/>
        <v>187.2</v>
      </c>
      <c r="I23" s="114">
        <f t="shared" si="8"/>
        <v>187.2</v>
      </c>
      <c r="J23" s="114">
        <f t="shared" si="8"/>
        <v>187.2</v>
      </c>
      <c r="K23" s="114">
        <f t="shared" si="8"/>
        <v>187.2</v>
      </c>
      <c r="L23" s="61">
        <f t="shared" si="8"/>
        <v>187.2</v>
      </c>
    </row>
    <row r="24" spans="1:12" ht="12.75">
      <c r="A24" s="333" t="s">
        <v>159</v>
      </c>
      <c r="B24" s="52"/>
      <c r="C24" s="52"/>
      <c r="D24" s="52"/>
      <c r="E24" s="114">
        <f>15*3*2.4</f>
        <v>108</v>
      </c>
      <c r="F24" s="114">
        <f>E24</f>
        <v>108</v>
      </c>
      <c r="G24" s="114">
        <f aca="true" t="shared" si="9" ref="G24:L24">F24</f>
        <v>108</v>
      </c>
      <c r="H24" s="114">
        <f t="shared" si="9"/>
        <v>108</v>
      </c>
      <c r="I24" s="114">
        <f t="shared" si="9"/>
        <v>108</v>
      </c>
      <c r="J24" s="114">
        <f t="shared" si="9"/>
        <v>108</v>
      </c>
      <c r="K24" s="114">
        <f t="shared" si="9"/>
        <v>108</v>
      </c>
      <c r="L24" s="61">
        <f t="shared" si="9"/>
        <v>108</v>
      </c>
    </row>
    <row r="25" spans="1:12" ht="12.75">
      <c r="A25" s="332" t="s">
        <v>160</v>
      </c>
      <c r="B25" s="52"/>
      <c r="C25" s="52"/>
      <c r="D25" s="52"/>
      <c r="E25" s="114">
        <f>205*3*2.4</f>
        <v>1476</v>
      </c>
      <c r="F25" s="114">
        <f>E25</f>
        <v>1476</v>
      </c>
      <c r="G25" s="114">
        <f aca="true" t="shared" si="10" ref="G25:L25">F25</f>
        <v>1476</v>
      </c>
      <c r="H25" s="114">
        <f t="shared" si="10"/>
        <v>1476</v>
      </c>
      <c r="I25" s="114">
        <f t="shared" si="10"/>
        <v>1476</v>
      </c>
      <c r="J25" s="114">
        <f t="shared" si="10"/>
        <v>1476</v>
      </c>
      <c r="K25" s="114">
        <f t="shared" si="10"/>
        <v>1476</v>
      </c>
      <c r="L25" s="61">
        <f t="shared" si="10"/>
        <v>1476</v>
      </c>
    </row>
    <row r="26" spans="1:12" ht="12.75">
      <c r="A26" s="332" t="s">
        <v>161</v>
      </c>
      <c r="B26" s="52"/>
      <c r="C26" s="52"/>
      <c r="D26" s="52"/>
      <c r="E26" s="114">
        <f>643*3*2.4</f>
        <v>4629.599999999999</v>
      </c>
      <c r="F26" s="114">
        <f aca="true" t="shared" si="11" ref="F26:L26">E26</f>
        <v>4629.599999999999</v>
      </c>
      <c r="G26" s="114">
        <f t="shared" si="11"/>
        <v>4629.599999999999</v>
      </c>
      <c r="H26" s="114">
        <f t="shared" si="11"/>
        <v>4629.599999999999</v>
      </c>
      <c r="I26" s="114">
        <f t="shared" si="11"/>
        <v>4629.599999999999</v>
      </c>
      <c r="J26" s="114">
        <f t="shared" si="11"/>
        <v>4629.599999999999</v>
      </c>
      <c r="K26" s="114">
        <f t="shared" si="11"/>
        <v>4629.599999999999</v>
      </c>
      <c r="L26" s="61">
        <f t="shared" si="11"/>
        <v>4629.599999999999</v>
      </c>
    </row>
    <row r="27" spans="1:12" ht="12.75">
      <c r="A27" s="332" t="s">
        <v>162</v>
      </c>
      <c r="B27" s="52"/>
      <c r="C27" s="52"/>
      <c r="D27" s="52"/>
      <c r="E27" s="114">
        <f>173*2.4*3</f>
        <v>1245.6</v>
      </c>
      <c r="F27" s="114">
        <f>E27</f>
        <v>1245.6</v>
      </c>
      <c r="G27" s="114">
        <f aca="true" t="shared" si="12" ref="G27:L27">F27</f>
        <v>1245.6</v>
      </c>
      <c r="H27" s="114">
        <f t="shared" si="12"/>
        <v>1245.6</v>
      </c>
      <c r="I27" s="114">
        <f t="shared" si="12"/>
        <v>1245.6</v>
      </c>
      <c r="J27" s="114">
        <f t="shared" si="12"/>
        <v>1245.6</v>
      </c>
      <c r="K27" s="114">
        <f t="shared" si="12"/>
        <v>1245.6</v>
      </c>
      <c r="L27" s="61">
        <f t="shared" si="12"/>
        <v>1245.6</v>
      </c>
    </row>
    <row r="28" spans="1:12" ht="12.75">
      <c r="A28" s="334"/>
      <c r="B28" s="51"/>
      <c r="C28" s="51"/>
      <c r="D28" s="51"/>
      <c r="E28" s="124"/>
      <c r="F28" s="124"/>
      <c r="G28" s="124"/>
      <c r="H28" s="124"/>
      <c r="I28" s="124"/>
      <c r="J28" s="124"/>
      <c r="K28" s="124"/>
      <c r="L28" s="125"/>
    </row>
    <row r="29" spans="1:12" ht="12.75">
      <c r="A29" s="69"/>
      <c r="B29" s="52"/>
      <c r="C29" s="52"/>
      <c r="D29" s="52"/>
      <c r="E29" s="114"/>
      <c r="F29" s="114"/>
      <c r="G29" s="114"/>
      <c r="H29" s="114"/>
      <c r="I29" s="114"/>
      <c r="J29" s="114"/>
      <c r="K29" s="114"/>
      <c r="L29" s="61"/>
    </row>
    <row r="30" spans="1:12" ht="15">
      <c r="A30" s="69"/>
      <c r="B30" s="52"/>
      <c r="C30" s="153"/>
      <c r="D30" s="150" t="s">
        <v>164</v>
      </c>
      <c r="E30" s="148">
        <f aca="true" t="shared" si="13" ref="E30:L30">E22+E10</f>
        <v>149246.4</v>
      </c>
      <c r="F30" s="148">
        <f t="shared" si="13"/>
        <v>149246.4</v>
      </c>
      <c r="G30" s="148">
        <f t="shared" si="13"/>
        <v>163406.4</v>
      </c>
      <c r="H30" s="148">
        <f t="shared" si="13"/>
        <v>163406.4</v>
      </c>
      <c r="I30" s="148">
        <f t="shared" si="13"/>
        <v>178982.40000000002</v>
      </c>
      <c r="J30" s="148">
        <f t="shared" si="13"/>
        <v>178982.40000000002</v>
      </c>
      <c r="K30" s="148">
        <f t="shared" si="13"/>
        <v>196116.00000000006</v>
      </c>
      <c r="L30" s="149">
        <f t="shared" si="13"/>
        <v>196116.00000000006</v>
      </c>
    </row>
    <row r="31" spans="1:12" ht="12.75">
      <c r="A31" s="69"/>
      <c r="B31" s="52"/>
      <c r="C31" s="52"/>
      <c r="D31" s="52"/>
      <c r="E31" s="114"/>
      <c r="F31" s="114"/>
      <c r="G31" s="114"/>
      <c r="H31" s="114"/>
      <c r="I31" s="114"/>
      <c r="J31" s="114"/>
      <c r="K31" s="114"/>
      <c r="L31" s="61"/>
    </row>
    <row r="32" spans="1:12" ht="12.75">
      <c r="A32" s="146" t="s">
        <v>163</v>
      </c>
      <c r="B32" s="51"/>
      <c r="C32" s="51"/>
      <c r="D32" s="51"/>
      <c r="E32" s="124">
        <f aca="true" t="shared" si="14" ref="E32:L32">E30*0.2</f>
        <v>29849.28</v>
      </c>
      <c r="F32" s="124">
        <f t="shared" si="14"/>
        <v>29849.28</v>
      </c>
      <c r="G32" s="124">
        <f t="shared" si="14"/>
        <v>32681.28</v>
      </c>
      <c r="H32" s="124">
        <f t="shared" si="14"/>
        <v>32681.28</v>
      </c>
      <c r="I32" s="124">
        <f t="shared" si="14"/>
        <v>35796.48</v>
      </c>
      <c r="J32" s="124">
        <f t="shared" si="14"/>
        <v>35796.48</v>
      </c>
      <c r="K32" s="124">
        <f t="shared" si="14"/>
        <v>39223.20000000001</v>
      </c>
      <c r="L32" s="125">
        <f t="shared" si="14"/>
        <v>39223.20000000001</v>
      </c>
    </row>
  </sheetData>
  <mergeCells count="5">
    <mergeCell ref="A8:D8"/>
    <mergeCell ref="A7:D7"/>
    <mergeCell ref="A3:L3"/>
    <mergeCell ref="A4:L4"/>
    <mergeCell ref="A5:L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zoomScale="70" zoomScaleNormal="70" workbookViewId="0" topLeftCell="A1">
      <selection activeCell="G68" sqref="G68"/>
    </sheetView>
  </sheetViews>
  <sheetFormatPr defaultColWidth="11.421875" defaultRowHeight="12.75"/>
  <cols>
    <col min="1" max="1" width="38.8515625" style="0" customWidth="1"/>
    <col min="2" max="2" width="15.8515625" style="0" hidden="1" customWidth="1"/>
    <col min="3" max="3" width="21.140625" style="0" hidden="1" customWidth="1"/>
    <col min="4" max="4" width="17.8515625" style="0" hidden="1" customWidth="1"/>
    <col min="5" max="5" width="18.140625" style="0" bestFit="1" customWidth="1"/>
    <col min="6" max="6" width="17.28125" style="0" bestFit="1" customWidth="1"/>
    <col min="7" max="7" width="17.7109375" style="0" bestFit="1" customWidth="1"/>
    <col min="8" max="8" width="18.140625" style="0" bestFit="1" customWidth="1"/>
    <col min="9" max="9" width="17.7109375" style="0" bestFit="1" customWidth="1"/>
    <col min="10" max="10" width="18.140625" style="0" bestFit="1" customWidth="1"/>
    <col min="11" max="11" width="17.28125" style="0" bestFit="1" customWidth="1"/>
    <col min="12" max="12" width="18.140625" style="0" bestFit="1" customWidth="1"/>
  </cols>
  <sheetData>
    <row r="1" ht="20.25">
      <c r="A1" s="289" t="s">
        <v>315</v>
      </c>
    </row>
    <row r="3" spans="1:12" ht="18">
      <c r="A3" s="366" t="s">
        <v>147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1:12" ht="12.75">
      <c r="A4" s="367" t="s">
        <v>309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</row>
    <row r="5" spans="1:12" ht="12.75">
      <c r="A5" s="367" t="s">
        <v>208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</row>
    <row r="7" spans="1:12" ht="16.5">
      <c r="A7" s="176" t="s">
        <v>148</v>
      </c>
      <c r="B7" s="100"/>
      <c r="C7" s="177"/>
      <c r="D7" s="178"/>
      <c r="E7" s="81">
        <v>2006</v>
      </c>
      <c r="F7" s="82">
        <v>2007</v>
      </c>
      <c r="G7" s="82">
        <v>2008</v>
      </c>
      <c r="H7" s="200">
        <v>2009</v>
      </c>
      <c r="I7" s="201">
        <v>2010</v>
      </c>
      <c r="J7" s="201">
        <v>2011</v>
      </c>
      <c r="K7" s="201">
        <v>2012</v>
      </c>
      <c r="L7" s="201">
        <v>2013</v>
      </c>
    </row>
    <row r="8" spans="1:12" ht="15">
      <c r="A8" s="199" t="s">
        <v>149</v>
      </c>
      <c r="B8" s="52"/>
      <c r="C8" s="73"/>
      <c r="D8" s="195"/>
      <c r="E8" s="77">
        <f>SUM(E9:E12)</f>
        <v>2852932.82</v>
      </c>
      <c r="F8" s="77">
        <f aca="true" t="shared" si="0" ref="F8:L8">SUM(F9:F12)</f>
        <v>2852932.823</v>
      </c>
      <c r="G8" s="77">
        <f t="shared" si="0"/>
        <v>2852932.823</v>
      </c>
      <c r="H8" s="77">
        <f t="shared" si="0"/>
        <v>2852932.823</v>
      </c>
      <c r="I8" s="77">
        <f t="shared" si="0"/>
        <v>2852932.823</v>
      </c>
      <c r="J8" s="77">
        <f t="shared" si="0"/>
        <v>2852932.823</v>
      </c>
      <c r="K8" s="77">
        <f t="shared" si="0"/>
        <v>2852932.823</v>
      </c>
      <c r="L8" s="77">
        <f t="shared" si="0"/>
        <v>2852932.823</v>
      </c>
    </row>
    <row r="9" spans="1:12" ht="12.75">
      <c r="A9" s="196" t="s">
        <v>206</v>
      </c>
      <c r="B9" s="52"/>
      <c r="C9" s="52"/>
      <c r="D9" s="43"/>
      <c r="E9" s="78">
        <v>2500000</v>
      </c>
      <c r="F9" s="78">
        <v>2500000</v>
      </c>
      <c r="G9" s="78">
        <v>2500000</v>
      </c>
      <c r="H9" s="78">
        <v>2500000</v>
      </c>
      <c r="I9" s="78">
        <v>2500000</v>
      </c>
      <c r="J9" s="78">
        <v>2500000</v>
      </c>
      <c r="K9" s="78">
        <v>2500000</v>
      </c>
      <c r="L9" s="78">
        <v>2500000</v>
      </c>
    </row>
    <row r="10" spans="1:12" ht="12.75">
      <c r="A10" s="69" t="s">
        <v>172</v>
      </c>
      <c r="B10" s="52"/>
      <c r="C10" s="52"/>
      <c r="D10" s="43"/>
      <c r="E10" s="78">
        <v>1000</v>
      </c>
      <c r="F10" s="74">
        <v>1000</v>
      </c>
      <c r="G10" s="74">
        <v>1000</v>
      </c>
      <c r="H10" s="74">
        <f>G10</f>
        <v>1000</v>
      </c>
      <c r="I10" s="74">
        <f>H10</f>
        <v>1000</v>
      </c>
      <c r="J10" s="74">
        <f>I10</f>
        <v>1000</v>
      </c>
      <c r="K10" s="74">
        <f>J10</f>
        <v>1000</v>
      </c>
      <c r="L10" s="74">
        <f>K10</f>
        <v>1000</v>
      </c>
    </row>
    <row r="11" spans="1:12" s="188" customFormat="1" ht="12.75">
      <c r="A11" s="197" t="s">
        <v>288</v>
      </c>
      <c r="B11" s="153"/>
      <c r="C11" s="153"/>
      <c r="D11" s="198"/>
      <c r="E11" s="187">
        <v>351932.82</v>
      </c>
      <c r="F11" s="187">
        <v>351932.823</v>
      </c>
      <c r="G11" s="187">
        <v>351932.823</v>
      </c>
      <c r="H11" s="187">
        <v>351932.823</v>
      </c>
      <c r="I11" s="187">
        <v>351932.823</v>
      </c>
      <c r="J11" s="187">
        <v>351932.823</v>
      </c>
      <c r="K11" s="187">
        <v>351932.823</v>
      </c>
      <c r="L11" s="187">
        <v>351932.823</v>
      </c>
    </row>
    <row r="12" spans="1:12" ht="12.75">
      <c r="A12" s="89"/>
      <c r="B12" s="51"/>
      <c r="C12" s="51"/>
      <c r="D12" s="90"/>
      <c r="E12" s="78"/>
      <c r="F12" s="74"/>
      <c r="G12" s="74"/>
      <c r="H12" s="74"/>
      <c r="I12" s="74"/>
      <c r="J12" s="74"/>
      <c r="K12" s="74"/>
      <c r="L12" s="74"/>
    </row>
    <row r="13" spans="1:12" ht="15">
      <c r="A13" s="69"/>
      <c r="B13" s="347"/>
      <c r="C13" s="347"/>
      <c r="D13" s="397"/>
      <c r="E13" s="79">
        <f>E16+E17+E18+E19</f>
        <v>1017600</v>
      </c>
      <c r="F13" s="79">
        <f aca="true" t="shared" si="1" ref="F13:L13">F16+F17+F18+F19</f>
        <v>1017600</v>
      </c>
      <c r="G13" s="79">
        <f t="shared" si="1"/>
        <v>1119360</v>
      </c>
      <c r="H13" s="79">
        <f t="shared" si="1"/>
        <v>1119360</v>
      </c>
      <c r="I13" s="79">
        <f t="shared" si="1"/>
        <v>1231296.0000000002</v>
      </c>
      <c r="J13" s="79">
        <f t="shared" si="1"/>
        <v>1231296.0000000002</v>
      </c>
      <c r="K13" s="79">
        <f t="shared" si="1"/>
        <v>1354425.6000000003</v>
      </c>
      <c r="L13" s="79">
        <f t="shared" si="1"/>
        <v>1354425.6000000003</v>
      </c>
    </row>
    <row r="14" spans="1:12" ht="31.5" customHeight="1">
      <c r="A14" s="167" t="s">
        <v>107</v>
      </c>
      <c r="B14" s="226" t="s">
        <v>108</v>
      </c>
      <c r="C14" s="229" t="s">
        <v>109</v>
      </c>
      <c r="D14" s="167" t="s">
        <v>150</v>
      </c>
      <c r="E14" s="78"/>
      <c r="F14" s="74"/>
      <c r="G14" s="74"/>
      <c r="H14" s="74"/>
      <c r="I14" s="74"/>
      <c r="J14" s="74"/>
      <c r="K14" s="74"/>
      <c r="L14" s="74"/>
    </row>
    <row r="15" spans="1:12" ht="12.75">
      <c r="A15" s="69"/>
      <c r="B15" s="110" t="s">
        <v>242</v>
      </c>
      <c r="C15" s="52"/>
      <c r="D15" s="52"/>
      <c r="E15" s="78"/>
      <c r="F15" s="74"/>
      <c r="G15" s="74"/>
      <c r="H15" s="74"/>
      <c r="I15" s="74"/>
      <c r="J15" s="74"/>
      <c r="K15" s="74"/>
      <c r="L15" s="74"/>
    </row>
    <row r="16" spans="1:12" ht="12.75">
      <c r="A16" s="182" t="s">
        <v>223</v>
      </c>
      <c r="B16" s="144">
        <v>320</v>
      </c>
      <c r="C16" s="144">
        <v>170</v>
      </c>
      <c r="D16" s="144">
        <f>+C16*12</f>
        <v>2040</v>
      </c>
      <c r="E16" s="78">
        <f>D16*B16</f>
        <v>652800</v>
      </c>
      <c r="F16" s="74">
        <f>D16*B16</f>
        <v>652800</v>
      </c>
      <c r="G16" s="74">
        <f>F16*1.1</f>
        <v>718080</v>
      </c>
      <c r="H16" s="74">
        <f>G16</f>
        <v>718080</v>
      </c>
      <c r="I16" s="74">
        <f>H16*1.1</f>
        <v>789888.0000000001</v>
      </c>
      <c r="J16" s="74">
        <f>I16</f>
        <v>789888.0000000001</v>
      </c>
      <c r="K16" s="74">
        <f>J16*1.1</f>
        <v>868876.8000000002</v>
      </c>
      <c r="L16" s="74">
        <f>K16</f>
        <v>868876.8000000002</v>
      </c>
    </row>
    <row r="17" spans="1:12" ht="12.75">
      <c r="A17" s="183" t="s">
        <v>201</v>
      </c>
      <c r="B17" s="112">
        <v>10</v>
      </c>
      <c r="C17" s="112">
        <v>200</v>
      </c>
      <c r="D17" s="112">
        <f>+C17*12</f>
        <v>2400</v>
      </c>
      <c r="E17" s="78">
        <f>D17*B17</f>
        <v>24000</v>
      </c>
      <c r="F17" s="74">
        <f>D17*B17</f>
        <v>24000</v>
      </c>
      <c r="G17" s="74">
        <f>F17*1.1</f>
        <v>26400.000000000004</v>
      </c>
      <c r="H17" s="74">
        <f>G17</f>
        <v>26400.000000000004</v>
      </c>
      <c r="I17" s="74">
        <f>H17*1.1</f>
        <v>29040.000000000007</v>
      </c>
      <c r="J17" s="74">
        <f>I17</f>
        <v>29040.000000000007</v>
      </c>
      <c r="K17" s="74">
        <f>J17*1.1</f>
        <v>31944.00000000001</v>
      </c>
      <c r="L17" s="74">
        <f>K17</f>
        <v>31944.00000000001</v>
      </c>
    </row>
    <row r="18" spans="1:12" ht="12.75">
      <c r="A18" s="183" t="s">
        <v>204</v>
      </c>
      <c r="B18" s="112">
        <v>24</v>
      </c>
      <c r="C18" s="112">
        <v>100</v>
      </c>
      <c r="D18" s="112">
        <f>+C18*12</f>
        <v>1200</v>
      </c>
      <c r="E18" s="78">
        <f>D18*B18</f>
        <v>28800</v>
      </c>
      <c r="F18" s="74">
        <f>D18*B18</f>
        <v>28800</v>
      </c>
      <c r="G18" s="74">
        <f>F18*1.1</f>
        <v>31680.000000000004</v>
      </c>
      <c r="H18" s="74">
        <f>G18</f>
        <v>31680.000000000004</v>
      </c>
      <c r="I18" s="74">
        <f>H18*1.1</f>
        <v>34848.00000000001</v>
      </c>
      <c r="J18" s="74">
        <f>I18</f>
        <v>34848.00000000001</v>
      </c>
      <c r="K18" s="74">
        <f>J18*1.1</f>
        <v>38332.80000000001</v>
      </c>
      <c r="L18" s="74">
        <f>K18</f>
        <v>38332.80000000001</v>
      </c>
    </row>
    <row r="19" spans="1:12" ht="12.75">
      <c r="A19" s="323" t="s">
        <v>268</v>
      </c>
      <c r="B19" s="145">
        <v>130</v>
      </c>
      <c r="C19" s="145">
        <v>200</v>
      </c>
      <c r="D19" s="145">
        <f>200*12</f>
        <v>2400</v>
      </c>
      <c r="E19" s="78">
        <f>D19*B19</f>
        <v>312000</v>
      </c>
      <c r="F19" s="74">
        <f>D19*B19</f>
        <v>312000</v>
      </c>
      <c r="G19" s="74">
        <f>F19*1.1</f>
        <v>343200</v>
      </c>
      <c r="H19" s="74">
        <f>G19</f>
        <v>343200</v>
      </c>
      <c r="I19" s="74">
        <f>H19*1.1</f>
        <v>377520.00000000006</v>
      </c>
      <c r="J19" s="74">
        <f>I19</f>
        <v>377520.00000000006</v>
      </c>
      <c r="K19" s="74">
        <f>J19*1.1</f>
        <v>415272.0000000001</v>
      </c>
      <c r="L19" s="74">
        <f>K19</f>
        <v>415272.0000000001</v>
      </c>
    </row>
    <row r="20" spans="1:12" ht="12.75">
      <c r="A20" s="69"/>
      <c r="B20" s="52"/>
      <c r="C20" s="52" t="s">
        <v>205</v>
      </c>
      <c r="D20" s="52"/>
      <c r="E20" s="78"/>
      <c r="F20" s="74">
        <f>D20*B20</f>
        <v>0</v>
      </c>
      <c r="G20" s="74"/>
      <c r="H20" s="74"/>
      <c r="I20" s="74"/>
      <c r="J20" s="74"/>
      <c r="K20" s="74"/>
      <c r="L20" s="74"/>
    </row>
    <row r="21" spans="1:12" ht="15">
      <c r="A21" s="385" t="s">
        <v>106</v>
      </c>
      <c r="B21" s="351"/>
      <c r="C21" s="351"/>
      <c r="D21" s="352"/>
      <c r="E21" s="79">
        <f>'Carga Fabril'!E44</f>
        <v>2211577.45408</v>
      </c>
      <c r="F21" s="75">
        <f>'Carga Fabril'!F44</f>
        <v>2213233.45408</v>
      </c>
      <c r="G21" s="75">
        <f>'Carga Fabril'!G44</f>
        <v>2215055.05408</v>
      </c>
      <c r="H21" s="75">
        <f>'Carga Fabril'!H44</f>
        <v>2217058.81408</v>
      </c>
      <c r="I21" s="75">
        <f>'Carga Fabril'!I44</f>
        <v>2219262.9500800003</v>
      </c>
      <c r="J21" s="75">
        <f>'Carga Fabril'!J44</f>
        <v>2221687.4996800004</v>
      </c>
      <c r="K21" s="75">
        <f>'Carga Fabril'!K44</f>
        <v>2224354.50424</v>
      </c>
      <c r="L21" s="75">
        <f>'Carga Fabril'!L44</f>
        <v>2227288.2092560004</v>
      </c>
    </row>
    <row r="22" spans="1:12" ht="12.75">
      <c r="A22" s="69"/>
      <c r="B22" s="52"/>
      <c r="C22" s="52"/>
      <c r="D22" s="52"/>
      <c r="E22" s="78"/>
      <c r="F22" s="74"/>
      <c r="G22" s="74"/>
      <c r="H22" s="74"/>
      <c r="I22" s="74"/>
      <c r="J22" s="74"/>
      <c r="K22" s="74"/>
      <c r="L22" s="74"/>
    </row>
    <row r="23" spans="1:12" ht="12.75">
      <c r="A23" s="385" t="s">
        <v>151</v>
      </c>
      <c r="B23" s="351"/>
      <c r="C23" s="351"/>
      <c r="D23" s="352"/>
      <c r="E23" s="80">
        <f aca="true" t="shared" si="2" ref="E23:L23">E21+E13+E8</f>
        <v>6082110.27408</v>
      </c>
      <c r="F23" s="76">
        <f t="shared" si="2"/>
        <v>6083766.277079999</v>
      </c>
      <c r="G23" s="76">
        <f t="shared" si="2"/>
        <v>6187347.87708</v>
      </c>
      <c r="H23" s="76">
        <f t="shared" si="2"/>
        <v>6189351.63708</v>
      </c>
      <c r="I23" s="76">
        <f t="shared" si="2"/>
        <v>6303491.773080001</v>
      </c>
      <c r="J23" s="76">
        <f t="shared" si="2"/>
        <v>6305916.32268</v>
      </c>
      <c r="K23" s="76">
        <f t="shared" si="2"/>
        <v>6431712.92724</v>
      </c>
      <c r="L23" s="76">
        <f t="shared" si="2"/>
        <v>6434646.632256</v>
      </c>
    </row>
    <row r="30" spans="1:13" ht="18" hidden="1">
      <c r="A30" s="366" t="s">
        <v>147</v>
      </c>
      <c r="B30" s="366"/>
      <c r="C30" s="366"/>
      <c r="D30" s="366"/>
      <c r="E30" s="366"/>
      <c r="F30" s="366"/>
      <c r="G30" s="366"/>
      <c r="H30" s="366"/>
      <c r="I30" s="345"/>
      <c r="J30" s="345"/>
      <c r="K30" s="345"/>
      <c r="L30" s="345"/>
      <c r="M30" s="345"/>
    </row>
    <row r="31" spans="1:13" ht="12.75" hidden="1">
      <c r="A31" s="367" t="s">
        <v>309</v>
      </c>
      <c r="B31" s="367"/>
      <c r="C31" s="367"/>
      <c r="D31" s="367"/>
      <c r="E31" s="367"/>
      <c r="F31" s="367"/>
      <c r="G31" s="367"/>
      <c r="H31" s="367"/>
      <c r="I31" s="73"/>
      <c r="J31" s="73"/>
      <c r="K31" s="73"/>
      <c r="L31" s="73"/>
      <c r="M31" s="73"/>
    </row>
    <row r="32" spans="1:13" ht="12.75" hidden="1">
      <c r="A32" s="367" t="s">
        <v>208</v>
      </c>
      <c r="B32" s="367"/>
      <c r="C32" s="367"/>
      <c r="D32" s="367"/>
      <c r="E32" s="367"/>
      <c r="F32" s="367"/>
      <c r="G32" s="367"/>
      <c r="H32" s="367"/>
      <c r="I32" s="73"/>
      <c r="J32" s="73"/>
      <c r="K32" s="73"/>
      <c r="L32" s="73"/>
      <c r="M32" s="73"/>
    </row>
    <row r="33" ht="12.75" hidden="1"/>
    <row r="34" spans="1:8" ht="16.5" hidden="1">
      <c r="A34" s="176" t="s">
        <v>148</v>
      </c>
      <c r="B34" s="100"/>
      <c r="C34" s="177"/>
      <c r="D34" s="178"/>
      <c r="E34" s="81">
        <v>2006</v>
      </c>
      <c r="F34" s="200">
        <v>2009</v>
      </c>
      <c r="G34" s="201">
        <v>2012</v>
      </c>
      <c r="H34" s="201">
        <v>2013</v>
      </c>
    </row>
    <row r="35" spans="1:8" ht="15" hidden="1">
      <c r="A35" s="199" t="s">
        <v>149</v>
      </c>
      <c r="B35" s="52"/>
      <c r="C35" s="73"/>
      <c r="D35" s="195"/>
      <c r="E35" s="77">
        <f>SUM(E36:E39)</f>
        <v>2852932.82</v>
      </c>
      <c r="F35" s="77">
        <f>SUM(F36:F39)</f>
        <v>2852932.823</v>
      </c>
      <c r="G35" s="77">
        <f>SUM(G36:G39)</f>
        <v>2852932.823</v>
      </c>
      <c r="H35" s="77">
        <f>SUM(H36:H39)</f>
        <v>2852932.823</v>
      </c>
    </row>
    <row r="36" spans="1:8" ht="12.75" hidden="1">
      <c r="A36" s="196" t="s">
        <v>206</v>
      </c>
      <c r="B36" s="52"/>
      <c r="C36" s="52"/>
      <c r="D36" s="43"/>
      <c r="E36" s="78">
        <v>2500000</v>
      </c>
      <c r="F36" s="78">
        <v>2500000</v>
      </c>
      <c r="G36" s="78">
        <v>2500000</v>
      </c>
      <c r="H36" s="78">
        <v>2500000</v>
      </c>
    </row>
    <row r="37" spans="1:8" ht="12.75" hidden="1">
      <c r="A37" s="69" t="s">
        <v>172</v>
      </c>
      <c r="B37" s="52"/>
      <c r="C37" s="52"/>
      <c r="D37" s="43"/>
      <c r="E37" s="78">
        <v>1000</v>
      </c>
      <c r="F37" s="74">
        <f>E37</f>
        <v>1000</v>
      </c>
      <c r="G37" s="74">
        <f>F37</f>
        <v>1000</v>
      </c>
      <c r="H37" s="74">
        <f>G37</f>
        <v>1000</v>
      </c>
    </row>
    <row r="38" spans="1:8" ht="12.75" hidden="1">
      <c r="A38" s="197" t="s">
        <v>288</v>
      </c>
      <c r="B38" s="153"/>
      <c r="C38" s="153"/>
      <c r="D38" s="198"/>
      <c r="E38" s="187">
        <v>351932.82</v>
      </c>
      <c r="F38" s="187">
        <v>351932.823</v>
      </c>
      <c r="G38" s="187">
        <v>351932.823</v>
      </c>
      <c r="H38" s="187">
        <v>351932.823</v>
      </c>
    </row>
    <row r="39" spans="1:8" ht="12.75" hidden="1">
      <c r="A39" s="89"/>
      <c r="B39" s="51"/>
      <c r="C39" s="51"/>
      <c r="D39" s="90"/>
      <c r="E39" s="78"/>
      <c r="F39" s="74"/>
      <c r="G39" s="74"/>
      <c r="H39" s="74"/>
    </row>
    <row r="40" spans="1:8" ht="15" hidden="1">
      <c r="A40" s="69"/>
      <c r="B40" s="347"/>
      <c r="C40" s="347"/>
      <c r="D40" s="397"/>
      <c r="E40" s="79">
        <f>E43+E44+E45+E46</f>
        <v>1017600</v>
      </c>
      <c r="F40" s="79">
        <f>F43+F44+F45+F46</f>
        <v>1119360</v>
      </c>
      <c r="G40" s="79">
        <f>G43+G44+G45+G46</f>
        <v>1354425.6000000003</v>
      </c>
      <c r="H40" s="79">
        <f>H43+H44+H45+H46</f>
        <v>1354425.6000000003</v>
      </c>
    </row>
    <row r="41" spans="1:8" ht="25.5" hidden="1">
      <c r="A41" s="167" t="s">
        <v>107</v>
      </c>
      <c r="B41" s="226" t="s">
        <v>108</v>
      </c>
      <c r="C41" s="229" t="s">
        <v>109</v>
      </c>
      <c r="D41" s="167" t="s">
        <v>150</v>
      </c>
      <c r="E41" s="78"/>
      <c r="F41" s="74"/>
      <c r="G41" s="74"/>
      <c r="H41" s="74"/>
    </row>
    <row r="42" spans="1:8" ht="12.75" hidden="1">
      <c r="A42" s="69"/>
      <c r="B42" s="110" t="s">
        <v>242</v>
      </c>
      <c r="C42" s="52"/>
      <c r="D42" s="52"/>
      <c r="E42" s="78"/>
      <c r="F42" s="74"/>
      <c r="G42" s="74"/>
      <c r="H42" s="74"/>
    </row>
    <row r="43" spans="1:8" ht="12.75" hidden="1">
      <c r="A43" s="182" t="s">
        <v>223</v>
      </c>
      <c r="B43" s="144">
        <v>320</v>
      </c>
      <c r="C43" s="144">
        <v>170</v>
      </c>
      <c r="D43" s="144">
        <f>+C43*12</f>
        <v>2040</v>
      </c>
      <c r="E43" s="78">
        <f>D43*B43</f>
        <v>652800</v>
      </c>
      <c r="F43" s="74">
        <f>H16</f>
        <v>718080</v>
      </c>
      <c r="G43" s="74">
        <f aca="true" t="shared" si="3" ref="G43:H46">K16</f>
        <v>868876.8000000002</v>
      </c>
      <c r="H43" s="74">
        <f t="shared" si="3"/>
        <v>868876.8000000002</v>
      </c>
    </row>
    <row r="44" spans="1:8" ht="12.75" hidden="1">
      <c r="A44" s="183" t="s">
        <v>201</v>
      </c>
      <c r="B44" s="112">
        <v>10</v>
      </c>
      <c r="C44" s="112">
        <v>200</v>
      </c>
      <c r="D44" s="112">
        <f>+C44*12</f>
        <v>2400</v>
      </c>
      <c r="E44" s="78">
        <f>D44*B44</f>
        <v>24000</v>
      </c>
      <c r="F44" s="74">
        <f>H17</f>
        <v>26400.000000000004</v>
      </c>
      <c r="G44" s="74">
        <f t="shared" si="3"/>
        <v>31944.00000000001</v>
      </c>
      <c r="H44" s="74">
        <f t="shared" si="3"/>
        <v>31944.00000000001</v>
      </c>
    </row>
    <row r="45" spans="1:8" ht="12.75" hidden="1">
      <c r="A45" s="183" t="s">
        <v>204</v>
      </c>
      <c r="B45" s="112">
        <v>24</v>
      </c>
      <c r="C45" s="112">
        <v>100</v>
      </c>
      <c r="D45" s="112">
        <f>+C45*12</f>
        <v>1200</v>
      </c>
      <c r="E45" s="78">
        <f>D45*B45</f>
        <v>28800</v>
      </c>
      <c r="F45" s="74">
        <f>H18</f>
        <v>31680.000000000004</v>
      </c>
      <c r="G45" s="74">
        <f t="shared" si="3"/>
        <v>38332.80000000001</v>
      </c>
      <c r="H45" s="74">
        <f t="shared" si="3"/>
        <v>38332.80000000001</v>
      </c>
    </row>
    <row r="46" spans="1:8" ht="12.75" hidden="1">
      <c r="A46" s="323" t="s">
        <v>268</v>
      </c>
      <c r="B46" s="145">
        <v>130</v>
      </c>
      <c r="C46" s="145">
        <v>200</v>
      </c>
      <c r="D46" s="145">
        <f>200*12</f>
        <v>2400</v>
      </c>
      <c r="E46" s="78">
        <f>D46*B46</f>
        <v>312000</v>
      </c>
      <c r="F46" s="74">
        <f>H19</f>
        <v>343200</v>
      </c>
      <c r="G46" s="74">
        <f t="shared" si="3"/>
        <v>415272.0000000001</v>
      </c>
      <c r="H46" s="74">
        <f t="shared" si="3"/>
        <v>415272.0000000001</v>
      </c>
    </row>
    <row r="47" spans="1:8" ht="12.75" hidden="1">
      <c r="A47" s="52" t="s">
        <v>205</v>
      </c>
      <c r="B47" s="52"/>
      <c r="D47" s="52"/>
      <c r="E47" s="78"/>
      <c r="F47" s="74"/>
      <c r="G47" s="74"/>
      <c r="H47" s="74"/>
    </row>
    <row r="48" spans="1:8" ht="15" hidden="1">
      <c r="A48" s="385" t="s">
        <v>106</v>
      </c>
      <c r="B48" s="351"/>
      <c r="C48" s="351"/>
      <c r="D48" s="352"/>
      <c r="E48" s="79">
        <f>'Carga Fabril'!E44</f>
        <v>2211577.45408</v>
      </c>
      <c r="F48" s="79">
        <f>'Carga Fabril'!H44</f>
        <v>2217058.81408</v>
      </c>
      <c r="G48" s="79">
        <f>'Carga Fabril'!K44</f>
        <v>2224354.50424</v>
      </c>
      <c r="H48" s="79">
        <f>'Carga Fabril'!L44</f>
        <v>2227288.2092560004</v>
      </c>
    </row>
    <row r="49" spans="1:8" ht="12.75" hidden="1">
      <c r="A49" s="69"/>
      <c r="B49" s="52"/>
      <c r="C49" s="52"/>
      <c r="D49" s="52"/>
      <c r="E49" s="78"/>
      <c r="F49" s="74"/>
      <c r="G49" s="74"/>
      <c r="H49" s="74"/>
    </row>
    <row r="50" spans="1:8" ht="12.75" hidden="1">
      <c r="A50" s="385" t="s">
        <v>151</v>
      </c>
      <c r="B50" s="351"/>
      <c r="C50" s="351"/>
      <c r="D50" s="352"/>
      <c r="E50" s="80">
        <f>E48+E40+E35</f>
        <v>6082110.27408</v>
      </c>
      <c r="F50" s="76">
        <f>F48+F40+F35</f>
        <v>6189351.63708</v>
      </c>
      <c r="G50" s="76">
        <f>G48+G40+G35</f>
        <v>6431712.92724</v>
      </c>
      <c r="H50" s="76">
        <f>H48+H40+H35</f>
        <v>6434646.632256</v>
      </c>
    </row>
    <row r="51" ht="12.75" hidden="1"/>
    <row r="52" ht="12.75" hidden="1"/>
    <row r="53" ht="12.75" hidden="1"/>
  </sheetData>
  <mergeCells count="12">
    <mergeCell ref="A30:H30"/>
    <mergeCell ref="A31:H31"/>
    <mergeCell ref="A3:L3"/>
    <mergeCell ref="A21:D21"/>
    <mergeCell ref="A23:D23"/>
    <mergeCell ref="B13:D13"/>
    <mergeCell ref="A4:L4"/>
    <mergeCell ref="A5:L5"/>
    <mergeCell ref="A32:H32"/>
    <mergeCell ref="B40:D40"/>
    <mergeCell ref="A48:D48"/>
    <mergeCell ref="A50:D5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landscape" paperSize="9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65" zoomScaleNormal="65" workbookViewId="0" topLeftCell="A10">
      <selection activeCell="I29" sqref="I29"/>
    </sheetView>
  </sheetViews>
  <sheetFormatPr defaultColWidth="11.421875" defaultRowHeight="12.75"/>
  <cols>
    <col min="1" max="1" width="43.421875" style="0" customWidth="1"/>
    <col min="2" max="2" width="19.421875" style="0" bestFit="1" customWidth="1"/>
    <col min="3" max="3" width="19.421875" style="0" customWidth="1"/>
    <col min="4" max="5" width="19.421875" style="0" bestFit="1" customWidth="1"/>
    <col min="6" max="6" width="19.8515625" style="0" customWidth="1"/>
    <col min="7" max="7" width="20.421875" style="0" bestFit="1" customWidth="1"/>
    <col min="8" max="8" width="19.00390625" style="0" customWidth="1"/>
    <col min="9" max="9" width="18.57421875" style="0" bestFit="1" customWidth="1"/>
  </cols>
  <sheetData>
    <row r="1" ht="20.25">
      <c r="A1" s="289" t="s">
        <v>316</v>
      </c>
    </row>
    <row r="3" spans="1:9" ht="18">
      <c r="A3" s="398" t="s">
        <v>207</v>
      </c>
      <c r="B3" s="398"/>
      <c r="C3" s="398"/>
      <c r="D3" s="398"/>
      <c r="E3" s="398"/>
      <c r="F3" s="398"/>
      <c r="G3" s="398"/>
      <c r="H3" s="398"/>
      <c r="I3" s="398"/>
    </row>
    <row r="4" spans="1:9" ht="12.75">
      <c r="A4" s="367" t="s">
        <v>309</v>
      </c>
      <c r="B4" s="367"/>
      <c r="C4" s="367"/>
      <c r="D4" s="367"/>
      <c r="E4" s="367"/>
      <c r="F4" s="367"/>
      <c r="G4" s="367"/>
      <c r="H4" s="367"/>
      <c r="I4" s="367"/>
    </row>
    <row r="5" spans="1:9" ht="12.75">
      <c r="A5" s="367" t="s">
        <v>208</v>
      </c>
      <c r="B5" s="367"/>
      <c r="C5" s="367"/>
      <c r="D5" s="367"/>
      <c r="E5" s="367"/>
      <c r="F5" s="367"/>
      <c r="G5" s="367"/>
      <c r="H5" s="367"/>
      <c r="I5" s="367"/>
    </row>
    <row r="6" spans="1:9" ht="12.75">
      <c r="A6" s="319"/>
      <c r="B6" s="319"/>
      <c r="C6" s="319"/>
      <c r="D6" s="319"/>
      <c r="E6" s="319"/>
      <c r="F6" s="319"/>
      <c r="G6" s="319"/>
      <c r="H6" s="319"/>
      <c r="I6" s="319"/>
    </row>
    <row r="7" spans="1:9" ht="12.75">
      <c r="A7" s="320" t="s">
        <v>209</v>
      </c>
      <c r="B7" s="167">
        <v>2006</v>
      </c>
      <c r="C7" s="167">
        <v>2007</v>
      </c>
      <c r="D7" s="167">
        <v>2008</v>
      </c>
      <c r="E7" s="167">
        <v>2009</v>
      </c>
      <c r="F7" s="224">
        <v>2010</v>
      </c>
      <c r="G7" s="167">
        <v>2011</v>
      </c>
      <c r="H7" s="167">
        <v>2012</v>
      </c>
      <c r="I7" s="225">
        <v>2013</v>
      </c>
    </row>
    <row r="8" spans="1:9" ht="12.75">
      <c r="A8" s="95"/>
      <c r="B8" s="120"/>
      <c r="C8" s="120"/>
      <c r="D8" s="120"/>
      <c r="E8" s="120"/>
      <c r="F8" s="120"/>
      <c r="G8" s="95"/>
      <c r="H8" s="122"/>
      <c r="I8" s="95"/>
    </row>
    <row r="9" spans="1:9" ht="12.75">
      <c r="A9" s="206" t="s">
        <v>101</v>
      </c>
      <c r="B9" s="193">
        <f>'FC OPERADOR S.A.'!C9</f>
        <v>7954472.9877</v>
      </c>
      <c r="C9" s="193">
        <f>'FC OPERADOR S.A.'!D9</f>
        <v>7954472.9877</v>
      </c>
      <c r="D9" s="193">
        <f>'FC OPERADOR S.A.'!E9</f>
        <v>7954472.9877</v>
      </c>
      <c r="E9" s="193">
        <f>'FC OPERADOR S.A.'!F9</f>
        <v>7954472.9877</v>
      </c>
      <c r="F9" s="193">
        <f>'FC OPERADOR S.A.'!G9</f>
        <v>7954472.9877</v>
      </c>
      <c r="G9" s="193">
        <f>'FC OPERADOR S.A.'!H9</f>
        <v>7954472.9877</v>
      </c>
      <c r="H9" s="193">
        <f>'FC OPERADOR S.A.'!I9</f>
        <v>7954472.9877</v>
      </c>
      <c r="I9" s="193">
        <f>'FC OPERADOR S.A.'!J9</f>
        <v>7954472.9877</v>
      </c>
    </row>
    <row r="10" spans="1:9" ht="12.75">
      <c r="A10" s="206"/>
      <c r="B10" s="69"/>
      <c r="C10" s="69"/>
      <c r="D10" s="69"/>
      <c r="E10" s="69"/>
      <c r="F10" s="69"/>
      <c r="G10" s="42"/>
      <c r="H10" s="43"/>
      <c r="I10" s="42"/>
    </row>
    <row r="11" spans="1:9" ht="12.75">
      <c r="A11" s="206" t="s">
        <v>210</v>
      </c>
      <c r="B11" s="193">
        <f>'Costos Prod'!E23</f>
        <v>6082110.27408</v>
      </c>
      <c r="C11" s="193">
        <f>'Costos Prod'!F23</f>
        <v>6083766.277079999</v>
      </c>
      <c r="D11" s="193">
        <f>'Costos Prod'!G23</f>
        <v>6187347.87708</v>
      </c>
      <c r="E11" s="193">
        <f>'Costos Prod'!H23</f>
        <v>6189351.63708</v>
      </c>
      <c r="F11" s="193">
        <f>'Costos Prod'!I23</f>
        <v>6303491.773080001</v>
      </c>
      <c r="G11" s="60">
        <f>'Costos Prod'!J23</f>
        <v>6305916.32268</v>
      </c>
      <c r="H11" s="57">
        <f>'Costos Prod'!K23</f>
        <v>6431712.92724</v>
      </c>
      <c r="I11" s="60">
        <f>'Costos Prod'!L23</f>
        <v>6434646.632256</v>
      </c>
    </row>
    <row r="12" spans="1:9" ht="12.75">
      <c r="A12" s="206"/>
      <c r="B12" s="69"/>
      <c r="C12" s="69"/>
      <c r="D12" s="69"/>
      <c r="E12" s="69"/>
      <c r="F12" s="69"/>
      <c r="G12" s="42"/>
      <c r="H12" s="43"/>
      <c r="I12" s="42"/>
    </row>
    <row r="13" spans="1:9" s="1" customFormat="1" ht="12.75">
      <c r="A13" s="217" t="s">
        <v>211</v>
      </c>
      <c r="B13" s="235">
        <f>B9-B11</f>
        <v>1872362.7136200005</v>
      </c>
      <c r="C13" s="235">
        <f aca="true" t="shared" si="0" ref="C13:I13">C9-C11</f>
        <v>1870706.710620001</v>
      </c>
      <c r="D13" s="235">
        <f t="shared" si="0"/>
        <v>1767125.1106200004</v>
      </c>
      <c r="E13" s="235">
        <f t="shared" si="0"/>
        <v>1765121.3506200006</v>
      </c>
      <c r="F13" s="235">
        <f t="shared" si="0"/>
        <v>1650981.2146199998</v>
      </c>
      <c r="G13" s="234">
        <f>G9-G11</f>
        <v>1648556.6650200002</v>
      </c>
      <c r="H13" s="222">
        <f t="shared" si="0"/>
        <v>1522760.0604600003</v>
      </c>
      <c r="I13" s="234">
        <f t="shared" si="0"/>
        <v>1519826.355444</v>
      </c>
    </row>
    <row r="14" spans="1:9" ht="12.75">
      <c r="A14" s="206"/>
      <c r="B14" s="69"/>
      <c r="C14" s="69"/>
      <c r="D14" s="69"/>
      <c r="E14" s="69"/>
      <c r="F14" s="69"/>
      <c r="G14" s="42"/>
      <c r="H14" s="43"/>
      <c r="I14" s="42"/>
    </row>
    <row r="15" spans="1:9" ht="12.75">
      <c r="A15" s="206" t="s">
        <v>212</v>
      </c>
      <c r="B15" s="193">
        <f>'Gto Vts'!E18+'Gto Adm'!E8</f>
        <v>215095.68</v>
      </c>
      <c r="C15" s="70">
        <f>'Gto Vts'!F18+'Gto Adm'!F8</f>
        <v>218695.68</v>
      </c>
      <c r="D15" s="70">
        <f>'Gto Vts'!G18+'Gto Adm'!G8</f>
        <v>239647.68</v>
      </c>
      <c r="E15" s="70">
        <f>'Gto Vts'!H18+'Gto Adm'!H8</f>
        <v>244003.68</v>
      </c>
      <c r="F15" s="70">
        <f>'Gto Vts'!I18+'Gto Adm'!I8</f>
        <v>267486.48000000004</v>
      </c>
      <c r="G15" s="168">
        <f>'Gto Vts'!J18+'Gto Adm'!J8</f>
        <v>272757.24000000005</v>
      </c>
      <c r="H15" s="46">
        <f>'Gto Vts'!K18+'Gto Adm'!K8</f>
        <v>299115.3960000001</v>
      </c>
      <c r="I15" s="168">
        <f>'Gto Vts'!L18+'Gto Adm'!L8</f>
        <v>305493.0156000001</v>
      </c>
    </row>
    <row r="16" spans="1:9" ht="12.75">
      <c r="A16" s="206"/>
      <c r="B16" s="69"/>
      <c r="C16" s="69"/>
      <c r="D16" s="69"/>
      <c r="E16" s="69"/>
      <c r="F16" s="69"/>
      <c r="G16" s="42"/>
      <c r="H16" s="43"/>
      <c r="I16" s="42"/>
    </row>
    <row r="17" spans="1:9" s="1" customFormat="1" ht="12.75">
      <c r="A17" s="217" t="s">
        <v>213</v>
      </c>
      <c r="B17" s="235">
        <f>B13-B15</f>
        <v>1657267.0336200006</v>
      </c>
      <c r="C17" s="235">
        <f aca="true" t="shared" si="1" ref="C17:I17">C13-C15</f>
        <v>1652011.030620001</v>
      </c>
      <c r="D17" s="235">
        <f t="shared" si="1"/>
        <v>1527477.4306200005</v>
      </c>
      <c r="E17" s="235">
        <f t="shared" si="1"/>
        <v>1521117.6706200007</v>
      </c>
      <c r="F17" s="235">
        <f t="shared" si="1"/>
        <v>1383494.7346199998</v>
      </c>
      <c r="G17" s="234">
        <f t="shared" si="1"/>
        <v>1375799.4250200002</v>
      </c>
      <c r="H17" s="222">
        <f t="shared" si="1"/>
        <v>1223644.66446</v>
      </c>
      <c r="I17" s="234">
        <f t="shared" si="1"/>
        <v>1214333.339844</v>
      </c>
    </row>
    <row r="18" spans="1:9" ht="12.75">
      <c r="A18" s="206"/>
      <c r="B18" s="69"/>
      <c r="C18" s="69"/>
      <c r="D18" s="69"/>
      <c r="E18" s="69"/>
      <c r="F18" s="69"/>
      <c r="G18" s="42"/>
      <c r="H18" s="43"/>
      <c r="I18" s="42"/>
    </row>
    <row r="19" spans="1:9" ht="12.75">
      <c r="A19" s="206" t="s">
        <v>214</v>
      </c>
      <c r="B19" s="238">
        <f>B39</f>
        <v>721659.8023375679</v>
      </c>
      <c r="C19" s="238">
        <f aca="true" t="shared" si="2" ref="C19:I19">C39</f>
        <v>722262.1402813678</v>
      </c>
      <c r="D19" s="238">
        <f t="shared" si="2"/>
        <v>736533.6908413679</v>
      </c>
      <c r="E19" s="238">
        <f t="shared" si="2"/>
        <v>737262.5193373678</v>
      </c>
      <c r="F19" s="238">
        <f t="shared" si="2"/>
        <v>753034.1078029681</v>
      </c>
      <c r="G19" s="221">
        <f t="shared" si="2"/>
        <v>753915.990283128</v>
      </c>
      <c r="H19" s="208">
        <f t="shared" si="2"/>
        <v>771352.9258433039</v>
      </c>
      <c r="I19" s="221">
        <f t="shared" si="2"/>
        <v>772420.0036442976</v>
      </c>
    </row>
    <row r="20" spans="1:9" ht="12.75">
      <c r="A20" s="206"/>
      <c r="B20" s="69"/>
      <c r="C20" s="69"/>
      <c r="D20" s="69"/>
      <c r="E20" s="69"/>
      <c r="F20" s="69"/>
      <c r="G20" s="42"/>
      <c r="H20" s="43"/>
      <c r="I20" s="42"/>
    </row>
    <row r="21" spans="1:9" s="1" customFormat="1" ht="12.75">
      <c r="A21" s="217" t="s">
        <v>236</v>
      </c>
      <c r="B21" s="235">
        <f aca="true" t="shared" si="3" ref="B21:I21">B17-B19</f>
        <v>935607.2312824327</v>
      </c>
      <c r="C21" s="235">
        <f t="shared" si="3"/>
        <v>929748.8903386332</v>
      </c>
      <c r="D21" s="235">
        <f t="shared" si="3"/>
        <v>790943.7397786325</v>
      </c>
      <c r="E21" s="235">
        <f t="shared" si="3"/>
        <v>783855.1512826328</v>
      </c>
      <c r="F21" s="235">
        <f t="shared" si="3"/>
        <v>630460.6268170316</v>
      </c>
      <c r="G21" s="234">
        <f t="shared" si="3"/>
        <v>621883.4347368722</v>
      </c>
      <c r="H21" s="222">
        <f t="shared" si="3"/>
        <v>452291.7386166962</v>
      </c>
      <c r="I21" s="234">
        <f t="shared" si="3"/>
        <v>441913.33619970246</v>
      </c>
    </row>
    <row r="22" spans="1:9" ht="12.75">
      <c r="A22" s="206"/>
      <c r="B22" s="193"/>
      <c r="C22" s="193"/>
      <c r="D22" s="193"/>
      <c r="E22" s="193"/>
      <c r="F22" s="193"/>
      <c r="G22" s="60"/>
      <c r="H22" s="57"/>
      <c r="I22" s="60"/>
    </row>
    <row r="23" spans="1:9" ht="12.75">
      <c r="A23" s="206" t="s">
        <v>215</v>
      </c>
      <c r="B23" s="239">
        <f aca="true" t="shared" si="4" ref="B23:I23">+B21*0.15</f>
        <v>140341.0846923649</v>
      </c>
      <c r="C23" s="239">
        <f t="shared" si="4"/>
        <v>139462.33355079498</v>
      </c>
      <c r="D23" s="239">
        <f t="shared" si="4"/>
        <v>118641.56096679487</v>
      </c>
      <c r="E23" s="239">
        <f t="shared" si="4"/>
        <v>117578.27269239492</v>
      </c>
      <c r="F23" s="239">
        <f t="shared" si="4"/>
        <v>94569.09402255474</v>
      </c>
      <c r="G23" s="218">
        <f t="shared" si="4"/>
        <v>93282.51521053082</v>
      </c>
      <c r="H23" s="216">
        <f t="shared" si="4"/>
        <v>67843.76079250443</v>
      </c>
      <c r="I23" s="218">
        <f t="shared" si="4"/>
        <v>66287.00042995537</v>
      </c>
    </row>
    <row r="24" spans="1:9" ht="12.75">
      <c r="A24" s="42"/>
      <c r="B24" s="69"/>
      <c r="C24" s="69"/>
      <c r="D24" s="69"/>
      <c r="E24" s="69"/>
      <c r="F24" s="69"/>
      <c r="G24" s="42"/>
      <c r="H24" s="43"/>
      <c r="I24" s="42"/>
    </row>
    <row r="25" spans="1:9" s="1" customFormat="1" ht="12.75">
      <c r="A25" s="223" t="s">
        <v>233</v>
      </c>
      <c r="B25" s="235">
        <f>B21-B23</f>
        <v>795266.1465900678</v>
      </c>
      <c r="C25" s="235">
        <f aca="true" t="shared" si="5" ref="C25:I25">C21-C23</f>
        <v>790286.5567878382</v>
      </c>
      <c r="D25" s="235">
        <f t="shared" si="5"/>
        <v>672302.1788118377</v>
      </c>
      <c r="E25" s="235">
        <f t="shared" si="5"/>
        <v>666276.8785902379</v>
      </c>
      <c r="F25" s="235">
        <f t="shared" si="5"/>
        <v>535891.532794477</v>
      </c>
      <c r="G25" s="234">
        <f t="shared" si="5"/>
        <v>528600.9195263414</v>
      </c>
      <c r="H25" s="222">
        <f t="shared" si="5"/>
        <v>384447.9778241918</v>
      </c>
      <c r="I25" s="234">
        <f t="shared" si="5"/>
        <v>375626.3357697471</v>
      </c>
    </row>
    <row r="26" spans="1:9" ht="12.75">
      <c r="A26" s="42"/>
      <c r="B26" s="193"/>
      <c r="C26" s="193"/>
      <c r="D26" s="193"/>
      <c r="E26" s="193"/>
      <c r="F26" s="193"/>
      <c r="G26" s="60"/>
      <c r="H26" s="57"/>
      <c r="I26" s="60"/>
    </row>
    <row r="27" spans="1:9" ht="12.75">
      <c r="A27" s="206" t="s">
        <v>229</v>
      </c>
      <c r="B27" s="193">
        <f>B25*0.25</f>
        <v>198816.53664751694</v>
      </c>
      <c r="C27" s="193">
        <f aca="true" t="shared" si="6" ref="C27:H27">C25*0.25</f>
        <v>197571.63919695956</v>
      </c>
      <c r="D27" s="193">
        <f t="shared" si="6"/>
        <v>168075.54470295942</v>
      </c>
      <c r="E27" s="193">
        <f t="shared" si="6"/>
        <v>166569.21964755948</v>
      </c>
      <c r="F27" s="193">
        <f t="shared" si="6"/>
        <v>133972.88319861924</v>
      </c>
      <c r="G27" s="60">
        <f t="shared" si="6"/>
        <v>132150.22988158534</v>
      </c>
      <c r="H27" s="57">
        <f t="shared" si="6"/>
        <v>96111.99445604795</v>
      </c>
      <c r="I27" s="60">
        <f>I25*0.25</f>
        <v>93906.58394243677</v>
      </c>
    </row>
    <row r="28" spans="1:9" ht="12.75">
      <c r="A28" s="206"/>
      <c r="B28" s="69"/>
      <c r="C28" s="69"/>
      <c r="D28" s="69"/>
      <c r="E28" s="69"/>
      <c r="F28" s="69"/>
      <c r="G28" s="42"/>
      <c r="H28" s="43"/>
      <c r="I28" s="42"/>
    </row>
    <row r="29" spans="1:9" s="1" customFormat="1" ht="13.5" thickBot="1">
      <c r="A29" s="223" t="s">
        <v>216</v>
      </c>
      <c r="B29" s="240">
        <f aca="true" t="shared" si="7" ref="B29:I29">B25-B27</f>
        <v>596449.6099425508</v>
      </c>
      <c r="C29" s="240">
        <f t="shared" si="7"/>
        <v>592714.9175908787</v>
      </c>
      <c r="D29" s="240">
        <f t="shared" si="7"/>
        <v>504226.63410887826</v>
      </c>
      <c r="E29" s="240">
        <f t="shared" si="7"/>
        <v>499707.6589426785</v>
      </c>
      <c r="F29" s="240">
        <f t="shared" si="7"/>
        <v>401918.6495958577</v>
      </c>
      <c r="G29" s="236">
        <f t="shared" si="7"/>
        <v>396450.689644756</v>
      </c>
      <c r="H29" s="204">
        <f t="shared" si="7"/>
        <v>288335.98336814385</v>
      </c>
      <c r="I29" s="236">
        <f t="shared" si="7"/>
        <v>281719.7518273103</v>
      </c>
    </row>
    <row r="30" spans="1:9" ht="13.5" thickTop="1">
      <c r="A30" s="206"/>
      <c r="B30" s="69"/>
      <c r="C30" s="69"/>
      <c r="D30" s="69"/>
      <c r="E30" s="69"/>
      <c r="F30" s="69"/>
      <c r="G30" s="42"/>
      <c r="H30" s="43"/>
      <c r="I30" s="42"/>
    </row>
    <row r="31" spans="1:9" ht="12.75">
      <c r="A31" s="206" t="s">
        <v>218</v>
      </c>
      <c r="B31" s="193">
        <f>B29*0.1</f>
        <v>59644.96099425508</v>
      </c>
      <c r="C31" s="193">
        <f aca="true" t="shared" si="8" ref="C31:I31">C29*0.1</f>
        <v>59271.49175908787</v>
      </c>
      <c r="D31" s="193">
        <f t="shared" si="8"/>
        <v>50422.66341088783</v>
      </c>
      <c r="E31" s="193">
        <f t="shared" si="8"/>
        <v>49970.76589426785</v>
      </c>
      <c r="F31" s="193">
        <f t="shared" si="8"/>
        <v>40191.86495958577</v>
      </c>
      <c r="G31" s="60">
        <f t="shared" si="8"/>
        <v>39645.068964475606</v>
      </c>
      <c r="H31" s="57">
        <f t="shared" si="8"/>
        <v>28833.598336814386</v>
      </c>
      <c r="I31" s="60">
        <f t="shared" si="8"/>
        <v>28171.975182731032</v>
      </c>
    </row>
    <row r="32" spans="1:9" ht="12.75">
      <c r="A32" s="206"/>
      <c r="B32" s="69"/>
      <c r="C32" s="69"/>
      <c r="D32" s="69"/>
      <c r="E32" s="69"/>
      <c r="F32" s="69"/>
      <c r="G32" s="42"/>
      <c r="H32" s="43"/>
      <c r="I32" s="42"/>
    </row>
    <row r="33" spans="1:9" ht="12.75">
      <c r="A33" s="207" t="s">
        <v>217</v>
      </c>
      <c r="B33" s="241">
        <f>B29-B31</f>
        <v>536804.6489482957</v>
      </c>
      <c r="C33" s="241">
        <f aca="true" t="shared" si="9" ref="C33:I33">C29-C31</f>
        <v>533443.4258317908</v>
      </c>
      <c r="D33" s="241">
        <f t="shared" si="9"/>
        <v>453803.97069799044</v>
      </c>
      <c r="E33" s="241">
        <f t="shared" si="9"/>
        <v>449736.89304841065</v>
      </c>
      <c r="F33" s="241">
        <f t="shared" si="9"/>
        <v>361726.78463627194</v>
      </c>
      <c r="G33" s="237">
        <f t="shared" si="9"/>
        <v>356805.62068028044</v>
      </c>
      <c r="H33" s="205">
        <f t="shared" si="9"/>
        <v>259502.38503132947</v>
      </c>
      <c r="I33" s="237">
        <f t="shared" si="9"/>
        <v>253547.77664457928</v>
      </c>
    </row>
    <row r="35" spans="2:9" ht="12.75">
      <c r="B35" s="56"/>
      <c r="C35" s="56"/>
      <c r="D35" s="56"/>
      <c r="E35" s="56"/>
      <c r="F35" s="56"/>
      <c r="G35" s="56"/>
      <c r="H35" s="56"/>
      <c r="I35" s="56"/>
    </row>
    <row r="36" ht="12.75">
      <c r="B36" s="56"/>
    </row>
    <row r="37" ht="12.75">
      <c r="B37" s="56"/>
    </row>
    <row r="38" spans="1:9" ht="12.75">
      <c r="A38" s="62" t="s">
        <v>224</v>
      </c>
      <c r="B38" s="56">
        <f>('Gto Vts'!E18+'Gto Adm'!E8+'Costos Prod'!E23)</f>
        <v>6297205.95408</v>
      </c>
      <c r="C38" s="56">
        <f>('Gto Vts'!F18+'Gto Adm'!F8+'Costos Prod'!F23)</f>
        <v>6302461.957079999</v>
      </c>
      <c r="D38" s="56">
        <f>('Gto Vts'!G18+'Gto Adm'!G8+'Costos Prod'!G23)</f>
        <v>6426995.55708</v>
      </c>
      <c r="E38" s="56">
        <f>('Gto Vts'!H18+'Gto Adm'!H8+'Costos Prod'!H23)</f>
        <v>6433355.3170799995</v>
      </c>
      <c r="F38" s="56">
        <f>('Gto Vts'!I18+'Gto Adm'!I8+'Costos Prod'!I23)</f>
        <v>6570978.253080001</v>
      </c>
      <c r="G38" s="56">
        <f>('Gto Vts'!J18+'Gto Adm'!J8+'Costos Prod'!J23)</f>
        <v>6578673.56268</v>
      </c>
      <c r="H38" s="56">
        <f>('Gto Vts'!K18+'Gto Adm'!K8+'Costos Prod'!K23)</f>
        <v>6730828.32324</v>
      </c>
      <c r="I38" s="56">
        <f>('Gto Vts'!L18+'Gto Adm'!L8+'Costos Prod'!L23)</f>
        <v>6740139.647856001</v>
      </c>
    </row>
    <row r="39" spans="1:9" ht="12.75">
      <c r="A39" s="62" t="s">
        <v>225</v>
      </c>
      <c r="B39" s="56">
        <f>B38*0.1146</f>
        <v>721659.8023375679</v>
      </c>
      <c r="C39" s="56">
        <f aca="true" t="shared" si="10" ref="C39:I39">C38*0.1146</f>
        <v>722262.1402813678</v>
      </c>
      <c r="D39" s="56">
        <f t="shared" si="10"/>
        <v>736533.6908413679</v>
      </c>
      <c r="E39" s="56">
        <f t="shared" si="10"/>
        <v>737262.5193373678</v>
      </c>
      <c r="F39" s="56">
        <f t="shared" si="10"/>
        <v>753034.1078029681</v>
      </c>
      <c r="G39" s="56">
        <f t="shared" si="10"/>
        <v>753915.990283128</v>
      </c>
      <c r="H39" s="56">
        <f t="shared" si="10"/>
        <v>771352.9258433039</v>
      </c>
      <c r="I39" s="56">
        <f t="shared" si="10"/>
        <v>772420.0036442976</v>
      </c>
    </row>
  </sheetData>
  <mergeCells count="3">
    <mergeCell ref="A3:I3"/>
    <mergeCell ref="A5:I5"/>
    <mergeCell ref="A4:I4"/>
  </mergeCells>
  <printOptions horizontalCentered="1" verticalCentered="1"/>
  <pageMargins left="0.7874015748031497" right="0.7874015748031497" top="0.7874015748031497" bottom="0.984251968503937" header="0" footer="0"/>
  <pageSetup fitToHeight="1" fitToWidth="1" horizontalDpi="300" verticalDpi="3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zoomScale="65" zoomScaleNormal="65" workbookViewId="0" topLeftCell="A1">
      <selection activeCell="E86" sqref="E86"/>
    </sheetView>
  </sheetViews>
  <sheetFormatPr defaultColWidth="11.421875" defaultRowHeight="12.75"/>
  <cols>
    <col min="1" max="1" width="35.57421875" style="0" customWidth="1"/>
    <col min="2" max="2" width="19.28125" style="0" customWidth="1"/>
    <col min="3" max="3" width="19.421875" style="0" bestFit="1" customWidth="1"/>
    <col min="4" max="4" width="20.8515625" style="0" customWidth="1"/>
    <col min="5" max="5" width="21.7109375" style="0" bestFit="1" customWidth="1"/>
    <col min="6" max="6" width="22.28125" style="0" customWidth="1"/>
    <col min="7" max="7" width="20.421875" style="0" bestFit="1" customWidth="1"/>
    <col min="8" max="8" width="20.8515625" style="0" customWidth="1"/>
    <col min="9" max="9" width="21.28125" style="0" customWidth="1"/>
    <col min="10" max="10" width="21.28125" style="0" bestFit="1" customWidth="1"/>
    <col min="11" max="11" width="12.8515625" style="0" bestFit="1" customWidth="1"/>
  </cols>
  <sheetData>
    <row r="1" ht="20.25">
      <c r="A1" s="289" t="s">
        <v>317</v>
      </c>
    </row>
    <row r="3" spans="1:10" ht="20.25">
      <c r="A3" s="399" t="s">
        <v>287</v>
      </c>
      <c r="B3" s="399"/>
      <c r="C3" s="399"/>
      <c r="D3" s="399"/>
      <c r="E3" s="399"/>
      <c r="F3" s="399"/>
      <c r="G3" s="399"/>
      <c r="H3" s="399"/>
      <c r="I3" s="399"/>
      <c r="J3" s="399"/>
    </row>
    <row r="4" spans="1:10" ht="15.75" customHeight="1">
      <c r="A4" s="400" t="s">
        <v>309</v>
      </c>
      <c r="B4" s="400"/>
      <c r="C4" s="400"/>
      <c r="D4" s="400"/>
      <c r="E4" s="400"/>
      <c r="F4" s="400"/>
      <c r="G4" s="400"/>
      <c r="H4" s="400"/>
      <c r="I4" s="400"/>
      <c r="J4" s="400"/>
    </row>
    <row r="5" spans="1:10" ht="15.75" customHeight="1">
      <c r="A5" s="400" t="s">
        <v>208</v>
      </c>
      <c r="B5" s="400"/>
      <c r="C5" s="400"/>
      <c r="D5" s="400"/>
      <c r="E5" s="400"/>
      <c r="F5" s="400"/>
      <c r="G5" s="400"/>
      <c r="H5" s="400"/>
      <c r="I5" s="400"/>
      <c r="J5" s="400"/>
    </row>
    <row r="6" spans="1:10" ht="15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>
      <c r="A7" s="229" t="s">
        <v>148</v>
      </c>
      <c r="B7" s="318">
        <v>2005</v>
      </c>
      <c r="C7" s="318">
        <v>2006</v>
      </c>
      <c r="D7" s="318">
        <v>2007</v>
      </c>
      <c r="E7" s="318">
        <v>2008</v>
      </c>
      <c r="F7" s="318">
        <v>2009</v>
      </c>
      <c r="G7" s="318">
        <v>2010</v>
      </c>
      <c r="H7" s="318">
        <v>2011</v>
      </c>
      <c r="I7" s="318">
        <v>2012</v>
      </c>
      <c r="J7" s="318">
        <v>2013</v>
      </c>
    </row>
    <row r="8" spans="1:10" ht="18.75">
      <c r="A8" s="42"/>
      <c r="B8" s="314"/>
      <c r="C8" s="309"/>
      <c r="D8" s="309"/>
      <c r="E8" s="309"/>
      <c r="F8" s="309"/>
      <c r="G8" s="309"/>
      <c r="H8" s="309"/>
      <c r="I8" s="309"/>
      <c r="J8" s="309"/>
    </row>
    <row r="9" spans="1:10" ht="12.75" customHeight="1">
      <c r="A9" s="306" t="s">
        <v>101</v>
      </c>
      <c r="B9" s="43"/>
      <c r="C9" s="57">
        <f aca="true" t="shared" si="0" ref="C9:J9">SUM(C10:C11)</f>
        <v>7954472.9877</v>
      </c>
      <c r="D9" s="57">
        <f t="shared" si="0"/>
        <v>7954472.9877</v>
      </c>
      <c r="E9" s="57">
        <f t="shared" si="0"/>
        <v>7954472.9877</v>
      </c>
      <c r="F9" s="57">
        <f t="shared" si="0"/>
        <v>7954472.9877</v>
      </c>
      <c r="G9" s="57">
        <f t="shared" si="0"/>
        <v>7954472.9877</v>
      </c>
      <c r="H9" s="57">
        <f t="shared" si="0"/>
        <v>7954472.9877</v>
      </c>
      <c r="I9" s="57">
        <f t="shared" si="0"/>
        <v>7954472.9877</v>
      </c>
      <c r="J9" s="57">
        <f t="shared" si="0"/>
        <v>7954472.9877</v>
      </c>
    </row>
    <row r="10" spans="1:10" ht="13.5" customHeight="1">
      <c r="A10" s="306" t="s">
        <v>284</v>
      </c>
      <c r="B10" s="314"/>
      <c r="C10" s="293">
        <f>3570*2222.73361</f>
        <v>7935158.9877</v>
      </c>
      <c r="D10" s="293">
        <f aca="true" t="shared" si="1" ref="D10:J10">3570*2222.73361</f>
        <v>7935158.9877</v>
      </c>
      <c r="E10" s="293">
        <f t="shared" si="1"/>
        <v>7935158.9877</v>
      </c>
      <c r="F10" s="293">
        <f t="shared" si="1"/>
        <v>7935158.9877</v>
      </c>
      <c r="G10" s="293">
        <f t="shared" si="1"/>
        <v>7935158.9877</v>
      </c>
      <c r="H10" s="293">
        <f t="shared" si="1"/>
        <v>7935158.9877</v>
      </c>
      <c r="I10" s="293">
        <f t="shared" si="1"/>
        <v>7935158.9877</v>
      </c>
      <c r="J10" s="293">
        <f t="shared" si="1"/>
        <v>7935158.9877</v>
      </c>
    </row>
    <row r="11" spans="1:10" ht="13.5" customHeight="1">
      <c r="A11" s="306" t="s">
        <v>299</v>
      </c>
      <c r="B11" s="314"/>
      <c r="C11" s="310">
        <v>19314</v>
      </c>
      <c r="D11" s="310">
        <v>19314</v>
      </c>
      <c r="E11" s="310">
        <v>19314</v>
      </c>
      <c r="F11" s="310">
        <v>19314</v>
      </c>
      <c r="G11" s="310">
        <v>19314</v>
      </c>
      <c r="H11" s="310">
        <v>19314</v>
      </c>
      <c r="I11" s="310">
        <v>19314</v>
      </c>
      <c r="J11" s="310">
        <v>19314</v>
      </c>
    </row>
    <row r="12" spans="1:10" ht="13.5" customHeight="1">
      <c r="A12" s="306"/>
      <c r="B12" s="314"/>
      <c r="C12" s="310"/>
      <c r="D12" s="310"/>
      <c r="E12" s="310"/>
      <c r="F12" s="310"/>
      <c r="G12" s="310"/>
      <c r="H12" s="310"/>
      <c r="I12" s="310"/>
      <c r="J12" s="310"/>
    </row>
    <row r="13" spans="1:10" ht="12.75">
      <c r="A13" s="306"/>
      <c r="B13" s="314"/>
      <c r="C13" s="293"/>
      <c r="D13" s="293"/>
      <c r="E13" s="293"/>
      <c r="F13" s="294"/>
      <c r="G13" s="294"/>
      <c r="H13" s="294"/>
      <c r="I13" s="294"/>
      <c r="J13" s="294"/>
    </row>
    <row r="14" spans="1:10" ht="12.75">
      <c r="A14" s="306" t="s">
        <v>115</v>
      </c>
      <c r="B14" s="314"/>
      <c r="C14" s="293">
        <f aca="true" t="shared" si="2" ref="C14:J14">SUM(C15:C20)</f>
        <v>6636363.575419881</v>
      </c>
      <c r="D14" s="293">
        <f t="shared" si="2"/>
        <v>6639495.929827753</v>
      </c>
      <c r="E14" s="293">
        <f t="shared" si="2"/>
        <v>6713712.662749754</v>
      </c>
      <c r="F14" s="293">
        <f t="shared" si="2"/>
        <v>6717502.809419954</v>
      </c>
      <c r="G14" s="293">
        <f t="shared" si="2"/>
        <v>6799520.230301173</v>
      </c>
      <c r="H14" s="293">
        <f t="shared" si="2"/>
        <v>6804106.307772117</v>
      </c>
      <c r="I14" s="293">
        <f t="shared" si="2"/>
        <v>6894784.078488553</v>
      </c>
      <c r="J14" s="293">
        <f t="shared" si="2"/>
        <v>6900333.232228393</v>
      </c>
    </row>
    <row r="15" spans="1:10" ht="12.75" customHeight="1">
      <c r="A15" s="306" t="s">
        <v>116</v>
      </c>
      <c r="B15" s="314"/>
      <c r="C15" s="293">
        <f>'Costos Prod'!E23</f>
        <v>6082110.27408</v>
      </c>
      <c r="D15" s="293">
        <f>'Costos Prod'!F23</f>
        <v>6083766.277079999</v>
      </c>
      <c r="E15" s="293">
        <f>'Costos Prod'!G23</f>
        <v>6187347.87708</v>
      </c>
      <c r="F15" s="293">
        <f>'Costos Prod'!H23</f>
        <v>6189351.63708</v>
      </c>
      <c r="G15" s="293">
        <f>'Costos Prod'!I23</f>
        <v>6303491.773080001</v>
      </c>
      <c r="H15" s="293">
        <f>'Costos Prod'!J23</f>
        <v>6305916.32268</v>
      </c>
      <c r="I15" s="293">
        <f>'Costos Prod'!K23</f>
        <v>6431712.92724</v>
      </c>
      <c r="J15" s="293">
        <f>'Costos Prod'!L23</f>
        <v>6434646.632256</v>
      </c>
    </row>
    <row r="16" spans="1:10" ht="12.75">
      <c r="A16" s="306" t="s">
        <v>269</v>
      </c>
      <c r="B16" s="315">
        <v>-1000000</v>
      </c>
      <c r="C16" s="293"/>
      <c r="D16" s="293"/>
      <c r="E16" s="293"/>
      <c r="F16" s="293"/>
      <c r="G16" s="293"/>
      <c r="H16" s="293"/>
      <c r="I16" s="293"/>
      <c r="J16" s="293"/>
    </row>
    <row r="17" spans="1:10" ht="12.75">
      <c r="A17" s="306" t="s">
        <v>117</v>
      </c>
      <c r="B17" s="314"/>
      <c r="C17" s="293">
        <f>'Gto Vts'!E18</f>
        <v>36000</v>
      </c>
      <c r="D17" s="293">
        <f>'Gto Vts'!F18</f>
        <v>39600.00000000001</v>
      </c>
      <c r="E17" s="293">
        <f>'Gto Vts'!G18</f>
        <v>43560.00000000001</v>
      </c>
      <c r="F17" s="293">
        <f>'Gto Vts'!H18</f>
        <v>47916.000000000015</v>
      </c>
      <c r="G17" s="293">
        <f>'Gto Vts'!I18</f>
        <v>52707.60000000003</v>
      </c>
      <c r="H17" s="293">
        <f>'Gto Vts'!J18</f>
        <v>57978.36000000003</v>
      </c>
      <c r="I17" s="293">
        <f>'Gto Vts'!K18</f>
        <v>63776.19600000004</v>
      </c>
      <c r="J17" s="293">
        <f>'Gto Vts'!L18</f>
        <v>70153.81560000005</v>
      </c>
    </row>
    <row r="18" spans="1:10" ht="12.75">
      <c r="A18" s="306" t="s">
        <v>118</v>
      </c>
      <c r="B18" s="314"/>
      <c r="C18" s="293">
        <f>'Gto Adm'!E8</f>
        <v>179095.68</v>
      </c>
      <c r="D18" s="293">
        <f>'Gto Adm'!F8</f>
        <v>179095.68</v>
      </c>
      <c r="E18" s="293">
        <f>'Gto Adm'!G8</f>
        <v>196087.68</v>
      </c>
      <c r="F18" s="293">
        <f>'Gto Adm'!H8</f>
        <v>196087.68</v>
      </c>
      <c r="G18" s="293">
        <f>'Gto Adm'!I8</f>
        <v>214778.88000000003</v>
      </c>
      <c r="H18" s="293">
        <f>'Gto Adm'!J8</f>
        <v>214778.88000000003</v>
      </c>
      <c r="I18" s="293">
        <f>'Gto Adm'!K8</f>
        <v>235339.20000000007</v>
      </c>
      <c r="J18" s="293">
        <f>'Gto Adm'!L8</f>
        <v>235339.20000000007</v>
      </c>
    </row>
    <row r="19" spans="1:10" s="188" customFormat="1" ht="12.75">
      <c r="A19" s="317" t="s">
        <v>230</v>
      </c>
      <c r="B19" s="316"/>
      <c r="C19" s="311">
        <f>'ER OPERADOR S.A.'!B23</f>
        <v>140341.0846923649</v>
      </c>
      <c r="D19" s="311">
        <f>'ER OPERADOR S.A.'!C23</f>
        <v>139462.33355079498</v>
      </c>
      <c r="E19" s="311">
        <f>'ER OPERADOR S.A.'!D23</f>
        <v>118641.56096679487</v>
      </c>
      <c r="F19" s="311">
        <f>'ER OPERADOR S.A.'!E23</f>
        <v>117578.27269239492</v>
      </c>
      <c r="G19" s="311">
        <f>'ER OPERADOR S.A.'!F23</f>
        <v>94569.09402255474</v>
      </c>
      <c r="H19" s="311">
        <f>'ER OPERADOR S.A.'!G23</f>
        <v>93282.51521053082</v>
      </c>
      <c r="I19" s="311">
        <f>'ER OPERADOR S.A.'!H23</f>
        <v>67843.76079250443</v>
      </c>
      <c r="J19" s="311">
        <f>'ER OPERADOR S.A.'!I23</f>
        <v>66287.00042995537</v>
      </c>
    </row>
    <row r="20" spans="1:10" ht="12.75">
      <c r="A20" s="306" t="s">
        <v>228</v>
      </c>
      <c r="B20" s="314"/>
      <c r="C20" s="293">
        <f>'ER OPERADOR S.A.'!B27</f>
        <v>198816.53664751694</v>
      </c>
      <c r="D20" s="293">
        <f>'ER OPERADOR S.A.'!C27</f>
        <v>197571.63919695956</v>
      </c>
      <c r="E20" s="293">
        <f>'ER OPERADOR S.A.'!D27</f>
        <v>168075.54470295942</v>
      </c>
      <c r="F20" s="293">
        <f>'ER OPERADOR S.A.'!E27</f>
        <v>166569.21964755948</v>
      </c>
      <c r="G20" s="293">
        <f>'ER OPERADOR S.A.'!F27</f>
        <v>133972.88319861924</v>
      </c>
      <c r="H20" s="293">
        <f>'ER OPERADOR S.A.'!G27</f>
        <v>132150.22988158534</v>
      </c>
      <c r="I20" s="293">
        <f>'ER OPERADOR S.A.'!H27</f>
        <v>96111.99445604795</v>
      </c>
      <c r="J20" s="293">
        <f>'ER OPERADOR S.A.'!I27</f>
        <v>93906.58394243677</v>
      </c>
    </row>
    <row r="21" spans="1:10" ht="12.75">
      <c r="A21" s="306"/>
      <c r="B21" s="314"/>
      <c r="C21" s="293"/>
      <c r="D21" s="293"/>
      <c r="E21" s="293"/>
      <c r="F21" s="293"/>
      <c r="G21" s="293"/>
      <c r="H21" s="293"/>
      <c r="I21" s="293"/>
      <c r="J21" s="293"/>
    </row>
    <row r="22" spans="1:10" ht="12.75" customHeight="1" thickBot="1">
      <c r="A22" s="306" t="s">
        <v>171</v>
      </c>
      <c r="B22" s="314"/>
      <c r="C22" s="312">
        <f aca="true" t="shared" si="3" ref="C22:J22">C9-C14</f>
        <v>1318109.412280119</v>
      </c>
      <c r="D22" s="312">
        <f t="shared" si="3"/>
        <v>1314977.057872247</v>
      </c>
      <c r="E22" s="312">
        <f t="shared" si="3"/>
        <v>1240760.3249502461</v>
      </c>
      <c r="F22" s="312">
        <f t="shared" si="3"/>
        <v>1236970.1782800462</v>
      </c>
      <c r="G22" s="312">
        <f t="shared" si="3"/>
        <v>1154952.757398827</v>
      </c>
      <c r="H22" s="312">
        <f t="shared" si="3"/>
        <v>1150366.6799278837</v>
      </c>
      <c r="I22" s="312">
        <f t="shared" si="3"/>
        <v>1059688.9092114475</v>
      </c>
      <c r="J22" s="312">
        <f t="shared" si="3"/>
        <v>1054139.7554716077</v>
      </c>
    </row>
    <row r="23" spans="1:10" ht="13.5" thickTop="1">
      <c r="A23" s="306"/>
      <c r="B23" s="314"/>
      <c r="C23" s="293"/>
      <c r="D23" s="293"/>
      <c r="E23" s="293"/>
      <c r="F23" s="293"/>
      <c r="G23" s="293"/>
      <c r="H23" s="293"/>
      <c r="I23" s="293"/>
      <c r="J23" s="293"/>
    </row>
    <row r="24" spans="1:10" ht="12.75">
      <c r="A24" s="42" t="s">
        <v>124</v>
      </c>
      <c r="B24" s="43"/>
      <c r="C24" s="293">
        <v>1890</v>
      </c>
      <c r="D24" s="293">
        <f>C26</f>
        <v>1319999.412280119</v>
      </c>
      <c r="E24" s="293">
        <f aca="true" t="shared" si="4" ref="E24:J24">D26</f>
        <v>2634976.470152366</v>
      </c>
      <c r="F24" s="293">
        <f t="shared" si="4"/>
        <v>3875736.795102612</v>
      </c>
      <c r="G24" s="293">
        <f t="shared" si="4"/>
        <v>5112706.973382658</v>
      </c>
      <c r="H24" s="293">
        <f t="shared" si="4"/>
        <v>6267659.730781485</v>
      </c>
      <c r="I24" s="293">
        <f t="shared" si="4"/>
        <v>7418026.410709369</v>
      </c>
      <c r="J24" s="293">
        <f t="shared" si="4"/>
        <v>8477715.319920816</v>
      </c>
    </row>
    <row r="25" spans="1:10" ht="12.75">
      <c r="A25" s="306"/>
      <c r="B25" s="314"/>
      <c r="C25" s="313"/>
      <c r="D25" s="313"/>
      <c r="E25" s="313"/>
      <c r="F25" s="313"/>
      <c r="G25" s="313"/>
      <c r="H25" s="313"/>
      <c r="I25" s="313"/>
      <c r="J25" s="313"/>
    </row>
    <row r="26" spans="1:11" ht="12.75">
      <c r="A26" s="300" t="s">
        <v>125</v>
      </c>
      <c r="B26" s="76">
        <f>B16</f>
        <v>-1000000</v>
      </c>
      <c r="C26" s="138">
        <f>C22+C24</f>
        <v>1319999.412280119</v>
      </c>
      <c r="D26" s="138">
        <f aca="true" t="shared" si="5" ref="D26:J26">D22+D24</f>
        <v>2634976.470152366</v>
      </c>
      <c r="E26" s="138">
        <f t="shared" si="5"/>
        <v>3875736.795102612</v>
      </c>
      <c r="F26" s="138">
        <f t="shared" si="5"/>
        <v>5112706.973382658</v>
      </c>
      <c r="G26" s="138">
        <f t="shared" si="5"/>
        <v>6267659.730781485</v>
      </c>
      <c r="H26" s="138">
        <f t="shared" si="5"/>
        <v>7418026.410709369</v>
      </c>
      <c r="I26" s="138">
        <f t="shared" si="5"/>
        <v>8477715.319920816</v>
      </c>
      <c r="J26" s="138">
        <f t="shared" si="5"/>
        <v>9531855.075392423</v>
      </c>
      <c r="K26" s="28"/>
    </row>
    <row r="27" spans="1:10" ht="13.5" hidden="1" thickTop="1">
      <c r="A27" s="281" t="s">
        <v>285</v>
      </c>
      <c r="B27" s="282"/>
      <c r="C27" s="283">
        <f>C26</f>
        <v>1319999.412280119</v>
      </c>
      <c r="D27" s="283">
        <f aca="true" t="shared" si="6" ref="D27:J27">D26</f>
        <v>2634976.470152366</v>
      </c>
      <c r="E27" s="283">
        <f t="shared" si="6"/>
        <v>3875736.795102612</v>
      </c>
      <c r="F27" s="283">
        <f t="shared" si="6"/>
        <v>5112706.973382658</v>
      </c>
      <c r="G27" s="283">
        <f t="shared" si="6"/>
        <v>6267659.730781485</v>
      </c>
      <c r="H27" s="283">
        <f t="shared" si="6"/>
        <v>7418026.410709369</v>
      </c>
      <c r="I27" s="283">
        <f t="shared" si="6"/>
        <v>8477715.319920816</v>
      </c>
      <c r="J27" s="283">
        <f t="shared" si="6"/>
        <v>9531855.075392423</v>
      </c>
    </row>
    <row r="28" spans="1:10" ht="12.75" hidden="1">
      <c r="A28" s="281"/>
      <c r="B28" s="282"/>
      <c r="C28" s="283"/>
      <c r="D28" s="283"/>
      <c r="E28" s="283"/>
      <c r="F28" s="283"/>
      <c r="G28" s="283"/>
      <c r="H28" s="283"/>
      <c r="I28" s="283"/>
      <c r="J28" s="283"/>
    </row>
    <row r="29" spans="1:10" ht="12.75" hidden="1">
      <c r="A29" s="281" t="s">
        <v>286</v>
      </c>
      <c r="B29" s="282"/>
      <c r="C29" s="283">
        <f>C26-C27</f>
        <v>0</v>
      </c>
      <c r="D29" s="283">
        <f aca="true" t="shared" si="7" ref="D29:J29">D26-D27</f>
        <v>0</v>
      </c>
      <c r="E29" s="283">
        <f t="shared" si="7"/>
        <v>0</v>
      </c>
      <c r="F29" s="283">
        <f t="shared" si="7"/>
        <v>0</v>
      </c>
      <c r="G29" s="283">
        <f t="shared" si="7"/>
        <v>0</v>
      </c>
      <c r="H29" s="283">
        <f t="shared" si="7"/>
        <v>0</v>
      </c>
      <c r="I29" s="283">
        <f t="shared" si="7"/>
        <v>0</v>
      </c>
      <c r="J29" s="283">
        <f t="shared" si="7"/>
        <v>0</v>
      </c>
    </row>
    <row r="30" spans="1:10" ht="12.75" hidden="1">
      <c r="A30" s="281"/>
      <c r="B30" s="284"/>
      <c r="C30" s="283"/>
      <c r="D30" s="283"/>
      <c r="E30" s="283"/>
      <c r="F30" s="283"/>
      <c r="G30" s="283"/>
      <c r="H30" s="283"/>
      <c r="I30" s="283"/>
      <c r="J30" s="283"/>
    </row>
    <row r="31" spans="1:10" ht="12.75">
      <c r="A31" s="37"/>
      <c r="B31" s="37"/>
      <c r="C31" s="210"/>
      <c r="D31" s="210"/>
      <c r="E31" s="210"/>
      <c r="F31" s="210"/>
      <c r="G31" s="210"/>
      <c r="H31" s="210"/>
      <c r="I31" s="210"/>
      <c r="J31" s="210"/>
    </row>
    <row r="32" spans="3:10" ht="12.75">
      <c r="C32" s="210"/>
      <c r="D32" s="210"/>
      <c r="E32" s="210"/>
      <c r="F32" s="210"/>
      <c r="G32" s="210"/>
      <c r="H32" s="210"/>
      <c r="I32" s="210"/>
      <c r="J32" s="210"/>
    </row>
    <row r="33" spans="1:10" ht="12.75" hidden="1">
      <c r="A33" s="37"/>
      <c r="B33" s="37" t="s">
        <v>240</v>
      </c>
      <c r="C33" s="285">
        <f>NPV(C34,B26:J26)</f>
        <v>21445288.368614513</v>
      </c>
      <c r="D33" s="210"/>
      <c r="E33" s="210"/>
      <c r="F33" s="210"/>
      <c r="G33" s="210"/>
      <c r="H33" s="210"/>
      <c r="I33" s="210"/>
      <c r="J33" s="210"/>
    </row>
    <row r="34" spans="2:10" ht="12.75" hidden="1">
      <c r="B34" t="s">
        <v>220</v>
      </c>
      <c r="C34" s="215">
        <f>(0.03+0.05)+0.032+(0.032*0.08)</f>
        <v>0.11456000000000001</v>
      </c>
      <c r="D34" s="212"/>
      <c r="E34" s="212"/>
      <c r="F34" s="212"/>
      <c r="G34" s="212"/>
      <c r="H34" s="212"/>
      <c r="I34" s="212"/>
      <c r="J34" s="212"/>
    </row>
    <row r="35" spans="1:10" ht="15.75" customHeight="1" hidden="1" thickBot="1">
      <c r="A35" t="s">
        <v>123</v>
      </c>
      <c r="C35" s="213">
        <f>C22</f>
        <v>1318109.412280119</v>
      </c>
      <c r="D35" s="211">
        <f aca="true" t="shared" si="8" ref="D35:J35">D33+D22</f>
        <v>1314977.057872247</v>
      </c>
      <c r="E35" s="211">
        <f t="shared" si="8"/>
        <v>1240760.3249502461</v>
      </c>
      <c r="F35" s="211">
        <f t="shared" si="8"/>
        <v>1236970.1782800462</v>
      </c>
      <c r="G35" s="211">
        <f t="shared" si="8"/>
        <v>1154952.757398827</v>
      </c>
      <c r="H35" s="211">
        <f t="shared" si="8"/>
        <v>1150366.6799278837</v>
      </c>
      <c r="I35" s="211">
        <f t="shared" si="8"/>
        <v>1059688.9092114475</v>
      </c>
      <c r="J35" s="211">
        <f t="shared" si="8"/>
        <v>1054139.7554716077</v>
      </c>
    </row>
    <row r="36" spans="3:10" ht="13.5" hidden="1" thickTop="1">
      <c r="C36" s="210"/>
      <c r="D36" s="210"/>
      <c r="E36" s="210"/>
      <c r="F36" s="210"/>
      <c r="G36" s="210"/>
      <c r="H36" s="210"/>
      <c r="I36" s="210"/>
      <c r="J36" s="210"/>
    </row>
    <row r="37" spans="1:10" ht="12.75" hidden="1">
      <c r="A37" t="s">
        <v>124</v>
      </c>
      <c r="C37" s="210">
        <v>1890</v>
      </c>
      <c r="D37" s="210">
        <f>C39</f>
        <v>1319999.412280119</v>
      </c>
      <c r="E37" s="210">
        <f aca="true" t="shared" si="9" ref="E37:J37">D39</f>
        <v>2634976.470152366</v>
      </c>
      <c r="F37" s="210">
        <f t="shared" si="9"/>
        <v>3875736.795102612</v>
      </c>
      <c r="G37" s="210">
        <f t="shared" si="9"/>
        <v>5112706.973382658</v>
      </c>
      <c r="H37" s="210">
        <f t="shared" si="9"/>
        <v>6267659.730781485</v>
      </c>
      <c r="I37" s="210">
        <f t="shared" si="9"/>
        <v>7418026.410709369</v>
      </c>
      <c r="J37" s="210">
        <f t="shared" si="9"/>
        <v>8477715.319920816</v>
      </c>
    </row>
    <row r="38" spans="3:10" ht="12.75" hidden="1">
      <c r="C38" s="9"/>
      <c r="D38" s="9"/>
      <c r="E38" s="9"/>
      <c r="F38" s="9"/>
      <c r="G38" s="9"/>
      <c r="H38" s="9"/>
      <c r="I38" s="9"/>
      <c r="J38" s="9"/>
    </row>
    <row r="39" spans="1:11" ht="13.5" hidden="1" thickBot="1">
      <c r="A39" s="1" t="s">
        <v>125</v>
      </c>
      <c r="B39" s="230">
        <f>+B16+B30</f>
        <v>-1000000</v>
      </c>
      <c r="C39" s="163">
        <f>C35+C37</f>
        <v>1319999.412280119</v>
      </c>
      <c r="D39" s="163">
        <f>D35+D37</f>
        <v>2634976.470152366</v>
      </c>
      <c r="E39" s="163">
        <f aca="true" t="shared" si="10" ref="E39:J39">E35+E37</f>
        <v>3875736.795102612</v>
      </c>
      <c r="F39" s="163">
        <f t="shared" si="10"/>
        <v>5112706.973382658</v>
      </c>
      <c r="G39" s="163">
        <f t="shared" si="10"/>
        <v>6267659.730781485</v>
      </c>
      <c r="H39" s="163">
        <f t="shared" si="10"/>
        <v>7418026.410709369</v>
      </c>
      <c r="I39" s="163">
        <f t="shared" si="10"/>
        <v>8477715.319920816</v>
      </c>
      <c r="J39" s="163">
        <f t="shared" si="10"/>
        <v>9531855.075392423</v>
      </c>
      <c r="K39" s="28"/>
    </row>
    <row r="40" spans="3:10" ht="13.5" hidden="1" thickTop="1">
      <c r="C40" s="56">
        <f>C39-C15-C17-C18</f>
        <v>-4977206.541799881</v>
      </c>
      <c r="D40" s="56">
        <f>+D35+C40</f>
        <v>-3662229.4839276336</v>
      </c>
      <c r="E40" s="56">
        <f aca="true" t="shared" si="11" ref="E40:J40">E35+D41</f>
        <v>-8723931.116057387</v>
      </c>
      <c r="F40" s="56">
        <f t="shared" si="11"/>
        <v>-13913956.49485734</v>
      </c>
      <c r="G40" s="56">
        <f t="shared" si="11"/>
        <v>-19192359.05453851</v>
      </c>
      <c r="H40" s="56">
        <f t="shared" si="11"/>
        <v>-24612970.62769063</v>
      </c>
      <c r="I40" s="56">
        <f t="shared" si="11"/>
        <v>-30131955.281159177</v>
      </c>
      <c r="J40" s="56">
        <f t="shared" si="11"/>
        <v>-35808643.84892757</v>
      </c>
    </row>
    <row r="41" spans="4:10" ht="12.75" hidden="1">
      <c r="D41" s="56">
        <f aca="true" t="shared" si="12" ref="D41:J41">+D40-D15-D17-D18</f>
        <v>-9964691.441007633</v>
      </c>
      <c r="E41" s="56">
        <f t="shared" si="12"/>
        <v>-15150926.673137385</v>
      </c>
      <c r="F41" s="56">
        <f t="shared" si="12"/>
        <v>-20347311.81193734</v>
      </c>
      <c r="G41" s="56">
        <f t="shared" si="12"/>
        <v>-25763337.30761851</v>
      </c>
      <c r="H41" s="56">
        <f t="shared" si="12"/>
        <v>-31191644.190370627</v>
      </c>
      <c r="I41" s="56">
        <f t="shared" si="12"/>
        <v>-36862783.60439918</v>
      </c>
      <c r="J41" s="56">
        <f t="shared" si="12"/>
        <v>-42548783.49678358</v>
      </c>
    </row>
    <row r="42" spans="3:10" ht="12.75" hidden="1">
      <c r="C42" s="56"/>
      <c r="D42" s="56"/>
      <c r="E42" s="56"/>
      <c r="F42" s="56"/>
      <c r="G42" s="56"/>
      <c r="H42" s="56"/>
      <c r="I42" s="56"/>
      <c r="J42" s="56"/>
    </row>
    <row r="43" spans="3:4" ht="12.75" hidden="1">
      <c r="C43" s="41"/>
      <c r="D43" s="171">
        <f>NPV(C34,B39,C40,D41:J41)</f>
        <v>-93297668.10329503</v>
      </c>
    </row>
    <row r="44" ht="12.75" hidden="1"/>
    <row r="45" ht="12.75" hidden="1"/>
    <row r="46" ht="12.75" hidden="1"/>
    <row r="47" ht="12.75" hidden="1"/>
    <row r="48" spans="1:9" ht="12.75" hidden="1">
      <c r="A48" t="s">
        <v>263</v>
      </c>
      <c r="B48" s="41">
        <f>+(C15+C17+C18)</f>
        <v>6297205.95408</v>
      </c>
      <c r="C48" s="41">
        <f aca="true" t="shared" si="13" ref="C48:I48">+(D15+D17+D18)</f>
        <v>6302461.957079999</v>
      </c>
      <c r="D48" s="41">
        <f t="shared" si="13"/>
        <v>6426995.55708</v>
      </c>
      <c r="E48" s="41">
        <f t="shared" si="13"/>
        <v>6433355.3170799995</v>
      </c>
      <c r="F48" s="41">
        <f t="shared" si="13"/>
        <v>6570978.25308</v>
      </c>
      <c r="G48" s="41">
        <f t="shared" si="13"/>
        <v>6578673.56268</v>
      </c>
      <c r="H48" s="41">
        <f t="shared" si="13"/>
        <v>6730828.323240001</v>
      </c>
      <c r="I48" s="41">
        <f t="shared" si="13"/>
        <v>6740139.647856001</v>
      </c>
    </row>
    <row r="49" spans="1:9" ht="12.75" hidden="1">
      <c r="A49" t="s">
        <v>264</v>
      </c>
      <c r="B49" s="56">
        <f aca="true" t="shared" si="14" ref="B49:I49">C28</f>
        <v>0</v>
      </c>
      <c r="C49" s="56">
        <f t="shared" si="14"/>
        <v>0</v>
      </c>
      <c r="D49" s="56">
        <f t="shared" si="14"/>
        <v>0</v>
      </c>
      <c r="E49" s="56">
        <f t="shared" si="14"/>
        <v>0</v>
      </c>
      <c r="F49" s="56">
        <f t="shared" si="14"/>
        <v>0</v>
      </c>
      <c r="G49" s="56">
        <f t="shared" si="14"/>
        <v>0</v>
      </c>
      <c r="H49" s="56">
        <f t="shared" si="14"/>
        <v>0</v>
      </c>
      <c r="I49" s="56">
        <f t="shared" si="14"/>
        <v>0</v>
      </c>
    </row>
    <row r="50" spans="1:9" ht="12.75" hidden="1">
      <c r="A50" t="s">
        <v>265</v>
      </c>
      <c r="B50" s="56">
        <f>C39-B48-B49</f>
        <v>-4977206.541799881</v>
      </c>
      <c r="C50" s="56">
        <f aca="true" t="shared" si="15" ref="C50:I50">D39-C48-C49</f>
        <v>-3667485.486927633</v>
      </c>
      <c r="D50" s="56">
        <f t="shared" si="15"/>
        <v>-2551258.7619773876</v>
      </c>
      <c r="E50" s="56">
        <f t="shared" si="15"/>
        <v>-1320648.3436973412</v>
      </c>
      <c r="F50" s="56">
        <f t="shared" si="15"/>
        <v>-303318.52229851484</v>
      </c>
      <c r="G50" s="56">
        <f t="shared" si="15"/>
        <v>839352.8480293686</v>
      </c>
      <c r="H50" s="56">
        <f t="shared" si="15"/>
        <v>1746886.9966808148</v>
      </c>
      <c r="I50" s="56">
        <f t="shared" si="15"/>
        <v>2791715.4275364224</v>
      </c>
    </row>
    <row r="51" ht="12.75" hidden="1"/>
    <row r="52" spans="2:3" ht="12.75" hidden="1">
      <c r="B52" t="s">
        <v>241</v>
      </c>
      <c r="C52" s="53">
        <f>IRR(B26:J26,C34)</f>
        <v>1.9707109573229018</v>
      </c>
    </row>
    <row r="53" ht="12.75" hidden="1"/>
    <row r="54" ht="12.75">
      <c r="C54" s="53"/>
    </row>
    <row r="55" spans="1:10" ht="12.75" hidden="1">
      <c r="A55" t="s">
        <v>226</v>
      </c>
      <c r="C55" s="214">
        <f>$C$39/((1+$E$60)^1)</f>
        <v>1177483.8339248577</v>
      </c>
      <c r="D55" s="214">
        <f>$D$39/((1+$E$60)^2)</f>
        <v>2096713.889983025</v>
      </c>
      <c r="E55" s="214">
        <f>$E$39/((1+$E$60)^3)</f>
        <v>2751046.4438263187</v>
      </c>
      <c r="F55" s="214">
        <f>$F$39/((1+$E$60)^4)</f>
        <v>3237246.4571678713</v>
      </c>
      <c r="G55" s="214">
        <f>$G$39/((1+$E$60)^5)</f>
        <v>3540067.050651856</v>
      </c>
      <c r="H55" s="214">
        <f>$H$39/((1+$E$60)^6)</f>
        <v>3737452.37911006</v>
      </c>
      <c r="I55" s="214">
        <f>$I$39/((1+$E$60)^7)</f>
        <v>3810196.1769854515</v>
      </c>
      <c r="J55" s="214">
        <f>$J$39/((1+$E$60)^8)</f>
        <v>3821440.957790434</v>
      </c>
    </row>
    <row r="56" spans="1:10" ht="12.75" hidden="1">
      <c r="A56" t="s">
        <v>261</v>
      </c>
      <c r="B56" t="s">
        <v>262</v>
      </c>
      <c r="C56" s="214">
        <f>$C$39/((1+$C$34)^1)</f>
        <v>1184323.3314313442</v>
      </c>
      <c r="D56" s="214">
        <f>$D$39/((1+$C$34)^2)</f>
        <v>2121142.4516662406</v>
      </c>
      <c r="E56" s="214">
        <f>$E$39/((1+$C$34)^3)</f>
        <v>2799264.378826384</v>
      </c>
      <c r="F56" s="214">
        <f>$F$39/((1+$C$34)^4)</f>
        <v>3313119.429974863</v>
      </c>
      <c r="G56" s="214">
        <f>$G$39/((1+$C$34)^5)</f>
        <v>3644082.048920896</v>
      </c>
      <c r="H56" s="214">
        <f>$H$39/((1+$C$34)^6)</f>
        <v>3869614.1152271386</v>
      </c>
      <c r="I56" s="214">
        <f>$I$39/((1+$C$34)^7)</f>
        <v>3967844.6435087863</v>
      </c>
      <c r="J56" s="214">
        <f>$J$39/((1+$C$34)^8)</f>
        <v>4002670.2045673355</v>
      </c>
    </row>
    <row r="57" ht="12.75" hidden="1"/>
    <row r="58" spans="5:7" ht="12.75" hidden="1">
      <c r="E58" t="s">
        <v>221</v>
      </c>
      <c r="G58" t="s">
        <v>260</v>
      </c>
    </row>
    <row r="59" spans="4:7" ht="12.75" hidden="1">
      <c r="D59" t="s">
        <v>237</v>
      </c>
      <c r="E59" t="s">
        <v>222</v>
      </c>
      <c r="F59" t="s">
        <v>258</v>
      </c>
      <c r="G59" t="s">
        <v>259</v>
      </c>
    </row>
    <row r="60" spans="4:5" ht="12.75" hidden="1">
      <c r="D60" s="62" t="s">
        <v>220</v>
      </c>
      <c r="E60" s="215">
        <f>(0.0405+0.05)+0.028+(0.028*0.0905)</f>
        <v>0.12103399999999999</v>
      </c>
    </row>
    <row r="61" spans="1:6" ht="12.75" hidden="1">
      <c r="A61" t="s">
        <v>197</v>
      </c>
      <c r="D61" s="171"/>
      <c r="F61" t="s">
        <v>238</v>
      </c>
    </row>
    <row r="62" ht="12.75" hidden="1"/>
    <row r="63" ht="12.75" hidden="1"/>
    <row r="64" spans="1:3" ht="12.75" hidden="1">
      <c r="A64" t="s">
        <v>227</v>
      </c>
      <c r="B64" s="171">
        <f>SUM(C55:J55)</f>
        <v>24171647.189439874</v>
      </c>
      <c r="C64" s="53">
        <v>0.121</v>
      </c>
    </row>
    <row r="65" spans="2:3" ht="12.75" hidden="1">
      <c r="B65" s="171">
        <f>+SUM(C56:J56)</f>
        <v>24902060.60412299</v>
      </c>
      <c r="C65" s="53">
        <v>0.1146</v>
      </c>
    </row>
    <row r="66" spans="5:6" ht="18" hidden="1">
      <c r="E66" s="40" t="s">
        <v>240</v>
      </c>
      <c r="F66" s="231">
        <f>NPV(C34,B39,C39:J39)</f>
        <v>21445288.368614513</v>
      </c>
    </row>
    <row r="67" spans="5:6" ht="18" hidden="1">
      <c r="E67" s="40" t="s">
        <v>241</v>
      </c>
      <c r="F67" s="232">
        <f>IRR(B39:J39,C34)</f>
        <v>1.9707109573229018</v>
      </c>
    </row>
    <row r="68" ht="12.75" hidden="1"/>
    <row r="70" spans="1:6" ht="12.75">
      <c r="A70" s="1"/>
      <c r="F70" s="171"/>
    </row>
    <row r="73" ht="12.75" hidden="1">
      <c r="B73" t="s">
        <v>279</v>
      </c>
    </row>
    <row r="74" ht="12.75" hidden="1">
      <c r="B74" t="s">
        <v>280</v>
      </c>
    </row>
    <row r="75" ht="12.75" hidden="1"/>
    <row r="76" ht="12.75" hidden="1"/>
    <row r="77" ht="12.75" hidden="1">
      <c r="B77" t="s">
        <v>281</v>
      </c>
    </row>
    <row r="78" ht="12.75" hidden="1"/>
    <row r="87" ht="12.75" hidden="1">
      <c r="E87" t="s">
        <v>282</v>
      </c>
    </row>
  </sheetData>
  <mergeCells count="3">
    <mergeCell ref="A3:J3"/>
    <mergeCell ref="A4:J4"/>
    <mergeCell ref="A5:J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8"/>
  </sheetPr>
  <dimension ref="A1:T126"/>
  <sheetViews>
    <sheetView zoomScale="75" zoomScaleNormal="75" workbookViewId="0" topLeftCell="A25">
      <selection activeCell="F58" sqref="F58"/>
    </sheetView>
  </sheetViews>
  <sheetFormatPr defaultColWidth="11.421875" defaultRowHeight="12.75"/>
  <cols>
    <col min="1" max="1" width="49.7109375" style="0" bestFit="1" customWidth="1"/>
    <col min="2" max="2" width="15.7109375" style="0" customWidth="1"/>
    <col min="3" max="3" width="12.8515625" style="0" hidden="1" customWidth="1"/>
    <col min="4" max="4" width="14.57421875" style="0" customWidth="1"/>
    <col min="5" max="5" width="0" style="0" hidden="1" customWidth="1"/>
    <col min="6" max="6" width="19.421875" style="0" bestFit="1" customWidth="1"/>
    <col min="7" max="7" width="14.00390625" style="0" hidden="1" customWidth="1"/>
    <col min="8" max="8" width="14.8515625" style="0" bestFit="1" customWidth="1"/>
    <col min="9" max="9" width="14.140625" style="0" hidden="1" customWidth="1"/>
    <col min="10" max="10" width="14.28125" style="0" bestFit="1" customWidth="1"/>
    <col min="11" max="11" width="14.140625" style="0" customWidth="1"/>
    <col min="12" max="12" width="14.28125" style="0" bestFit="1" customWidth="1"/>
    <col min="13" max="13" width="14.140625" style="0" customWidth="1"/>
    <col min="14" max="14" width="15.7109375" style="0" bestFit="1" customWidth="1"/>
    <col min="15" max="15" width="14.00390625" style="0" bestFit="1" customWidth="1"/>
    <col min="16" max="16" width="12.00390625" style="0" bestFit="1" customWidth="1"/>
    <col min="17" max="17" width="13.421875" style="0" bestFit="1" customWidth="1"/>
  </cols>
  <sheetData>
    <row r="1" ht="15.75">
      <c r="A1" s="25" t="s">
        <v>54</v>
      </c>
    </row>
    <row r="2" spans="2:3" ht="15.75" customHeight="1">
      <c r="B2" s="23" t="s">
        <v>55</v>
      </c>
      <c r="C2" s="23"/>
    </row>
    <row r="3" spans="2:17" ht="12.75">
      <c r="B3">
        <v>2004</v>
      </c>
      <c r="D3">
        <v>2005</v>
      </c>
      <c r="F3">
        <v>2006</v>
      </c>
      <c r="H3">
        <v>2007</v>
      </c>
      <c r="J3">
        <v>2008</v>
      </c>
      <c r="L3">
        <v>2009</v>
      </c>
      <c r="N3">
        <v>2010</v>
      </c>
      <c r="O3">
        <v>2011</v>
      </c>
      <c r="P3">
        <v>2012</v>
      </c>
      <c r="Q3">
        <v>2013</v>
      </c>
    </row>
    <row r="4" ht="14.25">
      <c r="A4" s="16" t="s">
        <v>56</v>
      </c>
    </row>
    <row r="5" spans="1:14" ht="15">
      <c r="A5" s="17" t="s">
        <v>57</v>
      </c>
      <c r="B5" s="15">
        <v>3760212</v>
      </c>
      <c r="C5" s="15"/>
      <c r="D5" s="15">
        <v>5801896</v>
      </c>
      <c r="E5" s="15"/>
      <c r="F5" s="21">
        <f>'Otros '!J113</f>
        <v>5880346</v>
      </c>
      <c r="G5" s="21"/>
      <c r="H5" s="21">
        <f>'Otros '!K113</f>
        <v>5880346</v>
      </c>
      <c r="I5" s="21"/>
      <c r="J5" s="21">
        <f>'Otros '!L113</f>
        <v>5880346</v>
      </c>
      <c r="K5" s="21"/>
      <c r="L5" s="21">
        <f>'Otros '!M113</f>
        <v>5880346</v>
      </c>
      <c r="M5" s="21"/>
      <c r="N5" s="21">
        <f>'Otros '!N113</f>
        <v>5880346</v>
      </c>
    </row>
    <row r="6" spans="1:14" ht="15">
      <c r="A6" s="17" t="s">
        <v>58</v>
      </c>
      <c r="B6" s="15">
        <v>-3284215</v>
      </c>
      <c r="C6" s="15"/>
      <c r="D6" s="15">
        <f>+-6549116+910500</f>
        <v>-5638616</v>
      </c>
      <c r="E6" s="15"/>
      <c r="F6" s="21">
        <f>'Otros '!J114</f>
        <v>-5695478</v>
      </c>
      <c r="G6" s="21"/>
      <c r="H6" s="21">
        <f>'Otros '!K114</f>
        <v>-5695478</v>
      </c>
      <c r="I6" s="21"/>
      <c r="J6" s="21">
        <f>'Otros '!L114</f>
        <v>-5695478</v>
      </c>
      <c r="K6" s="21"/>
      <c r="L6" s="21">
        <f>'Otros '!M114</f>
        <v>-5695478</v>
      </c>
      <c r="M6" s="21"/>
      <c r="N6" s="21">
        <f>'Otros '!N114</f>
        <v>-5695478</v>
      </c>
    </row>
    <row r="7" spans="1:14" ht="15">
      <c r="A7" s="17" t="s">
        <v>59</v>
      </c>
      <c r="B7" s="15">
        <v>-966695</v>
      </c>
      <c r="C7" s="24"/>
      <c r="D7" s="15">
        <v>-910500</v>
      </c>
      <c r="E7" s="15"/>
      <c r="F7" s="35">
        <v>-900000</v>
      </c>
      <c r="G7" s="35"/>
      <c r="H7" s="35">
        <v>-800000</v>
      </c>
      <c r="I7" s="35"/>
      <c r="J7" s="35">
        <v>-750000</v>
      </c>
      <c r="K7" s="35"/>
      <c r="L7" s="35">
        <v>-450000</v>
      </c>
      <c r="M7" s="35"/>
      <c r="N7" s="35">
        <v>-300000</v>
      </c>
    </row>
    <row r="8" spans="1:16" ht="16.5">
      <c r="A8" s="18"/>
      <c r="B8" s="15"/>
      <c r="C8" s="15"/>
      <c r="D8" s="15"/>
      <c r="E8" s="15"/>
      <c r="F8" s="21"/>
      <c r="G8" s="21"/>
      <c r="H8" s="21"/>
      <c r="I8" s="21"/>
      <c r="J8" s="21"/>
      <c r="K8" s="21"/>
      <c r="L8" s="21"/>
      <c r="M8" s="21"/>
      <c r="N8" s="21"/>
      <c r="P8" s="12"/>
    </row>
    <row r="9" spans="1:18" ht="16.5">
      <c r="A9" s="26" t="s">
        <v>60</v>
      </c>
      <c r="B9" s="36">
        <f>SUM(B5:B8)</f>
        <v>-490698</v>
      </c>
      <c r="C9" s="36"/>
      <c r="D9" s="36">
        <f>SUM(D5:D8)</f>
        <v>-747220</v>
      </c>
      <c r="E9" s="15"/>
      <c r="F9" s="27">
        <f>SUM(F5:F8)</f>
        <v>-715132</v>
      </c>
      <c r="G9" s="27">
        <f aca="true" t="shared" si="0" ref="G9:N9">SUM(G5:G8)</f>
        <v>0</v>
      </c>
      <c r="H9" s="27">
        <f t="shared" si="0"/>
        <v>-615132</v>
      </c>
      <c r="I9" s="27">
        <f t="shared" si="0"/>
        <v>0</v>
      </c>
      <c r="J9" s="27">
        <f t="shared" si="0"/>
        <v>-565132</v>
      </c>
      <c r="K9" s="27">
        <f t="shared" si="0"/>
        <v>0</v>
      </c>
      <c r="L9" s="27">
        <f t="shared" si="0"/>
        <v>-265132</v>
      </c>
      <c r="M9" s="27">
        <f t="shared" si="0"/>
        <v>0</v>
      </c>
      <c r="N9" s="27">
        <f t="shared" si="0"/>
        <v>-115132</v>
      </c>
      <c r="R9" s="14"/>
    </row>
    <row r="10" spans="1:14" ht="15">
      <c r="A10" s="17"/>
      <c r="B10" s="15"/>
      <c r="C10" s="15"/>
      <c r="D10" s="15"/>
      <c r="E10" s="15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4.25">
      <c r="A11" s="16" t="s">
        <v>61</v>
      </c>
      <c r="B11" s="15"/>
      <c r="C11" s="15"/>
      <c r="D11" s="15"/>
      <c r="E11" s="15"/>
      <c r="F11" s="21"/>
      <c r="G11" s="21"/>
      <c r="H11" s="21"/>
      <c r="I11" s="21"/>
      <c r="J11" s="21"/>
      <c r="K11" s="21"/>
      <c r="L11" s="21"/>
      <c r="M11" s="21"/>
      <c r="N11" s="21"/>
    </row>
    <row r="12" spans="1:20" ht="16.5">
      <c r="A12" s="17" t="s">
        <v>62</v>
      </c>
      <c r="B12" s="15">
        <v>-18056</v>
      </c>
      <c r="C12" s="15"/>
      <c r="D12" s="15">
        <v>-234393</v>
      </c>
      <c r="E12" s="15"/>
      <c r="F12" s="21">
        <v>-100000</v>
      </c>
      <c r="G12" s="21">
        <v>-100000</v>
      </c>
      <c r="H12" s="21">
        <v>-100000</v>
      </c>
      <c r="I12" s="21">
        <v>-100000</v>
      </c>
      <c r="J12" s="21">
        <v>-100000</v>
      </c>
      <c r="K12" s="21">
        <v>-100000</v>
      </c>
      <c r="L12" s="21">
        <v>-100000</v>
      </c>
      <c r="M12" s="21">
        <v>-100000</v>
      </c>
      <c r="N12" s="21">
        <v>-100000</v>
      </c>
      <c r="Q12" s="12"/>
      <c r="R12" s="12"/>
      <c r="T12" s="12"/>
    </row>
    <row r="13" spans="1:20" ht="16.5">
      <c r="A13" s="17" t="s">
        <v>74</v>
      </c>
      <c r="B13" s="15">
        <v>0</v>
      </c>
      <c r="C13" s="15"/>
      <c r="D13" s="15">
        <v>9028</v>
      </c>
      <c r="E13" s="15"/>
      <c r="F13" s="21">
        <v>-100000</v>
      </c>
      <c r="G13" s="21">
        <v>-100000</v>
      </c>
      <c r="H13" s="21">
        <v>-100000</v>
      </c>
      <c r="I13" s="21">
        <v>-100000</v>
      </c>
      <c r="J13" s="21">
        <v>-100000</v>
      </c>
      <c r="K13" s="21">
        <v>-100000</v>
      </c>
      <c r="L13" s="21">
        <v>-100000</v>
      </c>
      <c r="M13" s="21">
        <v>-100000</v>
      </c>
      <c r="N13" s="21">
        <v>-100000</v>
      </c>
      <c r="Q13" s="12"/>
      <c r="R13" s="12"/>
      <c r="T13" s="12"/>
    </row>
    <row r="14" spans="1:14" ht="15">
      <c r="A14" s="26" t="s">
        <v>63</v>
      </c>
      <c r="B14" s="36">
        <f>SUM(B12)</f>
        <v>-18056</v>
      </c>
      <c r="C14" s="36"/>
      <c r="D14" s="36">
        <f>SUM(D12,D13)</f>
        <v>-225365</v>
      </c>
      <c r="E14" s="15"/>
      <c r="F14" s="27">
        <f>SUM(F12:F13)</f>
        <v>-200000</v>
      </c>
      <c r="G14" s="27">
        <f aca="true" t="shared" si="1" ref="G14:N14">SUM(G12:G13)</f>
        <v>-200000</v>
      </c>
      <c r="H14" s="27">
        <f t="shared" si="1"/>
        <v>-200000</v>
      </c>
      <c r="I14" s="27">
        <f t="shared" si="1"/>
        <v>-200000</v>
      </c>
      <c r="J14" s="27">
        <f t="shared" si="1"/>
        <v>-200000</v>
      </c>
      <c r="K14" s="27">
        <f t="shared" si="1"/>
        <v>-200000</v>
      </c>
      <c r="L14" s="27">
        <f t="shared" si="1"/>
        <v>-200000</v>
      </c>
      <c r="M14" s="27">
        <f t="shared" si="1"/>
        <v>-200000</v>
      </c>
      <c r="N14" s="27">
        <f t="shared" si="1"/>
        <v>-200000</v>
      </c>
    </row>
    <row r="15" spans="1:17" ht="16.5">
      <c r="A15" s="18"/>
      <c r="B15" s="15"/>
      <c r="C15" s="15"/>
      <c r="D15" s="15"/>
      <c r="E15" s="15"/>
      <c r="F15" s="21"/>
      <c r="G15" s="21"/>
      <c r="H15" s="21"/>
      <c r="I15" s="21"/>
      <c r="J15" s="21"/>
      <c r="K15" s="21"/>
      <c r="L15" s="21"/>
      <c r="M15" s="21"/>
      <c r="N15" s="21"/>
      <c r="Q15" s="14"/>
    </row>
    <row r="16" spans="1:14" ht="14.25">
      <c r="A16" s="16" t="s">
        <v>64</v>
      </c>
      <c r="B16" s="15"/>
      <c r="C16" s="15"/>
      <c r="D16" s="15"/>
      <c r="E16" s="15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6.5">
      <c r="A17" s="17" t="s">
        <v>65</v>
      </c>
      <c r="B17" s="15">
        <v>392581</v>
      </c>
      <c r="C17" s="15"/>
      <c r="D17" s="15">
        <v>0</v>
      </c>
      <c r="E17" s="15"/>
      <c r="F17" s="21"/>
      <c r="G17" s="21"/>
      <c r="H17" s="22"/>
      <c r="I17" s="22"/>
      <c r="J17" s="21"/>
      <c r="K17" s="21"/>
      <c r="L17" s="21"/>
      <c r="M17" s="21"/>
      <c r="N17" s="21"/>
    </row>
    <row r="18" spans="1:14" ht="16.5">
      <c r="A18" s="17" t="s">
        <v>76</v>
      </c>
      <c r="B18" s="15"/>
      <c r="C18" s="15"/>
      <c r="D18" s="15">
        <v>-395206</v>
      </c>
      <c r="E18" s="15"/>
      <c r="F18" s="21">
        <v>-152000</v>
      </c>
      <c r="G18" s="21"/>
      <c r="H18" s="21">
        <v>-100000</v>
      </c>
      <c r="I18" s="22"/>
      <c r="J18" s="21">
        <f>-135000</f>
        <v>-135000</v>
      </c>
      <c r="K18" s="21"/>
      <c r="L18" s="21">
        <v>-185000</v>
      </c>
      <c r="M18" s="21"/>
      <c r="N18" s="21">
        <v>-150000</v>
      </c>
    </row>
    <row r="19" spans="1:14" ht="15">
      <c r="A19" s="17" t="s">
        <v>80</v>
      </c>
      <c r="B19" s="21"/>
      <c r="C19" s="21"/>
      <c r="D19" s="21">
        <v>-66757</v>
      </c>
      <c r="E19" s="21"/>
      <c r="F19" s="21">
        <v>-88813.4</v>
      </c>
      <c r="G19" s="21"/>
      <c r="H19" s="21">
        <f>F19</f>
        <v>-88813.4</v>
      </c>
      <c r="I19" s="21">
        <f aca="true" t="shared" si="2" ref="I19:N19">G19</f>
        <v>0</v>
      </c>
      <c r="J19" s="21">
        <f t="shared" si="2"/>
        <v>-88813.4</v>
      </c>
      <c r="K19" s="21">
        <f t="shared" si="2"/>
        <v>0</v>
      </c>
      <c r="L19" s="21">
        <f t="shared" si="2"/>
        <v>-88813.4</v>
      </c>
      <c r="M19" s="21">
        <f t="shared" si="2"/>
        <v>0</v>
      </c>
      <c r="N19" s="21">
        <f t="shared" si="2"/>
        <v>-88813.4</v>
      </c>
    </row>
    <row r="20" spans="1:14" ht="15">
      <c r="A20" s="17" t="s">
        <v>66</v>
      </c>
      <c r="B20" s="21">
        <v>1019008</v>
      </c>
      <c r="C20" s="21"/>
      <c r="D20" s="21">
        <v>1132458</v>
      </c>
      <c r="E20" s="21"/>
      <c r="F20" s="21">
        <v>0</v>
      </c>
      <c r="G20" s="21"/>
      <c r="H20" s="21">
        <v>0</v>
      </c>
      <c r="I20" s="21"/>
      <c r="J20" s="21">
        <v>0</v>
      </c>
      <c r="K20" s="21"/>
      <c r="L20" s="21">
        <v>0</v>
      </c>
      <c r="M20" s="21"/>
      <c r="N20" s="21">
        <v>0</v>
      </c>
    </row>
    <row r="21" spans="1:14" ht="15">
      <c r="A21" s="17" t="s">
        <v>67</v>
      </c>
      <c r="B21" s="21">
        <v>-978354</v>
      </c>
      <c r="C21" s="21"/>
      <c r="D21" s="21">
        <v>-569215</v>
      </c>
      <c r="E21" s="21"/>
      <c r="F21" s="21">
        <f>36441-72882</f>
        <v>-36441</v>
      </c>
      <c r="G21" s="21"/>
      <c r="H21" s="21">
        <f>72882-262220</f>
        <v>-189338</v>
      </c>
      <c r="I21" s="21"/>
      <c r="J21" s="21">
        <f>262220-395053</f>
        <v>-132833</v>
      </c>
      <c r="K21" s="21"/>
      <c r="L21" s="21">
        <f>395053-687451</f>
        <v>-292398</v>
      </c>
      <c r="M21" s="21"/>
      <c r="N21" s="21">
        <f>687451-354856</f>
        <v>332595</v>
      </c>
    </row>
    <row r="22" spans="1:14" ht="15">
      <c r="A22" s="17" t="s">
        <v>68</v>
      </c>
      <c r="B22" s="21">
        <v>120930</v>
      </c>
      <c r="C22" s="21"/>
      <c r="D22" s="21">
        <v>0</v>
      </c>
      <c r="E22" s="21"/>
      <c r="F22" s="21">
        <v>0</v>
      </c>
      <c r="G22" s="21"/>
      <c r="H22" s="21">
        <v>0</v>
      </c>
      <c r="I22" s="21"/>
      <c r="J22" s="21">
        <v>0</v>
      </c>
      <c r="K22" s="21"/>
      <c r="L22" s="21">
        <v>0</v>
      </c>
      <c r="M22" s="21"/>
      <c r="N22" s="21">
        <v>0</v>
      </c>
    </row>
    <row r="23" spans="1:16" ht="16.5">
      <c r="A23" s="17" t="s">
        <v>69</v>
      </c>
      <c r="B23" s="15">
        <v>-58886</v>
      </c>
      <c r="C23" s="15"/>
      <c r="D23" s="15">
        <v>0</v>
      </c>
      <c r="E23" s="15"/>
      <c r="F23" s="21">
        <v>0</v>
      </c>
      <c r="G23" s="21"/>
      <c r="H23" s="21">
        <v>0</v>
      </c>
      <c r="J23" s="21">
        <v>0</v>
      </c>
      <c r="K23" s="21"/>
      <c r="L23" s="21">
        <v>0</v>
      </c>
      <c r="M23" s="21"/>
      <c r="N23" s="22">
        <v>0</v>
      </c>
      <c r="P23" s="21"/>
    </row>
    <row r="24" spans="1:14" ht="15">
      <c r="A24" s="17" t="s">
        <v>81</v>
      </c>
      <c r="B24" s="15">
        <v>0</v>
      </c>
      <c r="C24" s="15"/>
      <c r="D24" s="15">
        <v>889849</v>
      </c>
      <c r="E24" s="15"/>
      <c r="F24" s="21">
        <f>-'[1]Hoja2'!$C$5</f>
        <v>-72882</v>
      </c>
      <c r="G24" s="21"/>
      <c r="H24" s="21">
        <f>-'[1]Hoja2'!$C$7</f>
        <v>-262220</v>
      </c>
      <c r="J24" s="21">
        <f>-'[1]Hoja2'!$C$9</f>
        <v>-395053</v>
      </c>
      <c r="K24" s="21"/>
      <c r="L24" s="21">
        <f>-'[1]Hoja2'!$C$11</f>
        <v>-687451</v>
      </c>
      <c r="M24" s="21"/>
      <c r="N24" s="21">
        <f>-'[1]Hoja2'!$C$13</f>
        <v>-354856</v>
      </c>
    </row>
    <row r="25" spans="1:14" ht="16.5">
      <c r="A25" s="17" t="s">
        <v>75</v>
      </c>
      <c r="B25" s="15"/>
      <c r="C25" s="15"/>
      <c r="D25" s="15">
        <v>-22498</v>
      </c>
      <c r="E25" s="15"/>
      <c r="F25" s="30">
        <v>0</v>
      </c>
      <c r="H25" s="30">
        <v>0</v>
      </c>
      <c r="J25" s="21">
        <v>0</v>
      </c>
      <c r="K25" s="21"/>
      <c r="L25" s="21">
        <v>0</v>
      </c>
      <c r="M25" s="21"/>
      <c r="N25" s="22">
        <v>0</v>
      </c>
    </row>
    <row r="26" spans="1:14" ht="16.5">
      <c r="A26" s="17" t="s">
        <v>79</v>
      </c>
      <c r="B26" s="15"/>
      <c r="C26" s="15"/>
      <c r="D26" s="31"/>
      <c r="E26" s="31"/>
      <c r="F26" s="32">
        <v>665000</v>
      </c>
      <c r="G26" s="33"/>
      <c r="H26" s="32">
        <v>225000</v>
      </c>
      <c r="I26" s="33"/>
      <c r="J26" s="32">
        <v>100000</v>
      </c>
      <c r="K26" s="32"/>
      <c r="L26" s="32"/>
      <c r="M26" s="32"/>
      <c r="N26" s="34"/>
    </row>
    <row r="27" spans="1:14" ht="16.5">
      <c r="A27" s="17"/>
      <c r="B27" s="15"/>
      <c r="C27" s="15"/>
      <c r="D27" s="15"/>
      <c r="E27" s="15"/>
      <c r="N27" s="13"/>
    </row>
    <row r="28" spans="1:14" ht="15">
      <c r="A28" s="26" t="s">
        <v>70</v>
      </c>
      <c r="B28" s="36">
        <f>SUM(B17:B26)</f>
        <v>495279</v>
      </c>
      <c r="C28" s="36"/>
      <c r="D28" s="36">
        <f>SUM(D17:D26)</f>
        <v>968631</v>
      </c>
      <c r="E28" s="15"/>
      <c r="F28" s="21">
        <f>SUM(F17:F26)</f>
        <v>314863.6</v>
      </c>
      <c r="G28" s="21">
        <f aca="true" t="shared" si="3" ref="G28:M28">SUM(G17:G26)</f>
        <v>0</v>
      </c>
      <c r="H28" s="21">
        <f t="shared" si="3"/>
        <v>-415371.4</v>
      </c>
      <c r="I28" s="21">
        <f t="shared" si="3"/>
        <v>0</v>
      </c>
      <c r="J28" s="21">
        <f t="shared" si="3"/>
        <v>-651699.4</v>
      </c>
      <c r="K28" s="21">
        <f t="shared" si="3"/>
        <v>0</v>
      </c>
      <c r="L28" s="21">
        <f t="shared" si="3"/>
        <v>-1253662.4</v>
      </c>
      <c r="M28" s="21">
        <f t="shared" si="3"/>
        <v>0</v>
      </c>
      <c r="N28" s="21">
        <f>SUM(N17:N26)</f>
        <v>-261074.4</v>
      </c>
    </row>
    <row r="29" spans="1:17" ht="16.5">
      <c r="A29" s="18"/>
      <c r="B29" s="15"/>
      <c r="C29" s="15"/>
      <c r="D29" s="15"/>
      <c r="E29" s="15"/>
      <c r="Q29" s="12"/>
    </row>
    <row r="30" spans="1:14" ht="15">
      <c r="A30" s="17" t="s">
        <v>71</v>
      </c>
      <c r="B30" s="15">
        <f>B9+B14+B28</f>
        <v>-13475</v>
      </c>
      <c r="C30" s="15"/>
      <c r="D30" s="15">
        <f>D9+D14+D28</f>
        <v>-3954</v>
      </c>
      <c r="E30" s="15"/>
      <c r="F30" s="28">
        <f>+F28+F14+F9</f>
        <v>-600268.4</v>
      </c>
      <c r="G30" s="28">
        <f aca="true" t="shared" si="4" ref="G30:M30">+G28+G14+G9</f>
        <v>-200000</v>
      </c>
      <c r="H30" s="28">
        <f t="shared" si="4"/>
        <v>-1230503.4</v>
      </c>
      <c r="I30" s="28">
        <f t="shared" si="4"/>
        <v>-200000</v>
      </c>
      <c r="J30" s="28">
        <f t="shared" si="4"/>
        <v>-1416831.4</v>
      </c>
      <c r="K30" s="28">
        <f t="shared" si="4"/>
        <v>-200000</v>
      </c>
      <c r="L30" s="28">
        <f t="shared" si="4"/>
        <v>-1718794.4</v>
      </c>
      <c r="M30" s="28">
        <f t="shared" si="4"/>
        <v>-200000</v>
      </c>
      <c r="N30" s="28">
        <f>+N28+N14+N9</f>
        <v>-576206.4</v>
      </c>
    </row>
    <row r="31" spans="1:14" ht="15">
      <c r="A31" s="17" t="s">
        <v>72</v>
      </c>
      <c r="B31" s="15">
        <v>19319</v>
      </c>
      <c r="C31" s="15"/>
      <c r="D31" s="15">
        <f>B33</f>
        <v>5844</v>
      </c>
      <c r="E31" s="15"/>
      <c r="F31" s="29">
        <f>D33</f>
        <v>1890</v>
      </c>
      <c r="G31" s="29"/>
      <c r="H31" s="29">
        <f>F33</f>
        <v>-598378.4</v>
      </c>
      <c r="I31" s="29"/>
      <c r="J31" s="29">
        <f>H33</f>
        <v>-1828881.7999999998</v>
      </c>
      <c r="K31" s="29"/>
      <c r="L31" s="29">
        <f>J33</f>
        <v>-3245713.1999999997</v>
      </c>
      <c r="M31" s="29"/>
      <c r="N31" s="29">
        <f>L33</f>
        <v>-4964507.6</v>
      </c>
    </row>
    <row r="32" spans="1:17" ht="16.5">
      <c r="A32" s="18"/>
      <c r="B32" s="15"/>
      <c r="C32" s="15"/>
      <c r="D32" s="15"/>
      <c r="E32" s="15"/>
      <c r="Q32" s="12"/>
    </row>
    <row r="33" spans="1:14" ht="15">
      <c r="A33" s="17" t="s">
        <v>73</v>
      </c>
      <c r="B33" s="20">
        <f>SUM(B30:B32)</f>
        <v>5844</v>
      </c>
      <c r="C33" s="20"/>
      <c r="D33" s="20">
        <f>SUM(D30:D32)</f>
        <v>1890</v>
      </c>
      <c r="E33" s="20"/>
      <c r="F33" s="21">
        <f>SUM(F30:F31)</f>
        <v>-598378.4</v>
      </c>
      <c r="G33">
        <f aca="true" t="shared" si="5" ref="G33:N33">SUM(G30:G31)</f>
        <v>-200000</v>
      </c>
      <c r="H33" s="21">
        <f t="shared" si="5"/>
        <v>-1828881.7999999998</v>
      </c>
      <c r="I33" s="21">
        <f t="shared" si="5"/>
        <v>-200000</v>
      </c>
      <c r="J33" s="21">
        <f t="shared" si="5"/>
        <v>-3245713.1999999997</v>
      </c>
      <c r="K33" s="21">
        <f t="shared" si="5"/>
        <v>-200000</v>
      </c>
      <c r="L33" s="21">
        <f t="shared" si="5"/>
        <v>-4964507.6</v>
      </c>
      <c r="M33" s="21">
        <f t="shared" si="5"/>
        <v>-200000</v>
      </c>
      <c r="N33" s="21">
        <f t="shared" si="5"/>
        <v>-5540714</v>
      </c>
    </row>
    <row r="36" ht="12.75">
      <c r="F36" t="s">
        <v>235</v>
      </c>
    </row>
    <row r="37" spans="4:15" ht="12.75">
      <c r="D37">
        <v>2006</v>
      </c>
      <c r="E37" t="s">
        <v>78</v>
      </c>
      <c r="F37">
        <v>2006</v>
      </c>
      <c r="H37">
        <v>2007</v>
      </c>
      <c r="J37">
        <v>2008</v>
      </c>
      <c r="K37">
        <v>2009</v>
      </c>
      <c r="L37">
        <v>2010</v>
      </c>
      <c r="M37">
        <v>2011</v>
      </c>
      <c r="N37">
        <v>2012</v>
      </c>
      <c r="O37">
        <v>2013</v>
      </c>
    </row>
    <row r="38" spans="1:6" ht="12.75">
      <c r="A38" s="37" t="s">
        <v>83</v>
      </c>
      <c r="D38" s="27">
        <v>162882</v>
      </c>
      <c r="E38" s="38">
        <v>0</v>
      </c>
      <c r="F38" s="39">
        <v>162882</v>
      </c>
    </row>
    <row r="39" spans="1:15" ht="12.75">
      <c r="A39" s="37" t="s">
        <v>84</v>
      </c>
      <c r="B39" t="s">
        <v>246</v>
      </c>
      <c r="D39" s="21">
        <v>42720</v>
      </c>
      <c r="E39" s="38">
        <f>+D39*0.1</f>
        <v>4272</v>
      </c>
      <c r="F39" s="27">
        <f>+D39*0.1</f>
        <v>4272</v>
      </c>
      <c r="H39" s="251">
        <f>F39</f>
        <v>4272</v>
      </c>
      <c r="I39" s="251">
        <f aca="true" t="shared" si="6" ref="I39:J45">G39</f>
        <v>0</v>
      </c>
      <c r="J39" s="251">
        <f t="shared" si="6"/>
        <v>4272</v>
      </c>
      <c r="K39" s="251">
        <f>J39</f>
        <v>4272</v>
      </c>
      <c r="L39" s="251">
        <f>K39</f>
        <v>4272</v>
      </c>
      <c r="M39" s="251">
        <f>L39</f>
        <v>4272</v>
      </c>
      <c r="N39" s="251">
        <f>M39</f>
        <v>4272</v>
      </c>
      <c r="O39" s="251">
        <f>N39</f>
        <v>4272</v>
      </c>
    </row>
    <row r="40" spans="1:15" ht="12.75">
      <c r="A40" s="37" t="s">
        <v>85</v>
      </c>
      <c r="B40" t="s">
        <v>246</v>
      </c>
      <c r="D40" s="27">
        <f>1359353+400000</f>
        <v>1759353</v>
      </c>
      <c r="E40" s="38">
        <f>+D40*0.1</f>
        <v>175935.30000000002</v>
      </c>
      <c r="F40" s="27">
        <f>+D40*0.1</f>
        <v>175935.30000000002</v>
      </c>
      <c r="H40" s="251">
        <f aca="true" t="shared" si="7" ref="H40:H45">F40</f>
        <v>175935.30000000002</v>
      </c>
      <c r="I40" s="251">
        <f t="shared" si="6"/>
        <v>0</v>
      </c>
      <c r="J40" s="251">
        <f t="shared" si="6"/>
        <v>175935.30000000002</v>
      </c>
      <c r="K40" s="251">
        <f aca="true" t="shared" si="8" ref="K40:M45">J40</f>
        <v>175935.30000000002</v>
      </c>
      <c r="L40" s="251">
        <f t="shared" si="8"/>
        <v>175935.30000000002</v>
      </c>
      <c r="M40" s="251">
        <f t="shared" si="8"/>
        <v>175935.30000000002</v>
      </c>
      <c r="N40" s="251">
        <f>M40</f>
        <v>175935.30000000002</v>
      </c>
      <c r="O40" s="251">
        <f>N40</f>
        <v>175935.30000000002</v>
      </c>
    </row>
    <row r="41" spans="1:15" ht="12.75">
      <c r="A41" s="37" t="s">
        <v>86</v>
      </c>
      <c r="B41" t="s">
        <v>247</v>
      </c>
      <c r="D41" s="21">
        <v>84828</v>
      </c>
      <c r="E41" s="37">
        <f>+D41*0.2</f>
        <v>16965.600000000002</v>
      </c>
      <c r="F41" s="21">
        <f>+D41*0.2</f>
        <v>16965.600000000002</v>
      </c>
      <c r="H41" s="251">
        <f t="shared" si="7"/>
        <v>16965.600000000002</v>
      </c>
      <c r="I41" s="251">
        <f t="shared" si="6"/>
        <v>0</v>
      </c>
      <c r="J41" s="251">
        <f t="shared" si="6"/>
        <v>16965.600000000002</v>
      </c>
      <c r="K41" s="251">
        <f t="shared" si="8"/>
        <v>16965.600000000002</v>
      </c>
      <c r="L41" s="251">
        <f t="shared" si="8"/>
        <v>16965.600000000002</v>
      </c>
      <c r="M41" s="251"/>
      <c r="N41" s="251"/>
      <c r="O41" s="251"/>
    </row>
    <row r="42" spans="1:15" ht="12.75">
      <c r="A42" s="37" t="s">
        <v>87</v>
      </c>
      <c r="B42" t="s">
        <v>248</v>
      </c>
      <c r="D42" s="27">
        <f>11604411+172850+28248+500000</f>
        <v>12305509</v>
      </c>
      <c r="E42" s="38" t="e">
        <f>(D42+D46+#REF!)*0.05</f>
        <v>#REF!</v>
      </c>
      <c r="F42" s="21">
        <f>+D42*0.05</f>
        <v>615275.4500000001</v>
      </c>
      <c r="H42" s="251">
        <f t="shared" si="7"/>
        <v>615275.4500000001</v>
      </c>
      <c r="I42" s="251">
        <f t="shared" si="6"/>
        <v>0</v>
      </c>
      <c r="J42" s="251">
        <f t="shared" si="6"/>
        <v>615275.4500000001</v>
      </c>
      <c r="K42" s="251">
        <f t="shared" si="8"/>
        <v>615275.4500000001</v>
      </c>
      <c r="L42" s="251">
        <f t="shared" si="8"/>
        <v>615275.4500000001</v>
      </c>
      <c r="M42" s="251">
        <f t="shared" si="8"/>
        <v>615275.4500000001</v>
      </c>
      <c r="N42" s="251">
        <f aca="true" t="shared" si="9" ref="N42:O45">M42</f>
        <v>615275.4500000001</v>
      </c>
      <c r="O42" s="251">
        <f t="shared" si="9"/>
        <v>615275.4500000001</v>
      </c>
    </row>
    <row r="43" spans="1:15" ht="12.75">
      <c r="A43" s="37" t="s">
        <v>88</v>
      </c>
      <c r="B43" t="s">
        <v>246</v>
      </c>
      <c r="D43" s="21">
        <v>35113</v>
      </c>
      <c r="E43" s="38">
        <f>+D43*0.1</f>
        <v>3511.3</v>
      </c>
      <c r="F43" s="27">
        <f>+D43*0.1</f>
        <v>3511.3</v>
      </c>
      <c r="H43" s="251">
        <f t="shared" si="7"/>
        <v>3511.3</v>
      </c>
      <c r="I43" s="251">
        <f t="shared" si="6"/>
        <v>0</v>
      </c>
      <c r="J43" s="251">
        <f t="shared" si="6"/>
        <v>3511.3</v>
      </c>
      <c r="K43" s="251">
        <f t="shared" si="8"/>
        <v>3511.3</v>
      </c>
      <c r="L43" s="251">
        <f t="shared" si="8"/>
        <v>3511.3</v>
      </c>
      <c r="M43" s="251">
        <f t="shared" si="8"/>
        <v>3511.3</v>
      </c>
      <c r="N43" s="251">
        <f t="shared" si="9"/>
        <v>3511.3</v>
      </c>
      <c r="O43" s="251">
        <f t="shared" si="9"/>
        <v>3511.3</v>
      </c>
    </row>
    <row r="44" spans="1:15" ht="12.75">
      <c r="A44" s="37" t="s">
        <v>89</v>
      </c>
      <c r="B44" t="s">
        <v>248</v>
      </c>
      <c r="D44" s="27">
        <f>12400+100000</f>
        <v>112400</v>
      </c>
      <c r="E44">
        <f>+D44*0.15</f>
        <v>16860</v>
      </c>
      <c r="F44" s="27">
        <f>+D44*0.05</f>
        <v>5620</v>
      </c>
      <c r="H44" s="251">
        <f t="shared" si="7"/>
        <v>5620</v>
      </c>
      <c r="I44" s="251">
        <f t="shared" si="6"/>
        <v>0</v>
      </c>
      <c r="J44" s="251">
        <f t="shared" si="6"/>
        <v>5620</v>
      </c>
      <c r="K44" s="251">
        <f t="shared" si="8"/>
        <v>5620</v>
      </c>
      <c r="L44" s="251">
        <f t="shared" si="8"/>
        <v>5620</v>
      </c>
      <c r="M44" s="251">
        <f t="shared" si="8"/>
        <v>5620</v>
      </c>
      <c r="N44" s="251">
        <f t="shared" si="9"/>
        <v>5620</v>
      </c>
      <c r="O44" s="251">
        <f t="shared" si="9"/>
        <v>5620</v>
      </c>
    </row>
    <row r="45" spans="1:15" ht="12.75">
      <c r="A45" s="37" t="s">
        <v>90</v>
      </c>
      <c r="B45" t="s">
        <v>248</v>
      </c>
      <c r="D45" s="21">
        <v>119642</v>
      </c>
      <c r="E45">
        <f>+D45*0.1</f>
        <v>11964.2</v>
      </c>
      <c r="F45" s="27">
        <f>+D45*0.05</f>
        <v>5982.1</v>
      </c>
      <c r="H45" s="251">
        <f t="shared" si="7"/>
        <v>5982.1</v>
      </c>
      <c r="I45" s="251">
        <f t="shared" si="6"/>
        <v>0</v>
      </c>
      <c r="J45" s="251">
        <f t="shared" si="6"/>
        <v>5982.1</v>
      </c>
      <c r="K45" s="251">
        <f t="shared" si="8"/>
        <v>5982.1</v>
      </c>
      <c r="L45" s="251">
        <f t="shared" si="8"/>
        <v>5982.1</v>
      </c>
      <c r="M45" s="251">
        <f t="shared" si="8"/>
        <v>5982.1</v>
      </c>
      <c r="N45" s="251">
        <f t="shared" si="9"/>
        <v>5982.1</v>
      </c>
      <c r="O45" s="251">
        <f t="shared" si="9"/>
        <v>5982.1</v>
      </c>
    </row>
    <row r="46" spans="1:15" ht="12.75">
      <c r="A46" s="37"/>
      <c r="D46" s="27"/>
      <c r="E46" s="38" t="e">
        <f>SUM(E38:E45)</f>
        <v>#REF!</v>
      </c>
      <c r="F46" s="245">
        <f>SUM(F38:F45)</f>
        <v>990443.7500000001</v>
      </c>
      <c r="G46" s="245">
        <f aca="true" t="shared" si="10" ref="G46:O46">SUM(G39:G45)</f>
        <v>0</v>
      </c>
      <c r="H46" s="245">
        <f t="shared" si="10"/>
        <v>827561.7500000001</v>
      </c>
      <c r="I46" s="245">
        <f t="shared" si="10"/>
        <v>0</v>
      </c>
      <c r="J46" s="245">
        <f t="shared" si="10"/>
        <v>827561.7500000001</v>
      </c>
      <c r="K46" s="245">
        <f>SUM(K39:K45)</f>
        <v>827561.7500000001</v>
      </c>
      <c r="L46" s="245">
        <f t="shared" si="10"/>
        <v>827561.7500000001</v>
      </c>
      <c r="M46" s="245">
        <f t="shared" si="10"/>
        <v>810596.1500000001</v>
      </c>
      <c r="N46" s="245">
        <f t="shared" si="10"/>
        <v>810596.1500000001</v>
      </c>
      <c r="O46" s="245">
        <f t="shared" si="10"/>
        <v>810596.1500000001</v>
      </c>
    </row>
    <row r="48" ht="12.75">
      <c r="B48" t="s">
        <v>234</v>
      </c>
    </row>
    <row r="49" spans="2:6" ht="12.75">
      <c r="B49">
        <v>2005</v>
      </c>
      <c r="F49">
        <v>2006</v>
      </c>
    </row>
    <row r="50" spans="1:2" ht="15.75">
      <c r="A50" s="246" t="s">
        <v>250</v>
      </c>
      <c r="B50" s="15">
        <v>281032</v>
      </c>
    </row>
    <row r="51" spans="1:2" ht="15.75">
      <c r="A51" s="246" t="s">
        <v>251</v>
      </c>
      <c r="B51" s="15">
        <v>719636</v>
      </c>
    </row>
    <row r="52" spans="1:2" ht="15.75">
      <c r="A52" s="246" t="s">
        <v>252</v>
      </c>
      <c r="B52" s="15">
        <v>3418285</v>
      </c>
    </row>
    <row r="53" spans="2:8" ht="12.75">
      <c r="B53" s="15">
        <f>SUM(B50:B52)</f>
        <v>4418953</v>
      </c>
      <c r="D53" s="15">
        <v>395206</v>
      </c>
      <c r="F53" s="15">
        <v>4815789</v>
      </c>
      <c r="H53" s="15">
        <v>2532547</v>
      </c>
    </row>
    <row r="55" spans="2:8" ht="12.75">
      <c r="B55" s="247">
        <f>+D53/B53</f>
        <v>0.08943430717638319</v>
      </c>
      <c r="F55" s="248">
        <f>+F53*B55</f>
        <v>430696.7527226472</v>
      </c>
      <c r="H55">
        <f>+H53/F55</f>
        <v>5.880116309190904</v>
      </c>
    </row>
    <row r="61" ht="12.75">
      <c r="A61" t="s">
        <v>53</v>
      </c>
    </row>
    <row r="62" spans="1:8" ht="12.75">
      <c r="A62" s="1" t="s">
        <v>0</v>
      </c>
      <c r="B62" s="1"/>
      <c r="C62" s="1"/>
      <c r="D62" s="1"/>
      <c r="E62" s="1"/>
      <c r="F62" s="2" t="s">
        <v>1</v>
      </c>
      <c r="G62" s="3" t="s">
        <v>52</v>
      </c>
      <c r="H62" s="3" t="s">
        <v>52</v>
      </c>
    </row>
    <row r="63" spans="1:8" ht="12.75">
      <c r="A63" s="1"/>
      <c r="B63" s="1"/>
      <c r="C63" s="1"/>
      <c r="D63" s="1"/>
      <c r="E63" s="1"/>
      <c r="F63" s="2" t="s">
        <v>2</v>
      </c>
      <c r="G63" s="3" t="s">
        <v>3</v>
      </c>
      <c r="H63" s="3" t="s">
        <v>3</v>
      </c>
    </row>
    <row r="64" spans="1:8" ht="12.75">
      <c r="A64" s="1" t="s">
        <v>0</v>
      </c>
      <c r="B64" s="1"/>
      <c r="C64" s="1"/>
      <c r="D64" s="1"/>
      <c r="E64" s="1"/>
      <c r="F64" s="4">
        <v>37621</v>
      </c>
      <c r="G64" s="4">
        <v>37986</v>
      </c>
      <c r="H64" s="4">
        <v>38352</v>
      </c>
    </row>
    <row r="65" spans="3:8" ht="12.75">
      <c r="C65" s="5"/>
      <c r="F65" s="6"/>
      <c r="G65" s="6"/>
      <c r="H65" s="6"/>
    </row>
    <row r="66" spans="1:8" ht="12.75">
      <c r="A66" s="1" t="s">
        <v>4</v>
      </c>
      <c r="F66" s="6"/>
      <c r="G66" s="6"/>
      <c r="H66" s="6"/>
    </row>
    <row r="67" spans="1:8" ht="12.75">
      <c r="A67" t="s">
        <v>5</v>
      </c>
      <c r="F67" s="6"/>
      <c r="G67" s="6"/>
      <c r="H67" s="6"/>
    </row>
    <row r="68" spans="2:8" ht="12.75">
      <c r="B68" t="s">
        <v>6</v>
      </c>
      <c r="F68" s="6">
        <v>19319</v>
      </c>
      <c r="G68" s="6">
        <v>5844</v>
      </c>
      <c r="H68" s="6">
        <v>1890</v>
      </c>
    </row>
    <row r="69" spans="2:8" ht="12.75">
      <c r="B69" t="s">
        <v>7</v>
      </c>
      <c r="F69" s="6">
        <v>118745</v>
      </c>
      <c r="G69" s="6">
        <v>116259</v>
      </c>
      <c r="H69" s="6">
        <v>194709</v>
      </c>
    </row>
    <row r="70" spans="2:8" ht="12.75">
      <c r="B70" t="s">
        <v>8</v>
      </c>
      <c r="E70" s="5"/>
      <c r="F70" s="6">
        <v>1377659</v>
      </c>
      <c r="G70" s="6">
        <v>1244653</v>
      </c>
      <c r="H70" s="6">
        <v>1873059</v>
      </c>
    </row>
    <row r="71" spans="2:8" ht="12.75">
      <c r="B71" t="s">
        <v>9</v>
      </c>
      <c r="E71" s="5"/>
      <c r="F71" s="6">
        <f>+G71</f>
        <v>13673</v>
      </c>
      <c r="G71" s="6">
        <v>13673</v>
      </c>
      <c r="H71" s="6">
        <v>4645</v>
      </c>
    </row>
    <row r="72" spans="2:8" ht="12.75">
      <c r="B72" t="s">
        <v>10</v>
      </c>
      <c r="F72" s="6">
        <v>108631</v>
      </c>
      <c r="G72" s="6">
        <v>158187</v>
      </c>
      <c r="H72" s="6">
        <v>172420</v>
      </c>
    </row>
    <row r="73" spans="1:8" ht="12.75">
      <c r="A73" s="1" t="s">
        <v>11</v>
      </c>
      <c r="F73" s="3">
        <f>SUM(F68:F72)</f>
        <v>1638027</v>
      </c>
      <c r="G73" s="3">
        <f>SUM(G68:G72)</f>
        <v>1538616</v>
      </c>
      <c r="H73" s="3">
        <f>SUM(H68:H72)</f>
        <v>2246723</v>
      </c>
    </row>
    <row r="74" spans="6:8" ht="12.75">
      <c r="F74" s="6"/>
      <c r="G74" s="6"/>
      <c r="H74" s="6"/>
    </row>
    <row r="75" spans="1:8" ht="12.75">
      <c r="A75" s="1" t="s">
        <v>12</v>
      </c>
      <c r="F75" s="6"/>
      <c r="G75" s="6"/>
      <c r="H75" s="6"/>
    </row>
    <row r="76" spans="2:8" ht="12.75">
      <c r="B76" t="s">
        <v>13</v>
      </c>
      <c r="D76" s="6">
        <f>18056-H76</f>
        <v>-13604391</v>
      </c>
      <c r="E76" s="6">
        <f>452843+H77</f>
        <v>-4898748</v>
      </c>
      <c r="F76" s="6">
        <v>13382545</v>
      </c>
      <c r="G76" s="7">
        <v>13388054</v>
      </c>
      <c r="H76" s="7">
        <v>13622447</v>
      </c>
    </row>
    <row r="77" spans="2:8" ht="12.75">
      <c r="B77" t="s">
        <v>14</v>
      </c>
      <c r="D77" s="6"/>
      <c r="E77" s="6"/>
      <c r="F77" s="6">
        <v>-4001165</v>
      </c>
      <c r="G77" s="6">
        <v>-4083626</v>
      </c>
      <c r="H77" s="6">
        <v>-5351591</v>
      </c>
    </row>
    <row r="78" spans="1:8" ht="12.75">
      <c r="A78" s="1" t="s">
        <v>15</v>
      </c>
      <c r="F78" s="3">
        <f>SUM(F76:F77)</f>
        <v>9381380</v>
      </c>
      <c r="G78" s="3">
        <f>SUM(G76:G77)</f>
        <v>9304428</v>
      </c>
      <c r="H78" s="3">
        <f>SUM(H76:H77)</f>
        <v>8270856</v>
      </c>
    </row>
    <row r="79" spans="1:8" ht="12.75">
      <c r="A79" s="1"/>
      <c r="F79" s="3"/>
      <c r="G79" s="3"/>
      <c r="H79" s="3"/>
    </row>
    <row r="80" spans="1:8" ht="12.75">
      <c r="A80" t="s">
        <v>16</v>
      </c>
      <c r="D80" s="5">
        <f>+H80-58886</f>
        <v>4756903</v>
      </c>
      <c r="E80" s="5"/>
      <c r="F80" s="3">
        <v>4473638</v>
      </c>
      <c r="G80" s="3">
        <v>4420583</v>
      </c>
      <c r="H80" s="3">
        <v>4815789</v>
      </c>
    </row>
    <row r="81" spans="2:8" ht="12.75">
      <c r="B81" t="s">
        <v>17</v>
      </c>
      <c r="D81" s="5"/>
      <c r="F81" s="3">
        <v>-2052845</v>
      </c>
      <c r="G81" s="3">
        <v>-2283242</v>
      </c>
      <c r="H81" s="3">
        <v>-2283242</v>
      </c>
    </row>
    <row r="82" spans="2:8" ht="13.5" thickBot="1">
      <c r="B82" s="1" t="s">
        <v>18</v>
      </c>
      <c r="F82" s="8">
        <f>+F78+F73+F80+F81</f>
        <v>13440200</v>
      </c>
      <c r="G82" s="8">
        <f>+G78+G73+G80+G81</f>
        <v>12980385</v>
      </c>
      <c r="H82" s="8">
        <f>+H78+H73+H80+H81</f>
        <v>13050126</v>
      </c>
    </row>
    <row r="83" spans="6:8" ht="13.5" thickTop="1">
      <c r="F83" s="6"/>
      <c r="G83" s="6"/>
      <c r="H83" s="6"/>
    </row>
    <row r="84" spans="1:8" ht="12.75">
      <c r="A84" s="1" t="s">
        <v>19</v>
      </c>
      <c r="C84" s="1"/>
      <c r="D84" s="1"/>
      <c r="F84" s="6"/>
      <c r="G84" s="6"/>
      <c r="H84" s="6"/>
    </row>
    <row r="85" spans="1:8" ht="12.75">
      <c r="A85" t="s">
        <v>20</v>
      </c>
      <c r="F85" s="6"/>
      <c r="G85" s="6"/>
      <c r="H85" s="6"/>
    </row>
    <row r="86" spans="2:8" ht="12.75">
      <c r="B86" t="s">
        <v>21</v>
      </c>
      <c r="F86" s="6">
        <v>185000</v>
      </c>
      <c r="G86" s="6">
        <v>577581</v>
      </c>
      <c r="H86" s="6">
        <v>510824</v>
      </c>
    </row>
    <row r="87" spans="2:8" ht="12.75">
      <c r="B87" t="s">
        <v>22</v>
      </c>
      <c r="E87" s="6">
        <f>-D76+D80+E76</f>
        <v>13462546</v>
      </c>
      <c r="F87" s="6">
        <v>4593911</v>
      </c>
      <c r="G87" s="6">
        <v>5865143</v>
      </c>
      <c r="H87" s="6">
        <v>6997601</v>
      </c>
    </row>
    <row r="88" spans="2:8" ht="12.75">
      <c r="B88" s="9" t="s">
        <v>23</v>
      </c>
      <c r="F88" s="6">
        <v>678426</v>
      </c>
      <c r="G88" s="6">
        <v>1046142</v>
      </c>
      <c r="H88" s="6">
        <v>1162678</v>
      </c>
    </row>
    <row r="89" spans="2:8" ht="12.75">
      <c r="B89" s="9" t="s">
        <v>24</v>
      </c>
      <c r="F89" s="6">
        <v>1584010</v>
      </c>
      <c r="G89" s="6">
        <v>605656</v>
      </c>
      <c r="H89" s="6">
        <v>36441</v>
      </c>
    </row>
    <row r="90" spans="1:8" ht="12.75">
      <c r="A90" s="1" t="s">
        <v>25</v>
      </c>
      <c r="F90" s="3">
        <f>SUM(F86:F89)</f>
        <v>7041347</v>
      </c>
      <c r="G90" s="3">
        <f>SUM(G86:G89)</f>
        <v>8094522</v>
      </c>
      <c r="H90" s="3">
        <f>SUM(H86:H89)</f>
        <v>8707544</v>
      </c>
    </row>
    <row r="91" spans="6:8" ht="12.75">
      <c r="F91" s="6"/>
      <c r="G91" s="6"/>
      <c r="H91" s="6"/>
    </row>
    <row r="92" spans="1:8" ht="12.75">
      <c r="A92" s="1" t="s">
        <v>26</v>
      </c>
      <c r="F92" s="6"/>
      <c r="G92" s="6"/>
      <c r="H92" s="6"/>
    </row>
    <row r="93" spans="1:8" ht="13.5" thickBot="1">
      <c r="A93" t="s">
        <v>27</v>
      </c>
      <c r="F93" s="10">
        <v>1900218</v>
      </c>
      <c r="G93" s="3">
        <v>2021148</v>
      </c>
      <c r="H93" s="10">
        <v>2910997</v>
      </c>
    </row>
    <row r="94" spans="6:8" ht="13.5" thickTop="1">
      <c r="F94" s="6"/>
      <c r="G94" s="6"/>
      <c r="H94" s="6"/>
    </row>
    <row r="95" spans="1:8" ht="12.75">
      <c r="A95" t="s">
        <v>28</v>
      </c>
      <c r="F95" s="6"/>
      <c r="G95" s="6"/>
      <c r="H95" s="6">
        <f>H90+H93</f>
        <v>11618541</v>
      </c>
    </row>
    <row r="96" spans="6:8" ht="12.75">
      <c r="F96" s="6"/>
      <c r="G96" s="6"/>
      <c r="H96" s="6"/>
    </row>
    <row r="97" spans="1:8" ht="12.75">
      <c r="A97" s="1" t="s">
        <v>29</v>
      </c>
      <c r="F97" s="6"/>
      <c r="G97" s="6"/>
      <c r="H97" s="6"/>
    </row>
    <row r="98" spans="1:8" ht="12.75">
      <c r="A98" t="s">
        <v>30</v>
      </c>
      <c r="F98" s="6">
        <f>+G98</f>
        <v>117000</v>
      </c>
      <c r="G98" s="6">
        <v>117000</v>
      </c>
      <c r="H98" s="6">
        <v>117000</v>
      </c>
    </row>
    <row r="99" spans="2:8" ht="12.75">
      <c r="B99" t="s">
        <v>31</v>
      </c>
      <c r="E99" s="6"/>
      <c r="F99" s="6">
        <f>+G99</f>
        <v>5981519</v>
      </c>
      <c r="G99" s="6">
        <v>5981519</v>
      </c>
      <c r="H99" s="6">
        <v>2551014</v>
      </c>
    </row>
    <row r="100" spans="1:8" ht="12.75">
      <c r="A100" t="s">
        <v>32</v>
      </c>
      <c r="E100" s="5"/>
      <c r="F100" s="6">
        <v>6660</v>
      </c>
      <c r="G100" s="6">
        <v>5151</v>
      </c>
      <c r="H100" s="6">
        <v>5151</v>
      </c>
    </row>
    <row r="101" spans="2:8" ht="12.75">
      <c r="B101" t="s">
        <v>33</v>
      </c>
      <c r="E101" s="5"/>
      <c r="F101" s="6"/>
      <c r="G101" s="6"/>
      <c r="H101" s="6"/>
    </row>
    <row r="102" spans="1:8" ht="12.75">
      <c r="A102" t="s">
        <v>34</v>
      </c>
      <c r="F102" s="6">
        <v>157697</v>
      </c>
      <c r="G102" s="6">
        <v>169052</v>
      </c>
      <c r="H102" s="6">
        <v>169052</v>
      </c>
    </row>
    <row r="103" spans="1:8" ht="12.75">
      <c r="A103" t="s">
        <v>35</v>
      </c>
      <c r="F103" s="6">
        <v>-1764241</v>
      </c>
      <c r="G103" s="6">
        <v>-3408007</v>
      </c>
      <c r="H103" s="6">
        <v>-1410632</v>
      </c>
    </row>
    <row r="104" spans="1:8" ht="12.75">
      <c r="A104" s="1" t="s">
        <v>36</v>
      </c>
      <c r="F104" s="3">
        <f>SUM(F98:F103)</f>
        <v>4498635</v>
      </c>
      <c r="G104" s="3">
        <f>SUM(G98:G103)</f>
        <v>2864715</v>
      </c>
      <c r="H104" s="3">
        <f>SUM(H98:H103)</f>
        <v>1431585</v>
      </c>
    </row>
    <row r="105" spans="6:8" ht="12.75">
      <c r="F105" s="6"/>
      <c r="G105" s="6"/>
      <c r="H105" s="6"/>
    </row>
    <row r="106" spans="1:8" ht="13.5" thickBot="1">
      <c r="A106" t="s">
        <v>37</v>
      </c>
      <c r="F106" s="8">
        <f>+F90+F93+F104</f>
        <v>13440200</v>
      </c>
      <c r="G106" s="8">
        <f>+G90+G93+G104</f>
        <v>12980385</v>
      </c>
      <c r="H106" s="8">
        <f>+H90+H93+H104</f>
        <v>13050126</v>
      </c>
    </row>
    <row r="107" spans="5:8" ht="13.5" thickTop="1">
      <c r="E107" s="5"/>
      <c r="F107" s="6">
        <f>+F106-F82</f>
        <v>0</v>
      </c>
      <c r="G107" s="6">
        <f>+H107-F103</f>
        <v>1764241</v>
      </c>
      <c r="H107" s="6">
        <f>+H106-H82</f>
        <v>0</v>
      </c>
    </row>
    <row r="108" spans="5:8" ht="12.75">
      <c r="E108" s="5"/>
      <c r="F108" s="6"/>
      <c r="G108" s="6"/>
      <c r="H108" s="6"/>
    </row>
    <row r="109" spans="5:10" ht="12.75">
      <c r="E109" s="5"/>
      <c r="F109" s="6"/>
      <c r="G109" s="6"/>
      <c r="H109" s="6"/>
      <c r="J109">
        <v>1200</v>
      </c>
    </row>
    <row r="110" spans="5:8" ht="12.75">
      <c r="E110" s="5"/>
      <c r="F110" s="6"/>
      <c r="G110" s="6"/>
      <c r="H110" s="6"/>
    </row>
    <row r="111" spans="5:8" ht="12.75">
      <c r="E111" s="5"/>
      <c r="F111" s="6"/>
      <c r="G111" s="6"/>
      <c r="H111" s="6"/>
    </row>
    <row r="112" spans="1:17" ht="12.75">
      <c r="A112" s="1" t="s">
        <v>38</v>
      </c>
      <c r="F112" s="6"/>
      <c r="G112" s="6"/>
      <c r="H112" s="6"/>
      <c r="J112" s="1" t="s">
        <v>77</v>
      </c>
      <c r="O112">
        <v>2011</v>
      </c>
      <c r="P112">
        <v>2012</v>
      </c>
      <c r="Q112">
        <v>2013</v>
      </c>
    </row>
    <row r="113" spans="1:17" ht="12.75">
      <c r="A113" t="s">
        <v>39</v>
      </c>
      <c r="F113" s="6"/>
      <c r="G113" s="6">
        <v>3757726</v>
      </c>
      <c r="H113" s="6">
        <v>5880346</v>
      </c>
      <c r="I113" s="11">
        <f>(H113-G113)/G113</f>
        <v>0.5648682208335574</v>
      </c>
      <c r="J113" s="15">
        <f>+H113</f>
        <v>5880346</v>
      </c>
      <c r="K113" s="15">
        <f aca="true" t="shared" si="11" ref="K113:Q113">+J113</f>
        <v>5880346</v>
      </c>
      <c r="L113" s="15">
        <f t="shared" si="11"/>
        <v>5880346</v>
      </c>
      <c r="M113" s="15">
        <f t="shared" si="11"/>
        <v>5880346</v>
      </c>
      <c r="N113" s="15">
        <f t="shared" si="11"/>
        <v>5880346</v>
      </c>
      <c r="O113" s="15">
        <f t="shared" si="11"/>
        <v>5880346</v>
      </c>
      <c r="P113" s="15">
        <f t="shared" si="11"/>
        <v>5880346</v>
      </c>
      <c r="Q113" s="15">
        <f t="shared" si="11"/>
        <v>5880346</v>
      </c>
    </row>
    <row r="114" spans="1:17" ht="12.75">
      <c r="A114" t="s">
        <v>40</v>
      </c>
      <c r="F114" s="6"/>
      <c r="G114" s="6">
        <v>-4441338</v>
      </c>
      <c r="H114" s="6">
        <v>-5695478</v>
      </c>
      <c r="I114" s="11">
        <f>(H114-G114)/G114</f>
        <v>0.28237886871028506</v>
      </c>
      <c r="J114" s="6">
        <f>-+-H114</f>
        <v>-5695478</v>
      </c>
      <c r="K114" s="6">
        <f aca="true" t="shared" si="12" ref="K114:Q114">J114</f>
        <v>-5695478</v>
      </c>
      <c r="L114" s="6">
        <f t="shared" si="12"/>
        <v>-5695478</v>
      </c>
      <c r="M114" s="6">
        <f t="shared" si="12"/>
        <v>-5695478</v>
      </c>
      <c r="N114" s="6">
        <f t="shared" si="12"/>
        <v>-5695478</v>
      </c>
      <c r="O114" s="6">
        <f t="shared" si="12"/>
        <v>-5695478</v>
      </c>
      <c r="P114" s="6">
        <f t="shared" si="12"/>
        <v>-5695478</v>
      </c>
      <c r="Q114" s="6">
        <f t="shared" si="12"/>
        <v>-5695478</v>
      </c>
    </row>
    <row r="115" spans="1:17" ht="12.75">
      <c r="A115" t="s">
        <v>41</v>
      </c>
      <c r="F115" s="3"/>
      <c r="G115" s="3">
        <f>+G113+G114</f>
        <v>-683612</v>
      </c>
      <c r="H115" s="3">
        <f>+H113+H114</f>
        <v>184868</v>
      </c>
      <c r="I115" s="11">
        <f>-(H115-G115)/G115</f>
        <v>1.270428254623968</v>
      </c>
      <c r="J115" s="209">
        <f aca="true" t="shared" si="13" ref="J115:Q115">SUM(J113:J114)</f>
        <v>184868</v>
      </c>
      <c r="K115" s="209">
        <f t="shared" si="13"/>
        <v>184868</v>
      </c>
      <c r="L115" s="209">
        <f t="shared" si="13"/>
        <v>184868</v>
      </c>
      <c r="M115" s="209">
        <f t="shared" si="13"/>
        <v>184868</v>
      </c>
      <c r="N115" s="209">
        <f t="shared" si="13"/>
        <v>184868</v>
      </c>
      <c r="O115" s="209">
        <f t="shared" si="13"/>
        <v>184868</v>
      </c>
      <c r="P115" s="209">
        <f t="shared" si="13"/>
        <v>184868</v>
      </c>
      <c r="Q115" s="209">
        <f t="shared" si="13"/>
        <v>184868</v>
      </c>
    </row>
    <row r="116" spans="1:9" ht="12.75">
      <c r="A116" t="s">
        <v>42</v>
      </c>
      <c r="F116" s="6"/>
      <c r="G116" s="6"/>
      <c r="H116" s="6"/>
      <c r="I116" s="11"/>
    </row>
    <row r="117" spans="1:17" ht="12.75">
      <c r="A117" t="s">
        <v>43</v>
      </c>
      <c r="F117" s="6"/>
      <c r="G117" s="6"/>
      <c r="H117" s="6">
        <v>-685750</v>
      </c>
      <c r="I117" s="11"/>
      <c r="J117" s="6">
        <f>+H117*1.05</f>
        <v>-720037.5</v>
      </c>
      <c r="K117" s="6">
        <f aca="true" t="shared" si="14" ref="K117:Q117">+J117*1.05</f>
        <v>-756039.375</v>
      </c>
      <c r="L117" s="6">
        <f t="shared" si="14"/>
        <v>-793841.34375</v>
      </c>
      <c r="M117" s="6">
        <f t="shared" si="14"/>
        <v>-833533.4109375001</v>
      </c>
      <c r="N117" s="6">
        <f t="shared" si="14"/>
        <v>-875210.081484375</v>
      </c>
      <c r="O117" s="6">
        <f t="shared" si="14"/>
        <v>-918970.5855585939</v>
      </c>
      <c r="P117" s="6">
        <f t="shared" si="14"/>
        <v>-964919.1148365235</v>
      </c>
      <c r="Q117" s="6">
        <f t="shared" si="14"/>
        <v>-1013165.0705783498</v>
      </c>
    </row>
    <row r="118" spans="1:9" ht="12.75">
      <c r="A118" t="s">
        <v>44</v>
      </c>
      <c r="F118" s="6"/>
      <c r="G118" s="6">
        <v>-966695</v>
      </c>
      <c r="H118" s="6">
        <f>-910500</f>
        <v>-910500</v>
      </c>
      <c r="I118" s="11">
        <f>(H118-G118)/G118</f>
        <v>-0.05813105477942888</v>
      </c>
    </row>
    <row r="119" spans="1:9" ht="12.75">
      <c r="A119" t="s">
        <v>45</v>
      </c>
      <c r="F119" s="6"/>
      <c r="G119" s="6"/>
      <c r="H119" s="6"/>
      <c r="I119" s="11"/>
    </row>
    <row r="120" spans="1:9" ht="12.75">
      <c r="A120" s="1" t="s">
        <v>46</v>
      </c>
      <c r="F120" s="6"/>
      <c r="G120" s="6"/>
      <c r="H120" s="6"/>
      <c r="I120" s="11"/>
    </row>
    <row r="121" spans="1:9" ht="12.75">
      <c r="A121" t="s">
        <v>47</v>
      </c>
      <c r="F121" s="6"/>
      <c r="G121" s="6">
        <f>-1580+24297</f>
        <v>22717</v>
      </c>
      <c r="H121" s="6">
        <v>750</v>
      </c>
      <c r="I121" s="11">
        <f>(H121-G121)/G121</f>
        <v>-0.9669850772549192</v>
      </c>
    </row>
    <row r="122" spans="1:17" ht="12.75">
      <c r="A122" s="1" t="s">
        <v>48</v>
      </c>
      <c r="F122" s="3"/>
      <c r="G122" s="3">
        <f aca="true" t="shared" si="15" ref="G122:Q122">SUM(G115:G121)</f>
        <v>-1627590</v>
      </c>
      <c r="H122" s="3">
        <f t="shared" si="15"/>
        <v>-1410632</v>
      </c>
      <c r="I122" s="3">
        <f t="shared" si="15"/>
        <v>0.24531212258961987</v>
      </c>
      <c r="J122" s="3">
        <f t="shared" si="15"/>
        <v>-535169.5</v>
      </c>
      <c r="K122" s="3">
        <f t="shared" si="15"/>
        <v>-571171.375</v>
      </c>
      <c r="L122" s="3">
        <f t="shared" si="15"/>
        <v>-608973.34375</v>
      </c>
      <c r="M122" s="3">
        <f t="shared" si="15"/>
        <v>-648665.4109375001</v>
      </c>
      <c r="N122" s="3">
        <f t="shared" si="15"/>
        <v>-690342.081484375</v>
      </c>
      <c r="O122" s="3">
        <f t="shared" si="15"/>
        <v>-734102.5855585939</v>
      </c>
      <c r="P122" s="3">
        <f t="shared" si="15"/>
        <v>-780051.1148365235</v>
      </c>
      <c r="Q122" s="3">
        <f t="shared" si="15"/>
        <v>-828297.0705783498</v>
      </c>
    </row>
    <row r="123" spans="1:9" ht="12.75">
      <c r="A123" t="s">
        <v>49</v>
      </c>
      <c r="F123" s="6"/>
      <c r="G123" s="6"/>
      <c r="H123" s="6"/>
      <c r="I123" s="11"/>
    </row>
    <row r="124" spans="1:9" ht="12.75">
      <c r="A124" t="s">
        <v>50</v>
      </c>
      <c r="F124" s="6"/>
      <c r="G124" s="6"/>
      <c r="H124" s="6"/>
      <c r="I124" s="11"/>
    </row>
    <row r="125" spans="6:9" ht="12.75">
      <c r="F125" s="6"/>
      <c r="G125" s="6"/>
      <c r="H125" s="6"/>
      <c r="I125" s="11"/>
    </row>
    <row r="126" spans="1:9" ht="12.75">
      <c r="A126" s="1" t="s">
        <v>51</v>
      </c>
      <c r="F126" s="3"/>
      <c r="G126" s="3">
        <f>SUM(G122:G125)</f>
        <v>-1627590</v>
      </c>
      <c r="H126" s="3">
        <f>+H122</f>
        <v>-1410632</v>
      </c>
      <c r="I126" s="11">
        <f>(H126-G126)/G126</f>
        <v>-0.13330015544455298</v>
      </c>
    </row>
  </sheetData>
  <printOptions/>
  <pageMargins left="0.75" right="0.75" top="1" bottom="1" header="0" footer="0"/>
  <pageSetup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H.B.ELECTRONICA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BASTIDAS</dc:creator>
  <cp:keywords/>
  <dc:description/>
  <cp:lastModifiedBy>FAMILIA BASTIDAS</cp:lastModifiedBy>
  <cp:lastPrinted>2006-09-08T22:25:38Z</cp:lastPrinted>
  <dcterms:created xsi:type="dcterms:W3CDTF">2006-06-06T22:25:00Z</dcterms:created>
  <dcterms:modified xsi:type="dcterms:W3CDTF">2007-01-05T14:50:31Z</dcterms:modified>
  <cp:category/>
  <cp:version/>
  <cp:contentType/>
  <cp:contentStatus/>
</cp:coreProperties>
</file>