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5070" firstSheet="12" activeTab="16"/>
  </bookViews>
  <sheets>
    <sheet name="Unidades de Medida" sheetId="1" r:id="rId1"/>
    <sheet name="Pre_Balances" sheetId="2" r:id="rId2"/>
    <sheet name="Balance Maquinarias y Personas" sheetId="3" r:id="rId3"/>
    <sheet name="Diseño de Hacienda" sheetId="4" r:id="rId4"/>
    <sheet name="Produccion Proyectada" sheetId="5" r:id="rId5"/>
    <sheet name="Costos y Gastos" sheetId="6" r:id="rId6"/>
    <sheet name="Punto de Equilibrio" sheetId="7" r:id="rId7"/>
    <sheet name="Inversion Inicial" sheetId="8" r:id="rId8"/>
    <sheet name="Capital de trabajo" sheetId="9" r:id="rId9"/>
    <sheet name="Deuda" sheetId="10" r:id="rId10"/>
    <sheet name="Beta y Calculo de Td" sheetId="11" r:id="rId11"/>
    <sheet name="Valor de desecho y reposicion" sheetId="12" r:id="rId12"/>
    <sheet name="Flujo de Caja" sheetId="13" r:id="rId13"/>
    <sheet name="Ratios Financieros y Payback" sheetId="14" r:id="rId14"/>
    <sheet name="CB_DATA_" sheetId="15" state="veryHidden" r:id="rId15"/>
    <sheet name="CB" sheetId="16" r:id="rId16"/>
    <sheet name="Reporte" sheetId="17" r:id="rId17"/>
  </sheets>
  <definedNames>
    <definedName name="CB_08206c43db8f45cb9f5dfeee8f3bb202" localSheetId="15" hidden="1">'CB'!$C$8</definedName>
    <definedName name="CB_42e6a9a016bb4043987739263be03b02" localSheetId="15" hidden="1">'CB'!$C$7</definedName>
    <definedName name="CB_4b32e5e213c0467fb4f7d55ad00b71a6" localSheetId="15" hidden="1">'CB'!$C$5</definedName>
    <definedName name="CB_54d8da6a84d041b6971cfaa2c56a442e" localSheetId="14" hidden="1">#N/A</definedName>
    <definedName name="CB_706feb7ed3684d1aafccece3d9d4986d" localSheetId="15" hidden="1">'CB'!$C$9</definedName>
    <definedName name="CB_87f69a42488845e4b0f30a5ad45fb34b" localSheetId="15" hidden="1">'CB'!$C$11</definedName>
    <definedName name="CB_8c30800e18b6478a967ec5d82ea464cf" localSheetId="14" hidden="1">#N/A</definedName>
    <definedName name="CB_93ae3792bbab4fa799c7d24327336c65" localSheetId="14" hidden="1">#N/A</definedName>
    <definedName name="CB_c5cb2608365546feabb518d6e31f060d" localSheetId="14" hidden="1">#N/A</definedName>
    <definedName name="CB_d9f0a99b5b814850b0173114fa36837e" localSheetId="15" hidden="1">'CB'!$C$4</definedName>
    <definedName name="CB_dd139d02f82c41b9b843f4c003f6a722" localSheetId="15" hidden="1">'CB'!$C$6</definedName>
    <definedName name="CB_e23e2b862b2d422da7c5168253fba963" localSheetId="15" hidden="1">'CB'!$C$3</definedName>
    <definedName name="CBWorkbookPriority" hidden="1">-103900248</definedName>
    <definedName name="CBx_b4bc209acfec44f39a5ab2f258170d27" localSheetId="14" hidden="1">"'CB'!$A$1"</definedName>
    <definedName name="CBx_ffd73ddb11724a94a6fd63757cd32644" localSheetId="14" hidden="1">"'CB_DATA_'!$A$1"</definedName>
    <definedName name="CBx_Sheet_Guid" localSheetId="15" hidden="1">"'b4bc209a-cfec-44f3-9a5a-b2f258170d27"</definedName>
    <definedName name="CBx_Sheet_Guid" localSheetId="14" hidden="1">"'ffd73ddb-1172-4a94-a6fd-63757cd32644"</definedName>
    <definedName name="CBx_StorageType" localSheetId="15" hidden="1">1</definedName>
    <definedName name="CBx_StorageType" localSheetId="14" hidden="1">1</definedName>
    <definedName name="CM">'CB'!$C$5</definedName>
    <definedName name="GAD">'CB'!$C$3</definedName>
    <definedName name="GYS">'CB'!$C$6</definedName>
    <definedName name="P">'CB'!$C$7</definedName>
    <definedName name="Q">'CB'!$C$8</definedName>
    <definedName name="TD">'CB'!$C$9</definedName>
    <definedName name="TE">'CB'!$C$4</definedName>
  </definedNames>
  <calcPr fullCalcOnLoad="1"/>
</workbook>
</file>

<file path=xl/comments16.xml><?xml version="1.0" encoding="utf-8"?>
<comments xmlns="http://schemas.openxmlformats.org/spreadsheetml/2006/main">
  <authors>
    <author>Valued Acer Customer</author>
  </authors>
  <commentList>
    <comment ref="C3" authorId="0">
      <text>
        <r>
          <rPr>
            <b/>
            <sz val="8"/>
            <rFont val="Tahoma"/>
            <family val="2"/>
          </rPr>
          <t>Valued Acer Customer</t>
        </r>
        <r>
          <rPr>
            <sz val="8"/>
            <rFont val="Tahoma"/>
            <family val="2"/>
          </rPr>
          <t>:
4%</t>
        </r>
      </text>
    </comment>
    <comment ref="C4" authorId="0">
      <text>
        <r>
          <rPr>
            <b/>
            <sz val="8"/>
            <rFont val="Tahoma"/>
            <family val="2"/>
          </rPr>
          <t>Valued Acer Customer</t>
        </r>
        <r>
          <rPr>
            <sz val="8"/>
            <rFont val="Tahoma"/>
            <family val="2"/>
          </rPr>
          <t>:
8%</t>
        </r>
      </text>
    </comment>
    <comment ref="C5" authorId="0">
      <text>
        <r>
          <rPr>
            <b/>
            <sz val="8"/>
            <rFont val="Tahoma"/>
            <family val="2"/>
          </rPr>
          <t>Valued Acer Customer</t>
        </r>
        <r>
          <rPr>
            <sz val="8"/>
            <rFont val="Tahoma"/>
            <family val="2"/>
          </rPr>
          <t>:
4%</t>
        </r>
      </text>
    </comment>
    <comment ref="C6" authorId="0">
      <text>
        <r>
          <rPr>
            <b/>
            <sz val="8"/>
            <rFont val="Tahoma"/>
            <family val="2"/>
          </rPr>
          <t>Valued Acer Customer</t>
        </r>
        <r>
          <rPr>
            <sz val="8"/>
            <rFont val="Tahoma"/>
            <family val="2"/>
          </rPr>
          <t>:
2%</t>
        </r>
      </text>
    </comment>
    <comment ref="C7" authorId="0">
      <text>
        <r>
          <rPr>
            <b/>
            <sz val="8"/>
            <rFont val="Tahoma"/>
            <family val="2"/>
          </rPr>
          <t>Valued Acer Customer</t>
        </r>
        <r>
          <rPr>
            <sz val="8"/>
            <rFont val="Tahoma"/>
            <family val="2"/>
          </rPr>
          <t>: $25</t>
        </r>
      </text>
    </comment>
    <comment ref="C8" authorId="0">
      <text>
        <r>
          <rPr>
            <b/>
            <sz val="8"/>
            <rFont val="Tahoma"/>
            <family val="2"/>
          </rPr>
          <t>Valued Acer Customer</t>
        </r>
        <r>
          <rPr>
            <sz val="8"/>
            <rFont val="Tahoma"/>
            <family val="2"/>
          </rPr>
          <t>:
13 toneladas</t>
        </r>
      </text>
    </comment>
    <comment ref="C9" authorId="0">
      <text>
        <r>
          <rPr>
            <b/>
            <sz val="8"/>
            <rFont val="Tahoma"/>
            <family val="2"/>
          </rPr>
          <t>Valued Acer Customer</t>
        </r>
        <r>
          <rPr>
            <sz val="8"/>
            <rFont val="Tahoma"/>
            <family val="2"/>
          </rPr>
          <t>:
19,43%</t>
        </r>
      </text>
    </comment>
  </commentList>
</comments>
</file>

<file path=xl/sharedStrings.xml><?xml version="1.0" encoding="utf-8"?>
<sst xmlns="http://schemas.openxmlformats.org/spreadsheetml/2006/main" count="891" uniqueCount="546">
  <si>
    <t>Arado</t>
  </si>
  <si>
    <t>Limpieza</t>
  </si>
  <si>
    <t>Sembrado</t>
  </si>
  <si>
    <t>Mantenimiento</t>
  </si>
  <si>
    <t>Cosecha</t>
  </si>
  <si>
    <t>Pre-empaque</t>
  </si>
  <si>
    <t>Empaque y Embalaje</t>
  </si>
  <si>
    <t>TIEMPO DIAS</t>
  </si>
  <si>
    <t>3 DIAS</t>
  </si>
  <si>
    <t>2 DIAS</t>
  </si>
  <si>
    <t>4 DIAS</t>
  </si>
  <si>
    <t>5 DIAS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</si>
  <si>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</si>
  <si>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</si>
  <si>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</si>
  <si>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</si>
  <si>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</si>
  <si>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</si>
  <si>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</si>
  <si>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</si>
  <si>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</si>
  <si>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</si>
  <si>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</si>
  <si>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</si>
  <si>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X</t>
  </si>
  <si>
    <t>Abono</t>
  </si>
  <si>
    <t>Actividades</t>
  </si>
  <si>
    <t>Maquinarias Alquiler</t>
  </si>
  <si>
    <t>Tractor (Arador-Rastrillo)</t>
  </si>
  <si>
    <t>x</t>
  </si>
  <si>
    <t>Bomba y Tanque</t>
  </si>
  <si>
    <t>Maquinarias Propias</t>
  </si>
  <si>
    <t>Bandas corredoras</t>
  </si>
  <si>
    <t>Laminadora</t>
  </si>
  <si>
    <t>Descripción</t>
  </si>
  <si>
    <t>Infraestructura</t>
  </si>
  <si>
    <t>Reservorio de Agua</t>
  </si>
  <si>
    <t>Cisterna de Limpieza</t>
  </si>
  <si>
    <t>Casa Administración</t>
  </si>
  <si>
    <t>Control</t>
  </si>
  <si>
    <t>30 DIAS</t>
  </si>
  <si>
    <t># de Procesos para Vender</t>
  </si>
  <si>
    <t>Comunicación</t>
  </si>
  <si>
    <t>Negociación</t>
  </si>
  <si>
    <t>Promoción</t>
  </si>
  <si>
    <t>Intermediación</t>
  </si>
  <si>
    <t>15 DIAS</t>
  </si>
  <si>
    <t>Equipos de Oficina</t>
  </si>
  <si>
    <t>Laptop</t>
  </si>
  <si>
    <t>Computador / Impresora</t>
  </si>
  <si>
    <t>Muebles de Oficina</t>
  </si>
  <si>
    <t>Mesa de Computador</t>
  </si>
  <si>
    <t>Radios Motorola</t>
  </si>
  <si>
    <t>Sillas Ejecutivas</t>
  </si>
  <si>
    <t>Modem para Internet</t>
  </si>
  <si>
    <t>Escritorio</t>
  </si>
  <si>
    <t>Inventario y Materiales</t>
  </si>
  <si>
    <t>DETALLE DE INVERSION INICIAL CON DEPRECIACION</t>
  </si>
  <si>
    <t>CONCEPTO</t>
  </si>
  <si>
    <t>VALOR</t>
  </si>
  <si>
    <t>VIDA UTIL</t>
  </si>
  <si>
    <t>DEPREC.</t>
  </si>
  <si>
    <t>ACTIVO FIJO</t>
  </si>
  <si>
    <t>EQUIPOS DE COMPUTACION</t>
  </si>
  <si>
    <t>Teléfono - Fax</t>
  </si>
  <si>
    <t>MUEBLES Y ENSERES</t>
  </si>
  <si>
    <t>Mesa de Computadora</t>
  </si>
  <si>
    <t>Sillas ejecutivas</t>
  </si>
  <si>
    <t>Escritorios</t>
  </si>
  <si>
    <t>HERRAMIENTAS Y EQUIPOS</t>
  </si>
  <si>
    <t>Correas transportadoras</t>
  </si>
  <si>
    <t>Balanza Eléctrica 300 Kg</t>
  </si>
  <si>
    <t>Sistema de lavado en lluvia Marck</t>
  </si>
  <si>
    <t>Laminadora de empaque seguro</t>
  </si>
  <si>
    <t>ACTIVO DIFERIDO</t>
  </si>
  <si>
    <t>Registro como exportador</t>
  </si>
  <si>
    <t>Constitución compañía</t>
  </si>
  <si>
    <t>Estudio de factibilidad</t>
  </si>
  <si>
    <t>ACTIVOS TOTALES</t>
  </si>
  <si>
    <t>ACTIVOS FIJOS</t>
  </si>
  <si>
    <t>Fuente: Los Autores</t>
  </si>
  <si>
    <t>INSTALACIONES Y EDIFICIOS</t>
  </si>
  <si>
    <t>Oficinas de Administración ( 8 x 8 mts)</t>
  </si>
  <si>
    <t>Router</t>
  </si>
  <si>
    <t>COSTOS DE MANEJO DE PRODUCTO</t>
  </si>
  <si>
    <t>MATERIAL DIRECTO</t>
  </si>
  <si>
    <t>OPERARIOS PRINCIPALES</t>
  </si>
  <si>
    <t>MATERIAL INDIRECTO</t>
  </si>
  <si>
    <t>Energía Eléctrica</t>
  </si>
  <si>
    <t>Equipos de comunicación - celular</t>
  </si>
  <si>
    <t>Duración del Proyecto</t>
  </si>
  <si>
    <t>5 años</t>
  </si>
  <si>
    <t>Unidades</t>
  </si>
  <si>
    <t>Suma de OP</t>
  </si>
  <si>
    <t>1. Procesos Productivos del 1 al 11</t>
  </si>
  <si>
    <t>Administrador Hacienda</t>
  </si>
  <si>
    <t>Cormo</t>
  </si>
  <si>
    <t>Furalen</t>
  </si>
  <si>
    <t>Tropen 15</t>
  </si>
  <si>
    <t>$ x und</t>
  </si>
  <si>
    <t>und medida</t>
  </si>
  <si>
    <t>cormo</t>
  </si>
  <si>
    <t>saco / quintal</t>
  </si>
  <si>
    <t>Observaciones:</t>
  </si>
  <si>
    <t>plantas aproximadamente.</t>
  </si>
  <si>
    <t>siembra son rechazados, aproximadamente.</t>
  </si>
  <si>
    <t>(Consejo Consultivo de Hortalizas Ecuador)</t>
  </si>
  <si>
    <t>* El número de plantas que cabe por Ha de cultivo es:</t>
  </si>
  <si>
    <t>Comunal (El Fortín), donde se especializan en abonos</t>
  </si>
  <si>
    <t>especificaciones</t>
  </si>
  <si>
    <t>aplicar 1 mes antes de siembra /  1galón por c/cuadra ( 1/4 de Ha)</t>
  </si>
  <si>
    <t>aplicar mes 3 y 5 /  1galón por c/cuadra ( 1/4 de Ha)</t>
  </si>
  <si>
    <t>Componentes</t>
  </si>
  <si>
    <t xml:space="preserve">Agente Operario </t>
  </si>
  <si>
    <t>MATERIAL INDIRECTO ESTIMACION ANUAL - MANEJO</t>
  </si>
  <si>
    <t>CANTIDAD</t>
  </si>
  <si>
    <t>VAL UNIT</t>
  </si>
  <si>
    <t>VAL TTL</t>
  </si>
  <si>
    <t>Total</t>
  </si>
  <si>
    <t>SUMINISTRO Y SERVICIOS ESTIMACION ANUAL</t>
  </si>
  <si>
    <t>Alquiler de Tractor</t>
  </si>
  <si>
    <r>
      <t>Gasolina para el tractor gal *</t>
    </r>
    <r>
      <rPr>
        <sz val="7"/>
        <color indexed="8"/>
        <rFont val="Arial"/>
        <family val="2"/>
      </rPr>
      <t>est</t>
    </r>
  </si>
  <si>
    <t>Unidades de Peso</t>
  </si>
  <si>
    <t>TM=</t>
  </si>
  <si>
    <t>Toneladas Métrica</t>
  </si>
  <si>
    <t>Ton=</t>
  </si>
  <si>
    <t>Toneladas</t>
  </si>
  <si>
    <t>Kg=</t>
  </si>
  <si>
    <t>Kilogramos</t>
  </si>
  <si>
    <t>Lb=</t>
  </si>
  <si>
    <t>Libras</t>
  </si>
  <si>
    <t>Cambio de Medidas</t>
  </si>
  <si>
    <t>1 Kg a Lb</t>
  </si>
  <si>
    <t>1 Lb a Kg</t>
  </si>
  <si>
    <t>1 Ton a Kg</t>
  </si>
  <si>
    <t>1 TM a Kg</t>
  </si>
  <si>
    <t>1 TM a Ton</t>
  </si>
  <si>
    <t>Unidades de Superficie</t>
  </si>
  <si>
    <t>Ha=</t>
  </si>
  <si>
    <t>Mts2=</t>
  </si>
  <si>
    <t>Metro Cuadrado</t>
  </si>
  <si>
    <t>10000 mts2</t>
  </si>
  <si>
    <t>1 Ha a Mts2=</t>
  </si>
  <si>
    <t>Cajas exportadas</t>
  </si>
  <si>
    <t>1 Cr a Mts2=</t>
  </si>
  <si>
    <t>Cr=</t>
  </si>
  <si>
    <t>Cuadra</t>
  </si>
  <si>
    <t>6400 mts2</t>
  </si>
  <si>
    <t>Uso de Tierra en Ha</t>
  </si>
  <si>
    <t>Cormo (semilla)</t>
  </si>
  <si>
    <t>Furalen (galón)</t>
  </si>
  <si>
    <t>Tropen 15 (galón)</t>
  </si>
  <si>
    <t>Radios Motorola (3 und)</t>
  </si>
  <si>
    <t>Internet</t>
  </si>
  <si>
    <t>Total Costo de Producción</t>
  </si>
  <si>
    <t>GASTOS DE OPERACIÓN Y SUMINISTROS DE SERVICIOS</t>
  </si>
  <si>
    <t>Valor total</t>
  </si>
  <si>
    <t>VARIACION ESTIMADA EN PRECIOS DE INSUMOS DE PRODUCCION POR AÑO</t>
  </si>
  <si>
    <t>INGRESOS OPERATIVOS</t>
  </si>
  <si>
    <t>EGRESOS OPERATIVOS</t>
  </si>
  <si>
    <t>MATERIAL DIRECTO ESTIMADO</t>
  </si>
  <si>
    <t>ENERGIA ELECTRICA</t>
  </si>
  <si>
    <t>RESUMEN</t>
  </si>
  <si>
    <t>SALDO MENSUAL</t>
  </si>
  <si>
    <t>SALDO ACUMULADO</t>
  </si>
  <si>
    <t>Certificado Sanitario</t>
  </si>
  <si>
    <t>Inspección, Certificación SESA</t>
  </si>
  <si>
    <t>INGRESOS</t>
  </si>
  <si>
    <t>UTILIDAD BRUTA</t>
  </si>
  <si>
    <t>Depreciación</t>
  </si>
  <si>
    <t>Pago de Préstamo</t>
  </si>
  <si>
    <t>GASTOS TOTALES</t>
  </si>
  <si>
    <t>UTILIDAD ANTES PART TRAB.</t>
  </si>
  <si>
    <t>(15%) Particip. Trabajadores</t>
  </si>
  <si>
    <t>UTILIDAD ANTES IMPUESTOS</t>
  </si>
  <si>
    <t>(25%) Impuesto Renta</t>
  </si>
  <si>
    <t>UTILIDAD NETA</t>
  </si>
  <si>
    <t>Margen Neto</t>
  </si>
  <si>
    <t>VALOR DESECHO METODO COMERCIAL</t>
  </si>
  <si>
    <t>ACTIVO</t>
  </si>
  <si>
    <t>UND</t>
  </si>
  <si>
    <t>COMPRA</t>
  </si>
  <si>
    <t>VIDA UTIL AÑOS</t>
  </si>
  <si>
    <t>DEPREC</t>
  </si>
  <si>
    <t>AÑOS DEPREC</t>
  </si>
  <si>
    <t>DEPREC ACUMUL</t>
  </si>
  <si>
    <t>VALOR EN LIBROS</t>
  </si>
  <si>
    <t>VALOR COMERCIAL</t>
  </si>
  <si>
    <t>UTILIDAD</t>
  </si>
  <si>
    <t>IMPUEST.</t>
  </si>
  <si>
    <t>VALOR DESECHO COMERCIAL</t>
  </si>
  <si>
    <t>Inversión</t>
  </si>
  <si>
    <t>Amortización</t>
  </si>
  <si>
    <t>VAN</t>
  </si>
  <si>
    <t>TIR</t>
  </si>
  <si>
    <t>RATIOS FINANCIEROS</t>
  </si>
  <si>
    <t>PAYBACK</t>
  </si>
  <si>
    <t>RATIO</t>
  </si>
  <si>
    <t>AÑO 1</t>
  </si>
  <si>
    <t>AÑO 2</t>
  </si>
  <si>
    <t>Periodo</t>
  </si>
  <si>
    <t>Saldo Inversión</t>
  </si>
  <si>
    <t>Flujo Caja</t>
  </si>
  <si>
    <t>Rentabi Exigid*</t>
  </si>
  <si>
    <t>Recup Invers</t>
  </si>
  <si>
    <t>Actividad</t>
  </si>
  <si>
    <t>Rotación de Activo Total</t>
  </si>
  <si>
    <t>Rotación de Activo Fijos</t>
  </si>
  <si>
    <t>Apalancamiento</t>
  </si>
  <si>
    <t>Estructura del capital (D/C)</t>
  </si>
  <si>
    <t>Razón Deuda / Act. Ttl</t>
  </si>
  <si>
    <t>Rentabilidad</t>
  </si>
  <si>
    <t>Margen Neto de Util.</t>
  </si>
  <si>
    <t>ROE</t>
  </si>
  <si>
    <t>ROI</t>
  </si>
  <si>
    <t>Análisis</t>
  </si>
  <si>
    <t>DUPONT</t>
  </si>
  <si>
    <t>TABLA DE AMORTIZACION DEUDA - CORPORACION FINANCIERA NACIONAL</t>
  </si>
  <si>
    <t>Saldo Inicio año</t>
  </si>
  <si>
    <t>Interés</t>
  </si>
  <si>
    <t>Capital</t>
  </si>
  <si>
    <t>Pago Deuda</t>
  </si>
  <si>
    <t>Saldo fin de año</t>
  </si>
  <si>
    <t>PRODUCCION EN TON</t>
  </si>
  <si>
    <t>PRECIO POR CAJA 50 LBS</t>
  </si>
  <si>
    <t>PRODUCCION EN CAJAS</t>
  </si>
  <si>
    <t>MATERIAL INDIRECTO ESTIMADO</t>
  </si>
  <si>
    <t>AGUA POTABLE / TELEFONO</t>
  </si>
  <si>
    <t>INTERNET</t>
  </si>
  <si>
    <t>EQUIPO COM. CELULAR</t>
  </si>
  <si>
    <t>ALQUILER TRACTOR</t>
  </si>
  <si>
    <t>ALQUILER CAMION</t>
  </si>
  <si>
    <t>CAPITAL DE TRABAJO</t>
  </si>
  <si>
    <t>CERTIFICADO SANITARIO</t>
  </si>
  <si>
    <t>INSPECCION, CERTIFICACION SESA</t>
  </si>
  <si>
    <t>Exportación Malanga</t>
  </si>
  <si>
    <t>% Crecimiento Gastos y Servicios</t>
  </si>
  <si>
    <t>% Crecimiento Precios Internacionales</t>
  </si>
  <si>
    <t>ESTIMACION DE PRODUCCION POR AÑO - PRECIOS INTERNACIONALES</t>
  </si>
  <si>
    <t>Costos de Producción</t>
  </si>
  <si>
    <t>Utilidad Bruta</t>
  </si>
  <si>
    <t>GASTOS OPERATIVOS Y SERVICIOS</t>
  </si>
  <si>
    <t>GASTOS Y SERVICIOS</t>
  </si>
  <si>
    <t>% Crecimiento Costos de Manejo</t>
  </si>
  <si>
    <t>NECESIDADES DE FINANCIAMIENTO</t>
  </si>
  <si>
    <t>Valor Unitario</t>
  </si>
  <si>
    <t>Valor de Arranque</t>
  </si>
  <si>
    <t>Instalación de sist. correas transportadoras</t>
  </si>
  <si>
    <t>Permisos y Patentes</t>
  </si>
  <si>
    <t>Seguro</t>
  </si>
  <si>
    <t>Otros</t>
  </si>
  <si>
    <t>Gastos de Constitución</t>
  </si>
  <si>
    <t>Suministros de Oficinas</t>
  </si>
  <si>
    <t>Gastos de Seguro</t>
  </si>
  <si>
    <t>SUMINISTROS DE OFICINAS</t>
  </si>
  <si>
    <t>GASTOS DE SEGURO</t>
  </si>
  <si>
    <t>Balance de Maquinaria</t>
  </si>
  <si>
    <t>Muebles y Enseres</t>
  </si>
  <si>
    <t>Equipo de Computación</t>
  </si>
  <si>
    <t>Instalaciones y Edificios</t>
  </si>
  <si>
    <t>TOTAL DE NECESIDAD FINANCIAMIENTO</t>
  </si>
  <si>
    <t>2. Procesos Productivos # 12</t>
  </si>
  <si>
    <t>Valor de desecho</t>
  </si>
  <si>
    <t>Capital de Trabajo</t>
  </si>
  <si>
    <t>Total Gastos y Servicios</t>
  </si>
  <si>
    <t>Flujo de caja</t>
  </si>
  <si>
    <t>Concepto</t>
  </si>
  <si>
    <t>Base / Medio</t>
  </si>
  <si>
    <t>Yahoo Finance</t>
  </si>
  <si>
    <t>Valor</t>
  </si>
  <si>
    <t>Tasa de bonos del tesoro EUA (5 años)</t>
  </si>
  <si>
    <t>Prima de Riesgo</t>
  </si>
  <si>
    <t>Ibbotson</t>
  </si>
  <si>
    <t>Subsecretaria de Crédito Público</t>
  </si>
  <si>
    <t>CAPM=&gt; RE= Rf + B(Prima de riesgo)</t>
  </si>
  <si>
    <t>Tasa de descuento (Td)</t>
  </si>
  <si>
    <t>SALARIO OPERADORES Y ADM</t>
  </si>
  <si>
    <t>cm</t>
  </si>
  <si>
    <t>m</t>
  </si>
  <si>
    <t>a</t>
  </si>
  <si>
    <t>tiene</t>
  </si>
  <si>
    <t>m2</t>
  </si>
  <si>
    <t>Capacidad de la Hacienda</t>
  </si>
  <si>
    <t>1 Ha</t>
  </si>
  <si>
    <t>1 Cuadra</t>
  </si>
  <si>
    <t>1 m</t>
  </si>
  <si>
    <t>10000 m2</t>
  </si>
  <si>
    <t>100 m</t>
  </si>
  <si>
    <t>100 cm</t>
  </si>
  <si>
    <t>1 planta</t>
  </si>
  <si>
    <t>plantas</t>
  </si>
  <si>
    <t>produce</t>
  </si>
  <si>
    <t>Kg</t>
  </si>
  <si>
    <t>Ton</t>
  </si>
  <si>
    <t>plantas producen</t>
  </si>
  <si>
    <t>de la malanga (Consejo Consultivo de Hortalizas Ecuador)</t>
  </si>
  <si>
    <t>Fuente: Consejo Consultivo de Hortalizas Ecuador</t>
  </si>
  <si>
    <t>Tasa de Endeudamiento CFN</t>
  </si>
  <si>
    <t>2 Ha</t>
  </si>
  <si>
    <t>* Solo un 5% de los cormos producidos durante la</t>
  </si>
  <si>
    <t>Agente Operario</t>
  </si>
  <si>
    <t>Servicios contables</t>
  </si>
  <si>
    <t>GASTOS DE ADMINISTRACION (anuales)</t>
  </si>
  <si>
    <t>SERVICIOS CONTABLES</t>
  </si>
  <si>
    <t>SERVICIOS DE BROKER DE NEGOCIO</t>
  </si>
  <si>
    <t>% de Crecimiento en G.Adm.</t>
  </si>
  <si>
    <t>GASTOS ADMINISTRATIVOS</t>
  </si>
  <si>
    <t>1 m de espacio</t>
  </si>
  <si>
    <t>Variable</t>
  </si>
  <si>
    <t>Detalle</t>
  </si>
  <si>
    <t>GAD</t>
  </si>
  <si>
    <t>TE</t>
  </si>
  <si>
    <t>CM</t>
  </si>
  <si>
    <t>GYS</t>
  </si>
  <si>
    <t>P</t>
  </si>
  <si>
    <t>Q</t>
  </si>
  <si>
    <t>Tasa de crecimiento de gastos administrativos</t>
  </si>
  <si>
    <t>Tasa de endeudamiento con CFN</t>
  </si>
  <si>
    <t>Tasa de crecimiento de los costos de producción</t>
  </si>
  <si>
    <t>Tasa de crecimiento de gastos y servicios</t>
  </si>
  <si>
    <t>Toneladas producidas por año</t>
  </si>
  <si>
    <t>Hectárea</t>
  </si>
  <si>
    <t>Teléfonos</t>
  </si>
  <si>
    <t>Preparación</t>
  </si>
  <si>
    <t>Fumigación</t>
  </si>
  <si>
    <t>Depuración</t>
  </si>
  <si>
    <t>Palletizado</t>
  </si>
  <si>
    <t>Galpón de Almacenaje</t>
  </si>
  <si>
    <t>semilla de la planta malanga ($5 costal aprox.  300 und)</t>
  </si>
  <si>
    <t>Abono Anaeróbico</t>
  </si>
  <si>
    <t>quintal de 100 lbs. / rinde a 100 plantas</t>
  </si>
  <si>
    <t>galón</t>
  </si>
  <si>
    <t>Cailón</t>
  </si>
  <si>
    <t>saco de 100 lbs.</t>
  </si>
  <si>
    <t>quintal de 100 lbs. / rinde a 700 plantas</t>
  </si>
  <si>
    <t>Valor Unit.</t>
  </si>
  <si>
    <t>Valor Ttal.</t>
  </si>
  <si>
    <t>Galpón de Almacenaje (12 x 7 mts)</t>
  </si>
  <si>
    <t>lbs.</t>
  </si>
  <si>
    <t>* El Abono Anaeróbico es comprado a Organización</t>
  </si>
  <si>
    <t xml:space="preserve">* La producción por media Ha es de 6,5 Ton del cultivo </t>
  </si>
  <si>
    <t>Abono Anaeróbico (sacos)</t>
  </si>
  <si>
    <t>Cailón (sacos)</t>
  </si>
  <si>
    <t>Cambio de TM a Kg a Lbs.</t>
  </si>
  <si>
    <t>Precio de la caja 50 lbs.</t>
  </si>
  <si>
    <t>Producción en Ton</t>
  </si>
  <si>
    <t>Alquiler Camión</t>
  </si>
  <si>
    <t>Agua Potable / Teléfono</t>
  </si>
  <si>
    <t>Servicios de bróker de negocios*</t>
  </si>
  <si>
    <t>Fuente: Bróker MKV, CPA Luis Ordoña, Elaboración: Los Autores</t>
  </si>
  <si>
    <t>Instalación internet y teléfono</t>
  </si>
  <si>
    <t>Riesgo País (Ecuador)</t>
  </si>
  <si>
    <t>Ro = RE + Riesgo País (Ecuador)</t>
  </si>
  <si>
    <t>Servicios de bróker de negocios</t>
  </si>
  <si>
    <t>Préstamo</t>
  </si>
  <si>
    <t>Recuperación de capital de trabajo</t>
  </si>
  <si>
    <t>Valor Actual Neto del Proyecto (Malanga)</t>
  </si>
  <si>
    <t>TD</t>
  </si>
  <si>
    <t>Tasa de descuento obtenida por CAPM</t>
  </si>
  <si>
    <t>alto</t>
  </si>
  <si>
    <t>ancho</t>
  </si>
  <si>
    <t>largo</t>
  </si>
  <si>
    <t>capacidad por pallet</t>
  </si>
  <si>
    <t>3 base x 3 ancho = 9 cajas plancha</t>
  </si>
  <si>
    <t>45 cajas por cada pallet (laminado)</t>
  </si>
  <si>
    <t>Pallet necesarios</t>
  </si>
  <si>
    <t>5 cajas de altura = 45 c/ pallet</t>
  </si>
  <si>
    <t>Estimado de Cajas por pallet</t>
  </si>
  <si>
    <t>Capacidad de almacenamiento</t>
  </si>
  <si>
    <t>1 pallet cargado no puede tener mas de 45 cajas</t>
  </si>
  <si>
    <t>Las cajas palletizadas deben ser laminadas para</t>
  </si>
  <si>
    <t>encima.</t>
  </si>
  <si>
    <t>Espacio de la bodega</t>
  </si>
  <si>
    <t>Espacio entre pallet horizontal 1,5 m pallet vertical 0m</t>
  </si>
  <si>
    <t>Ancho</t>
  </si>
  <si>
    <t>Largo</t>
  </si>
  <si>
    <t>120 cm</t>
  </si>
  <si>
    <t>150 cm</t>
  </si>
  <si>
    <t>1200 cm</t>
  </si>
  <si>
    <t>700 cm</t>
  </si>
  <si>
    <t>Total Capacidad pallet en bodega</t>
  </si>
  <si>
    <t>Proyección de pallets necesarios en 5 años</t>
  </si>
  <si>
    <t>Cajas 40x40x50 capacidad 50 lbs.</t>
  </si>
  <si>
    <t>Strech Film (para laminadora)</t>
  </si>
  <si>
    <t>Montacargas Manual PK</t>
  </si>
  <si>
    <t>Cinta para empaque Dr, Bond</t>
  </si>
  <si>
    <t>Pallet c/certificado fitosanitario</t>
  </si>
  <si>
    <t>Strech Film (para laminadora) x rollo 100 m</t>
  </si>
  <si>
    <t>GASTOS DE OPERACIÓN (anuales)</t>
  </si>
  <si>
    <t>Fuente: Observación Directa</t>
  </si>
  <si>
    <t>Pallet fila x pallet hilera</t>
  </si>
  <si>
    <t xml:space="preserve">mantener la estabilidad y no puede tener más peso </t>
  </si>
  <si>
    <t>Beta asociada Fresh del Monte Products EUA</t>
  </si>
  <si>
    <t>Precio</t>
  </si>
  <si>
    <t>Cantidad (Kg)</t>
  </si>
  <si>
    <t>Años</t>
  </si>
  <si>
    <t>Ingresos</t>
  </si>
  <si>
    <t>Costos Unt M/O($0,53)</t>
  </si>
  <si>
    <t>Costos Unt MP ($0,11)</t>
  </si>
  <si>
    <t>Total Costos</t>
  </si>
  <si>
    <t>Cantidad (Ton)</t>
  </si>
  <si>
    <t>Uso de Tierra</t>
  </si>
  <si>
    <t>Maquinarias y Equipos</t>
  </si>
  <si>
    <t>Equipos de Comput.</t>
  </si>
  <si>
    <t>Instalaciones/ Edificios</t>
  </si>
  <si>
    <t>Flujo de Caja</t>
  </si>
  <si>
    <t>ESTIMACION DEL TAMAÑO DEL CULTIVO (opción A)</t>
  </si>
  <si>
    <t>Tasa descuento</t>
  </si>
  <si>
    <t>ESTIMACION DEL TAMAÑO DEL CULTIVO (opción B)</t>
  </si>
  <si>
    <t>ESTIMACION DEL TAMAÑO DEL CULTIVO (opción C)</t>
  </si>
  <si>
    <t>Alquiler Terreno adic.</t>
  </si>
  <si>
    <t>Costos Unt M/O($0,65)</t>
  </si>
  <si>
    <t>RESUMEN DE LAS VARIABLES</t>
  </si>
  <si>
    <t>OPCIONES</t>
  </si>
  <si>
    <t>A</t>
  </si>
  <si>
    <t>B</t>
  </si>
  <si>
    <t>C</t>
  </si>
  <si>
    <t>PRODUCC. (TN/AÑO)</t>
  </si>
  <si>
    <t>INVERSION</t>
  </si>
  <si>
    <t>COST VAR</t>
  </si>
  <si>
    <t>USO TIERRA Ha</t>
  </si>
  <si>
    <t>orgánicos. 198 Sacos inicialmente.</t>
  </si>
  <si>
    <t>Costos Fijos</t>
  </si>
  <si>
    <t>(Precio Venta - Cost. Var. Unit.)</t>
  </si>
  <si>
    <t xml:space="preserve">Kg a vender </t>
  </si>
  <si>
    <t>Calculo Q* =</t>
  </si>
  <si>
    <t>dimensión de las cajas</t>
  </si>
  <si>
    <t>dimensión de los pallets</t>
  </si>
  <si>
    <t>Dimensión pallet</t>
  </si>
  <si>
    <t>Cambio de Lbs. a Kg</t>
  </si>
  <si>
    <t>Procesos en Producción</t>
  </si>
  <si>
    <t>Fuente: Mercados Región Interandina, elaboración Los Autores</t>
  </si>
  <si>
    <t>Q* =</t>
  </si>
  <si>
    <t>PUNTO DE EQUILIBRIO</t>
  </si>
  <si>
    <t>Bomba para fumigación (15 galones)</t>
  </si>
  <si>
    <t>TOTAL INGRESOS OPERATIV.</t>
  </si>
  <si>
    <t>TOTAL EGRESOS OPERATIV.</t>
  </si>
  <si>
    <t xml:space="preserve">Capital de trabajo </t>
  </si>
  <si>
    <t>Necesidad de Financiamiento Total</t>
  </si>
  <si>
    <t>* Rentabilidad exigida para efectos del calculo del PAYBACK usaremos la tasa 19,43% misma del VAN</t>
  </si>
  <si>
    <t>Alquiler Terreno</t>
  </si>
  <si>
    <t>ALQUILER TERRENO</t>
  </si>
  <si>
    <t>Alquiler de Terreno</t>
  </si>
  <si>
    <t>Endeudamiento CFN 50% (8%)</t>
  </si>
  <si>
    <t>Capital aportado por socios 50%</t>
  </si>
  <si>
    <t>Montacargas Manual Pk</t>
  </si>
  <si>
    <t>Correas transportadora</t>
  </si>
  <si>
    <t>Radios Motorola (2 und)</t>
  </si>
  <si>
    <t>* Tarifa convencional ($0,04 cada Kg) + (0,5% del Valor FOB)</t>
  </si>
  <si>
    <t>Fuente: CFN (Prestamos para proyectos agricolas de más de 5 años tienen un periodo de gracia)</t>
  </si>
  <si>
    <t>Elaboracion: Los Autores</t>
  </si>
  <si>
    <t>% Crecimiento la cantidad demanda</t>
  </si>
  <si>
    <t>Precio de la Malanga (2009)</t>
  </si>
  <si>
    <t>Crystal Ball Report - Full</t>
  </si>
  <si>
    <t>Run preferences:</t>
  </si>
  <si>
    <t>Number of trials run</t>
  </si>
  <si>
    <t>Extreme speed</t>
  </si>
  <si>
    <t>Monte Carlo</t>
  </si>
  <si>
    <t>Random seed</t>
  </si>
  <si>
    <t>Precision control on</t>
  </si>
  <si>
    <t xml:space="preserve">   Confidence level</t>
  </si>
  <si>
    <t>Run statistics:</t>
  </si>
  <si>
    <t>Total running time (sec)</t>
  </si>
  <si>
    <t>Trials/second (average)</t>
  </si>
  <si>
    <t>Random numbers per sec</t>
  </si>
  <si>
    <t>Crystal Ball data:</t>
  </si>
  <si>
    <t>Assumptions</t>
  </si>
  <si>
    <t xml:space="preserve">   Correlations</t>
  </si>
  <si>
    <t xml:space="preserve">   Correlated groups</t>
  </si>
  <si>
    <t>Decision variables</t>
  </si>
  <si>
    <t>Forecasts</t>
  </si>
  <si>
    <t>Forecast: VAN</t>
  </si>
  <si>
    <t>Cell: C11</t>
  </si>
  <si>
    <t>Summary:</t>
  </si>
  <si>
    <t xml:space="preserve">Base case is $10.489,92 </t>
  </si>
  <si>
    <t>Statistics:</t>
  </si>
  <si>
    <t>Forecast values</t>
  </si>
  <si>
    <t>Trials</t>
  </si>
  <si>
    <t>Mean</t>
  </si>
  <si>
    <t>Median</t>
  </si>
  <si>
    <t>Mode</t>
  </si>
  <si>
    <t>---</t>
  </si>
  <si>
    <t>Standard Deviation</t>
  </si>
  <si>
    <t>Variance</t>
  </si>
  <si>
    <t>Skewness</t>
  </si>
  <si>
    <t>Kurtosis</t>
  </si>
  <si>
    <t>Coeff. of Variability</t>
  </si>
  <si>
    <t>Minimum</t>
  </si>
  <si>
    <t>Maximum</t>
  </si>
  <si>
    <t>Range Width</t>
  </si>
  <si>
    <t>Mean Std. Error</t>
  </si>
  <si>
    <t>Forecast: VAN (cont'd)</t>
  </si>
  <si>
    <t>Percentiles:</t>
  </si>
  <si>
    <t>100%</t>
  </si>
  <si>
    <t>90%</t>
  </si>
  <si>
    <t>80%</t>
  </si>
  <si>
    <t>70%</t>
  </si>
  <si>
    <t>60%</t>
  </si>
  <si>
    <t>50%</t>
  </si>
  <si>
    <t>40%</t>
  </si>
  <si>
    <t>30%</t>
  </si>
  <si>
    <t>20%</t>
  </si>
  <si>
    <t>10%</t>
  </si>
  <si>
    <t>0%</t>
  </si>
  <si>
    <t>End of Forecasts</t>
  </si>
  <si>
    <t>Assumption: CM</t>
  </si>
  <si>
    <t>Cell: C5</t>
  </si>
  <si>
    <t>Valued Acer Customer:
4%</t>
  </si>
  <si>
    <t>Uniform distribution with parameters:</t>
  </si>
  <si>
    <t>Assumption: GAD</t>
  </si>
  <si>
    <t>Cell: C3</t>
  </si>
  <si>
    <t>Assumption: GYS</t>
  </si>
  <si>
    <t>Cell: C6</t>
  </si>
  <si>
    <t>Valued Acer Customer:
2%</t>
  </si>
  <si>
    <t>Assumption: P</t>
  </si>
  <si>
    <t>Cell: C7</t>
  </si>
  <si>
    <t>Valued Acer Customer: $25</t>
  </si>
  <si>
    <t>Lognormal distribution with parameters:</t>
  </si>
  <si>
    <t>Std. Dev.</t>
  </si>
  <si>
    <t>Assumption: Q</t>
  </si>
  <si>
    <t>Cell: C8</t>
  </si>
  <si>
    <t>Valued Acer Customer:
13 toneladas</t>
  </si>
  <si>
    <t>Assumption: TD</t>
  </si>
  <si>
    <t>Cell: C9</t>
  </si>
  <si>
    <t>Valued Acer Customer:
19,43%</t>
  </si>
  <si>
    <t>Normal distribution with parameters:</t>
  </si>
  <si>
    <t>Assumption: TE</t>
  </si>
  <si>
    <t>Cell: C4</t>
  </si>
  <si>
    <t>Valued Acer Customer:
8%</t>
  </si>
  <si>
    <r>
      <rPr>
        <b/>
        <sz val="10"/>
        <color indexed="8"/>
        <rFont val="Arial"/>
        <family val="2"/>
      </rPr>
      <t>1.-</t>
    </r>
    <r>
      <rPr>
        <sz val="10"/>
        <color indexed="8"/>
        <rFont val="Arial"/>
        <family val="2"/>
      </rPr>
      <t xml:space="preserve"> Diseño de un Galpón con dimensiones 12 x 7 m a un valor de USD 1,200</t>
    </r>
  </si>
  <si>
    <r>
      <t xml:space="preserve">2.- </t>
    </r>
    <r>
      <rPr>
        <sz val="10"/>
        <color indexed="8"/>
        <rFont val="Arial"/>
        <family val="2"/>
      </rPr>
      <t>Se disminuye la capacidad de almacenaje del galpón y se construye una bodega de 6 x 7 m a un valor de USD 800</t>
    </r>
  </si>
  <si>
    <r>
      <t xml:space="preserve">1.- </t>
    </r>
    <r>
      <rPr>
        <sz val="11"/>
        <color indexed="8"/>
        <rFont val="Arial"/>
        <family val="2"/>
      </rPr>
      <t>Se aumenta la capacidad del galpón para construir una bodega de 18 x 7 m a un valor de USD 2,000</t>
    </r>
  </si>
  <si>
    <r>
      <t xml:space="preserve">2.- </t>
    </r>
    <r>
      <rPr>
        <sz val="11"/>
        <color indexed="8"/>
        <rFont val="Arial"/>
        <family val="2"/>
      </rPr>
      <t>Se necesita aumentar la capacidad de las maquinarias de los procesos productivos y administrativos a un valor de USD 2,000</t>
    </r>
  </si>
  <si>
    <r>
      <t xml:space="preserve">3.- </t>
    </r>
    <r>
      <rPr>
        <sz val="11"/>
        <color indexed="8"/>
        <rFont val="Arial"/>
        <family val="2"/>
      </rPr>
      <t>Es necesario contratar una persona adicional por lo que la mano de obra aumenta a $0,65</t>
    </r>
  </si>
  <si>
    <r>
      <t xml:space="preserve">4.- </t>
    </r>
    <r>
      <rPr>
        <sz val="11"/>
        <color indexed="8"/>
        <rFont val="Arial"/>
        <family val="2"/>
      </rPr>
      <t>Es necesario alquilar terrenos adicionales para completar la producción deseada a un valor de alquiler de terreno de USD 2,400</t>
    </r>
  </si>
  <si>
    <t>Simulation started on 9/19/2009 at 6:53:52</t>
  </si>
  <si>
    <t>Simulation stopped on 9/19/2009 at 6:54:14</t>
  </si>
  <si>
    <t>Worksheet: [PROCESO DE CULTIVO.xls]CB</t>
  </si>
  <si>
    <t>Certainty level is 91,160%</t>
  </si>
  <si>
    <t>Certainty range is from $48,83  to Infinito</t>
  </si>
  <si>
    <t xml:space="preserve">Entire range is from  $(14.573,04) to $76.352,92 </t>
  </si>
  <si>
    <t xml:space="preserve">After 100.000 trials, the std. error of the mean is $29,37 </t>
  </si>
  <si>
    <t>End of Assumptions</t>
  </si>
  <si>
    <t>Sensitivity Charts</t>
  </si>
  <si>
    <t>End of Sensitivity Charts</t>
  </si>
  <si>
    <t>FLUJO DE CAJA PROYECTADO PARA 5 AÑOS</t>
  </si>
</sst>
</file>

<file path=xl/styles.xml><?xml version="1.0" encoding="utf-8"?>
<styleSheet xmlns="http://schemas.openxmlformats.org/spreadsheetml/2006/main">
  <numFmts count="4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&quot;$&quot;\ #,##0.00"/>
    <numFmt numFmtId="177" formatCode="[$$-300A]\ #,##0.00"/>
    <numFmt numFmtId="178" formatCode="_-[$$-300A]\ * #,##0.00_ ;_-[$$-300A]\ * \-#,##0.00\ ;_-[$$-300A]\ * &quot;-&quot;??_ ;_-@_ 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0"/>
    <numFmt numFmtId="185" formatCode="0.00000000"/>
    <numFmt numFmtId="186" formatCode="0.0000000"/>
    <numFmt numFmtId="187" formatCode="_ * #,##0.0_ ;_ * \-#,##0.0_ ;_ * &quot;-&quot;??_ ;_ @_ "/>
    <numFmt numFmtId="188" formatCode="_ * #,##0_ ;_ * \-#,##0_ ;_ * &quot;-&quot;??_ ;_ @_ "/>
    <numFmt numFmtId="189" formatCode="#,##0_ ;\-#,##0\ "/>
    <numFmt numFmtId="190" formatCode="_ &quot;$&quot;\ * #,##0.0_ ;_ &quot;$&quot;\ * \-#,##0.0_ ;_ &quot;$&quot;\ * &quot;-&quot;??_ ;_ @_ "/>
    <numFmt numFmtId="191" formatCode=";;;"/>
    <numFmt numFmtId="192" formatCode="_ &quot;$&quot;\ * #,##0.000_ ;_ &quot;$&quot;\ * \-#,##0.000_ ;_ &quot;$&quot;\ * &quot;-&quot;???_ ;_ @_ "/>
    <numFmt numFmtId="193" formatCode="#,##0.00_ ;\-#,##0.00\ "/>
    <numFmt numFmtId="194" formatCode="[$$-300A]\ #,##0.00_ ;\-[$$-300A]\ #,##0.00\ "/>
    <numFmt numFmtId="195" formatCode="0.0%"/>
    <numFmt numFmtId="196" formatCode="&quot;$&quot;#,##0.00_);\(&quot;$&quot;#,##0.00\)"/>
    <numFmt numFmtId="197" formatCode="\ &quot;$&quot;#,##0.00\ ;\ &quot;$&quot;\(#,##0.00\)"/>
    <numFmt numFmtId="198" formatCode="\ #,##0.00\ ;\ \(#,##0.00\)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MS Sans Serif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sz val="14"/>
      <color indexed="8"/>
      <name val="Arial"/>
      <family val="2"/>
    </font>
    <font>
      <sz val="10"/>
      <color indexed="8"/>
      <name val="Calibri"/>
      <family val="2"/>
    </font>
    <font>
      <sz val="15"/>
      <color indexed="8"/>
      <name val="Arial"/>
      <family val="2"/>
    </font>
    <font>
      <b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sz val="15"/>
      <color indexed="8"/>
      <name val="Calibri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u val="single"/>
      <sz val="16"/>
      <color indexed="8"/>
      <name val="Arial"/>
      <family val="2"/>
    </font>
    <font>
      <b/>
      <u val="single"/>
      <sz val="10"/>
      <color indexed="8"/>
      <name val="Arial"/>
      <family val="2"/>
    </font>
    <font>
      <sz val="16"/>
      <color indexed="8"/>
      <name val="Calibri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</font>
    <font>
      <sz val="14"/>
      <color theme="1"/>
      <name val="Arial"/>
      <family val="2"/>
    </font>
    <font>
      <sz val="10"/>
      <color theme="1"/>
      <name val="Calibri"/>
      <family val="2"/>
    </font>
    <font>
      <sz val="15"/>
      <color theme="1"/>
      <name val="Arial"/>
      <family val="2"/>
    </font>
    <font>
      <b/>
      <sz val="15"/>
      <color theme="1"/>
      <name val="Arial"/>
      <family val="2"/>
    </font>
    <font>
      <b/>
      <u val="single"/>
      <sz val="15"/>
      <color theme="1"/>
      <name val="Arial"/>
      <family val="2"/>
    </font>
    <font>
      <sz val="15"/>
      <color theme="1"/>
      <name val="Calibri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sz val="16"/>
      <color theme="1"/>
      <name val="Calibri"/>
      <family val="2"/>
    </font>
    <font>
      <b/>
      <sz val="14"/>
      <color rgb="FFFF0000"/>
      <name val="Arial"/>
      <family val="2"/>
    </font>
    <font>
      <b/>
      <u val="single"/>
      <sz val="10"/>
      <color theme="1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59" fillId="0" borderId="8" applyNumberFormat="0" applyFill="0" applyAlignment="0" applyProtection="0"/>
    <xf numFmtId="0" fontId="71" fillId="0" borderId="9" applyNumberFormat="0" applyFill="0" applyAlignment="0" applyProtection="0"/>
  </cellStyleXfs>
  <cellXfs count="286">
    <xf numFmtId="0" fontId="0" fillId="0" borderId="0" xfId="0" applyFont="1" applyAlignment="1">
      <alignment/>
    </xf>
    <xf numFmtId="0" fontId="72" fillId="33" borderId="10" xfId="0" applyFont="1" applyFill="1" applyBorder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176" fontId="73" fillId="0" borderId="0" xfId="0" applyNumberFormat="1" applyFont="1" applyAlignment="1">
      <alignment/>
    </xf>
    <xf numFmtId="0" fontId="73" fillId="0" borderId="0" xfId="0" applyFont="1" applyAlignment="1">
      <alignment horizontal="center"/>
    </xf>
    <xf numFmtId="177" fontId="73" fillId="0" borderId="0" xfId="0" applyNumberFormat="1" applyFont="1" applyAlignment="1">
      <alignment/>
    </xf>
    <xf numFmtId="0" fontId="74" fillId="0" borderId="0" xfId="0" applyFont="1" applyAlignment="1">
      <alignment/>
    </xf>
    <xf numFmtId="176" fontId="75" fillId="0" borderId="10" xfId="0" applyNumberFormat="1" applyFont="1" applyBorder="1" applyAlignment="1">
      <alignment/>
    </xf>
    <xf numFmtId="176" fontId="72" fillId="0" borderId="0" xfId="0" applyNumberFormat="1" applyFont="1" applyBorder="1" applyAlignment="1">
      <alignment horizontal="center"/>
    </xf>
    <xf numFmtId="170" fontId="73" fillId="0" borderId="0" xfId="0" applyNumberFormat="1" applyFont="1" applyAlignment="1">
      <alignment/>
    </xf>
    <xf numFmtId="0" fontId="74" fillId="0" borderId="11" xfId="0" applyFont="1" applyBorder="1" applyAlignment="1">
      <alignment/>
    </xf>
    <xf numFmtId="0" fontId="74" fillId="0" borderId="12" xfId="0" applyFont="1" applyBorder="1" applyAlignment="1">
      <alignment/>
    </xf>
    <xf numFmtId="0" fontId="74" fillId="0" borderId="0" xfId="0" applyFont="1" applyBorder="1" applyAlignment="1">
      <alignment/>
    </xf>
    <xf numFmtId="0" fontId="76" fillId="0" borderId="0" xfId="0" applyFont="1" applyAlignment="1">
      <alignment horizontal="left" indent="1"/>
    </xf>
    <xf numFmtId="0" fontId="77" fillId="0" borderId="0" xfId="0" applyFont="1" applyAlignment="1">
      <alignment horizontal="center"/>
    </xf>
    <xf numFmtId="0" fontId="76" fillId="0" borderId="0" xfId="0" applyFont="1" applyAlignment="1">
      <alignment horizontal="left"/>
    </xf>
    <xf numFmtId="0" fontId="76" fillId="0" borderId="0" xfId="0" applyFont="1" applyAlignment="1">
      <alignment horizontal="center"/>
    </xf>
    <xf numFmtId="178" fontId="76" fillId="0" borderId="0" xfId="0" applyNumberFormat="1" applyFont="1" applyAlignment="1">
      <alignment/>
    </xf>
    <xf numFmtId="0" fontId="76" fillId="0" borderId="0" xfId="0" applyFont="1" applyAlignment="1">
      <alignment/>
    </xf>
    <xf numFmtId="0" fontId="76" fillId="0" borderId="0" xfId="0" applyFont="1" applyAlignment="1">
      <alignment horizontal="left" indent="3"/>
    </xf>
    <xf numFmtId="0" fontId="78" fillId="0" borderId="0" xfId="0" applyFont="1" applyAlignment="1">
      <alignment/>
    </xf>
    <xf numFmtId="0" fontId="77" fillId="0" borderId="10" xfId="0" applyFont="1" applyBorder="1" applyAlignment="1">
      <alignment horizontal="center"/>
    </xf>
    <xf numFmtId="178" fontId="77" fillId="0" borderId="10" xfId="0" applyNumberFormat="1" applyFont="1" applyBorder="1" applyAlignment="1">
      <alignment/>
    </xf>
    <xf numFmtId="0" fontId="79" fillId="0" borderId="0" xfId="0" applyFont="1" applyBorder="1" applyAlignment="1">
      <alignment horizontal="center"/>
    </xf>
    <xf numFmtId="0" fontId="77" fillId="0" borderId="0" xfId="0" applyFont="1" applyAlignment="1">
      <alignment/>
    </xf>
    <xf numFmtId="0" fontId="76" fillId="33" borderId="0" xfId="0" applyFont="1" applyFill="1" applyAlignment="1">
      <alignment/>
    </xf>
    <xf numFmtId="0" fontId="80" fillId="34" borderId="11" xfId="0" applyFont="1" applyFill="1" applyBorder="1" applyAlignment="1">
      <alignment/>
    </xf>
    <xf numFmtId="9" fontId="80" fillId="34" borderId="12" xfId="54" applyFont="1" applyFill="1" applyBorder="1" applyAlignment="1">
      <alignment/>
    </xf>
    <xf numFmtId="0" fontId="81" fillId="0" borderId="0" xfId="0" applyFont="1" applyAlignment="1">
      <alignment/>
    </xf>
    <xf numFmtId="0" fontId="75" fillId="0" borderId="0" xfId="0" applyFont="1" applyAlignment="1">
      <alignment/>
    </xf>
    <xf numFmtId="0" fontId="82" fillId="0" borderId="0" xfId="0" applyFont="1" applyAlignment="1">
      <alignment horizontal="center"/>
    </xf>
    <xf numFmtId="170" fontId="76" fillId="0" borderId="0" xfId="0" applyNumberFormat="1" applyFont="1" applyAlignment="1">
      <alignment/>
    </xf>
    <xf numFmtId="0" fontId="81" fillId="0" borderId="0" xfId="0" applyFont="1" applyAlignment="1">
      <alignment horizontal="center"/>
    </xf>
    <xf numFmtId="194" fontId="81" fillId="0" borderId="0" xfId="0" applyNumberFormat="1" applyFont="1" applyAlignment="1">
      <alignment/>
    </xf>
    <xf numFmtId="170" fontId="72" fillId="0" borderId="0" xfId="0" applyNumberFormat="1" applyFont="1" applyAlignment="1">
      <alignment/>
    </xf>
    <xf numFmtId="191" fontId="0" fillId="0" borderId="0" xfId="0" applyNumberFormat="1" applyAlignment="1">
      <alignment/>
    </xf>
    <xf numFmtId="0" fontId="77" fillId="0" borderId="0" xfId="0" applyFont="1" applyBorder="1" applyAlignment="1">
      <alignment horizontal="center"/>
    </xf>
    <xf numFmtId="0" fontId="76" fillId="0" borderId="0" xfId="0" applyFont="1" applyBorder="1" applyAlignment="1">
      <alignment/>
    </xf>
    <xf numFmtId="0" fontId="76" fillId="0" borderId="0" xfId="0" applyFont="1" applyBorder="1" applyAlignment="1">
      <alignment horizontal="center"/>
    </xf>
    <xf numFmtId="170" fontId="76" fillId="0" borderId="0" xfId="50" applyFont="1" applyBorder="1" applyAlignment="1">
      <alignment/>
    </xf>
    <xf numFmtId="0" fontId="78" fillId="0" borderId="0" xfId="0" applyFont="1" applyBorder="1" applyAlignment="1">
      <alignment/>
    </xf>
    <xf numFmtId="170" fontId="77" fillId="0" borderId="0" xfId="50" applyFont="1" applyBorder="1" applyAlignment="1">
      <alignment/>
    </xf>
    <xf numFmtId="177" fontId="7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0" fontId="0" fillId="0" borderId="0" xfId="0" applyNumberFormat="1" applyBorder="1" applyAlignment="1">
      <alignment/>
    </xf>
    <xf numFmtId="0" fontId="83" fillId="34" borderId="11" xfId="0" applyFont="1" applyFill="1" applyBorder="1" applyAlignment="1">
      <alignment/>
    </xf>
    <xf numFmtId="171" fontId="74" fillId="0" borderId="0" xfId="48" applyFont="1" applyAlignment="1">
      <alignment/>
    </xf>
    <xf numFmtId="171" fontId="74" fillId="0" borderId="0" xfId="0" applyNumberFormat="1" applyFont="1" applyAlignment="1">
      <alignment/>
    </xf>
    <xf numFmtId="0" fontId="76" fillId="0" borderId="0" xfId="0" applyFont="1" applyAlignment="1">
      <alignment horizontal="right"/>
    </xf>
    <xf numFmtId="188" fontId="76" fillId="0" borderId="0" xfId="48" applyNumberFormat="1" applyFont="1" applyAlignment="1">
      <alignment/>
    </xf>
    <xf numFmtId="188" fontId="76" fillId="0" borderId="0" xfId="0" applyNumberFormat="1" applyFont="1" applyAlignment="1">
      <alignment/>
    </xf>
    <xf numFmtId="171" fontId="76" fillId="0" borderId="0" xfId="48" applyFont="1" applyAlignment="1">
      <alignment/>
    </xf>
    <xf numFmtId="171" fontId="76" fillId="0" borderId="0" xfId="0" applyNumberFormat="1" applyFont="1" applyAlignment="1">
      <alignment/>
    </xf>
    <xf numFmtId="9" fontId="80" fillId="34" borderId="12" xfId="0" applyNumberFormat="1" applyFont="1" applyFill="1" applyBorder="1" applyAlignment="1">
      <alignment/>
    </xf>
    <xf numFmtId="0" fontId="73" fillId="0" borderId="0" xfId="0" applyFont="1" applyFill="1" applyBorder="1" applyAlignment="1">
      <alignment horizontal="center"/>
    </xf>
    <xf numFmtId="10" fontId="76" fillId="0" borderId="0" xfId="0" applyNumberFormat="1" applyFont="1" applyAlignment="1">
      <alignment/>
    </xf>
    <xf numFmtId="10" fontId="76" fillId="0" borderId="0" xfId="54" applyNumberFormat="1" applyFont="1" applyAlignment="1">
      <alignment/>
    </xf>
    <xf numFmtId="178" fontId="81" fillId="0" borderId="0" xfId="0" applyNumberFormat="1" applyFont="1" applyAlignment="1">
      <alignment/>
    </xf>
    <xf numFmtId="10" fontId="83" fillId="34" borderId="12" xfId="54" applyNumberFormat="1" applyFont="1" applyFill="1" applyBorder="1" applyAlignment="1">
      <alignment/>
    </xf>
    <xf numFmtId="176" fontId="72" fillId="0" borderId="0" xfId="0" applyNumberFormat="1" applyFont="1" applyAlignment="1">
      <alignment/>
    </xf>
    <xf numFmtId="2" fontId="76" fillId="0" borderId="0" xfId="0" applyNumberFormat="1" applyFont="1" applyAlignment="1">
      <alignment/>
    </xf>
    <xf numFmtId="0" fontId="3" fillId="0" borderId="0" xfId="0" applyFont="1" applyAlignment="1">
      <alignment/>
    </xf>
    <xf numFmtId="0" fontId="81" fillId="0" borderId="10" xfId="0" applyFont="1" applyBorder="1" applyAlignment="1">
      <alignment/>
    </xf>
    <xf numFmtId="0" fontId="74" fillId="0" borderId="13" xfId="0" applyFont="1" applyBorder="1" applyAlignment="1">
      <alignment/>
    </xf>
    <xf numFmtId="0" fontId="76" fillId="0" borderId="13" xfId="0" applyFont="1" applyBorder="1" applyAlignment="1">
      <alignment/>
    </xf>
    <xf numFmtId="0" fontId="74" fillId="0" borderId="14" xfId="0" applyFont="1" applyBorder="1" applyAlignment="1">
      <alignment/>
    </xf>
    <xf numFmtId="0" fontId="74" fillId="0" borderId="15" xfId="0" applyFont="1" applyBorder="1" applyAlignment="1">
      <alignment/>
    </xf>
    <xf numFmtId="0" fontId="74" fillId="0" borderId="16" xfId="0" applyFont="1" applyBorder="1" applyAlignment="1">
      <alignment/>
    </xf>
    <xf numFmtId="0" fontId="76" fillId="0" borderId="16" xfId="0" applyFont="1" applyBorder="1" applyAlignment="1">
      <alignment/>
    </xf>
    <xf numFmtId="0" fontId="74" fillId="0" borderId="17" xfId="0" applyFont="1" applyBorder="1" applyAlignment="1">
      <alignment/>
    </xf>
    <xf numFmtId="0" fontId="74" fillId="0" borderId="18" xfId="0" applyFont="1" applyBorder="1" applyAlignment="1">
      <alignment/>
    </xf>
    <xf numFmtId="189" fontId="76" fillId="0" borderId="0" xfId="0" applyNumberFormat="1" applyFont="1" applyAlignment="1">
      <alignment horizontal="center"/>
    </xf>
    <xf numFmtId="1" fontId="76" fillId="0" borderId="0" xfId="0" applyNumberFormat="1" applyFont="1" applyAlignment="1">
      <alignment horizontal="right"/>
    </xf>
    <xf numFmtId="188" fontId="82" fillId="0" borderId="0" xfId="0" applyNumberFormat="1" applyFont="1" applyAlignment="1">
      <alignment horizontal="center"/>
    </xf>
    <xf numFmtId="0" fontId="74" fillId="33" borderId="0" xfId="0" applyFont="1" applyFill="1" applyAlignment="1">
      <alignment/>
    </xf>
    <xf numFmtId="191" fontId="71" fillId="0" borderId="0" xfId="0" applyNumberFormat="1" applyFont="1" applyAlignment="1">
      <alignment/>
    </xf>
    <xf numFmtId="170" fontId="74" fillId="0" borderId="0" xfId="50" applyFont="1" applyAlignment="1">
      <alignment/>
    </xf>
    <xf numFmtId="0" fontId="74" fillId="33" borderId="0" xfId="0" applyFont="1" applyFill="1" applyAlignment="1">
      <alignment horizontal="center"/>
    </xf>
    <xf numFmtId="170" fontId="74" fillId="33" borderId="0" xfId="0" applyNumberFormat="1" applyFont="1" applyFill="1" applyAlignment="1">
      <alignment/>
    </xf>
    <xf numFmtId="171" fontId="74" fillId="33" borderId="0" xfId="48" applyFont="1" applyFill="1" applyAlignment="1">
      <alignment/>
    </xf>
    <xf numFmtId="0" fontId="77" fillId="33" borderId="0" xfId="0" applyFont="1" applyFill="1" applyAlignment="1">
      <alignment/>
    </xf>
    <xf numFmtId="170" fontId="74" fillId="33" borderId="0" xfId="50" applyFont="1" applyFill="1" applyAlignment="1">
      <alignment/>
    </xf>
    <xf numFmtId="170" fontId="77" fillId="33" borderId="0" xfId="50" applyFont="1" applyFill="1" applyAlignment="1">
      <alignment/>
    </xf>
    <xf numFmtId="171" fontId="74" fillId="33" borderId="0" xfId="0" applyNumberFormat="1" applyFont="1" applyFill="1" applyAlignment="1">
      <alignment/>
    </xf>
    <xf numFmtId="170" fontId="77" fillId="33" borderId="0" xfId="0" applyNumberFormat="1" applyFont="1" applyFill="1" applyAlignment="1">
      <alignment/>
    </xf>
    <xf numFmtId="9" fontId="74" fillId="33" borderId="0" xfId="54" applyFont="1" applyFill="1" applyAlignment="1">
      <alignment/>
    </xf>
    <xf numFmtId="0" fontId="77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71" fillId="33" borderId="0" xfId="0" applyFont="1" applyFill="1" applyAlignment="1">
      <alignment/>
    </xf>
    <xf numFmtId="0" fontId="7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/>
    </xf>
    <xf numFmtId="170" fontId="0" fillId="33" borderId="0" xfId="50" applyFont="1" applyFill="1" applyAlignment="1">
      <alignment/>
    </xf>
    <xf numFmtId="0" fontId="77" fillId="33" borderId="10" xfId="0" applyFont="1" applyFill="1" applyBorder="1" applyAlignment="1">
      <alignment horizontal="center"/>
    </xf>
    <xf numFmtId="0" fontId="76" fillId="33" borderId="0" xfId="0" applyFont="1" applyFill="1" applyAlignment="1">
      <alignment horizontal="center"/>
    </xf>
    <xf numFmtId="178" fontId="76" fillId="33" borderId="0" xfId="0" applyNumberFormat="1" applyFont="1" applyFill="1" applyAlignment="1">
      <alignment/>
    </xf>
    <xf numFmtId="0" fontId="76" fillId="33" borderId="0" xfId="0" applyFont="1" applyFill="1" applyBorder="1" applyAlignment="1">
      <alignment horizontal="center"/>
    </xf>
    <xf numFmtId="178" fontId="76" fillId="33" borderId="0" xfId="0" applyNumberFormat="1" applyFont="1" applyFill="1" applyBorder="1" applyAlignment="1">
      <alignment/>
    </xf>
    <xf numFmtId="178" fontId="77" fillId="33" borderId="10" xfId="0" applyNumberFormat="1" applyFont="1" applyFill="1" applyBorder="1" applyAlignment="1">
      <alignment/>
    </xf>
    <xf numFmtId="177" fontId="73" fillId="33" borderId="0" xfId="0" applyNumberFormat="1" applyFont="1" applyFill="1" applyAlignment="1">
      <alignment/>
    </xf>
    <xf numFmtId="189" fontId="76" fillId="33" borderId="0" xfId="48" applyNumberFormat="1" applyFont="1" applyFill="1" applyAlignment="1">
      <alignment horizontal="center"/>
    </xf>
    <xf numFmtId="178" fontId="0" fillId="33" borderId="0" xfId="0" applyNumberFormat="1" applyFill="1" applyAlignment="1">
      <alignment/>
    </xf>
    <xf numFmtId="178" fontId="74" fillId="33" borderId="0" xfId="0" applyNumberFormat="1" applyFont="1" applyFill="1" applyAlignment="1">
      <alignment/>
    </xf>
    <xf numFmtId="178" fontId="77" fillId="33" borderId="0" xfId="0" applyNumberFormat="1" applyFont="1" applyFill="1" applyBorder="1" applyAlignment="1">
      <alignment/>
    </xf>
    <xf numFmtId="170" fontId="76" fillId="33" borderId="0" xfId="50" applyFont="1" applyFill="1" applyAlignment="1">
      <alignment/>
    </xf>
    <xf numFmtId="0" fontId="71" fillId="33" borderId="0" xfId="0" applyFont="1" applyFill="1" applyAlignment="1">
      <alignment horizontal="center"/>
    </xf>
    <xf numFmtId="0" fontId="72" fillId="33" borderId="0" xfId="48" applyNumberFormat="1" applyFont="1" applyFill="1" applyAlignment="1">
      <alignment horizontal="center"/>
    </xf>
    <xf numFmtId="177" fontId="72" fillId="33" borderId="0" xfId="0" applyNumberFormat="1" applyFont="1" applyFill="1" applyAlignment="1">
      <alignment/>
    </xf>
    <xf numFmtId="177" fontId="0" fillId="33" borderId="0" xfId="0" applyNumberFormat="1" applyFill="1" applyAlignment="1">
      <alignment/>
    </xf>
    <xf numFmtId="171" fontId="0" fillId="33" borderId="0" xfId="0" applyNumberFormat="1" applyFill="1" applyAlignment="1">
      <alignment/>
    </xf>
    <xf numFmtId="0" fontId="73" fillId="33" borderId="0" xfId="0" applyFont="1" applyFill="1" applyAlignment="1">
      <alignment/>
    </xf>
    <xf numFmtId="166" fontId="73" fillId="33" borderId="0" xfId="50" applyNumberFormat="1" applyFont="1" applyFill="1" applyAlignment="1">
      <alignment/>
    </xf>
    <xf numFmtId="170" fontId="74" fillId="0" borderId="19" xfId="50" applyFont="1" applyBorder="1" applyAlignment="1">
      <alignment/>
    </xf>
    <xf numFmtId="0" fontId="74" fillId="0" borderId="19" xfId="0" applyFont="1" applyBorder="1" applyAlignment="1">
      <alignment/>
    </xf>
    <xf numFmtId="170" fontId="74" fillId="0" borderId="0" xfId="0" applyNumberFormat="1" applyFont="1" applyAlignment="1">
      <alignment/>
    </xf>
    <xf numFmtId="0" fontId="82" fillId="33" borderId="10" xfId="0" applyFont="1" applyFill="1" applyBorder="1" applyAlignment="1">
      <alignment horizontal="center" vertical="center" wrapText="1"/>
    </xf>
    <xf numFmtId="0" fontId="81" fillId="33" borderId="20" xfId="0" applyFont="1" applyFill="1" applyBorder="1" applyAlignment="1">
      <alignment/>
    </xf>
    <xf numFmtId="0" fontId="81" fillId="33" borderId="21" xfId="0" applyFont="1" applyFill="1" applyBorder="1" applyAlignment="1">
      <alignment horizontal="center"/>
    </xf>
    <xf numFmtId="170" fontId="81" fillId="33" borderId="21" xfId="50" applyFont="1" applyFill="1" applyBorder="1" applyAlignment="1">
      <alignment/>
    </xf>
    <xf numFmtId="170" fontId="81" fillId="33" borderId="22" xfId="50" applyFont="1" applyFill="1" applyBorder="1" applyAlignment="1">
      <alignment/>
    </xf>
    <xf numFmtId="0" fontId="81" fillId="33" borderId="23" xfId="0" applyFont="1" applyFill="1" applyBorder="1" applyAlignment="1">
      <alignment/>
    </xf>
    <xf numFmtId="0" fontId="81" fillId="33" borderId="24" xfId="0" applyFont="1" applyFill="1" applyBorder="1" applyAlignment="1">
      <alignment horizontal="center"/>
    </xf>
    <xf numFmtId="170" fontId="81" fillId="33" borderId="24" xfId="50" applyFont="1" applyFill="1" applyBorder="1" applyAlignment="1">
      <alignment/>
    </xf>
    <xf numFmtId="170" fontId="81" fillId="33" borderId="25" xfId="50" applyFont="1" applyFill="1" applyBorder="1" applyAlignment="1">
      <alignment/>
    </xf>
    <xf numFmtId="0" fontId="81" fillId="33" borderId="0" xfId="0" applyFont="1" applyFill="1" applyAlignment="1">
      <alignment/>
    </xf>
    <xf numFmtId="170" fontId="81" fillId="33" borderId="0" xfId="50" applyFont="1" applyFill="1" applyAlignment="1">
      <alignment/>
    </xf>
    <xf numFmtId="170" fontId="75" fillId="33" borderId="26" xfId="50" applyFont="1" applyFill="1" applyBorder="1" applyAlignment="1">
      <alignment/>
    </xf>
    <xf numFmtId="0" fontId="82" fillId="33" borderId="10" xfId="0" applyFont="1" applyFill="1" applyBorder="1" applyAlignment="1">
      <alignment horizontal="center"/>
    </xf>
    <xf numFmtId="170" fontId="76" fillId="33" borderId="0" xfId="0" applyNumberFormat="1" applyFont="1" applyFill="1" applyAlignment="1">
      <alignment/>
    </xf>
    <xf numFmtId="0" fontId="82" fillId="33" borderId="0" xfId="0" applyFont="1" applyFill="1" applyAlignment="1">
      <alignment/>
    </xf>
    <xf numFmtId="170" fontId="82" fillId="33" borderId="10" xfId="0" applyNumberFormat="1" applyFont="1" applyFill="1" applyBorder="1" applyAlignment="1">
      <alignment/>
    </xf>
    <xf numFmtId="177" fontId="76" fillId="33" borderId="0" xfId="0" applyNumberFormat="1" applyFont="1" applyFill="1" applyAlignment="1">
      <alignment/>
    </xf>
    <xf numFmtId="170" fontId="82" fillId="33" borderId="10" xfId="50" applyFont="1" applyFill="1" applyBorder="1" applyAlignment="1">
      <alignment/>
    </xf>
    <xf numFmtId="176" fontId="0" fillId="0" borderId="0" xfId="0" applyNumberFormat="1" applyAlignment="1">
      <alignment/>
    </xf>
    <xf numFmtId="10" fontId="4" fillId="35" borderId="10" xfId="54" applyNumberFormat="1" applyFont="1" applyFill="1" applyBorder="1" applyAlignment="1">
      <alignment/>
    </xf>
    <xf numFmtId="171" fontId="81" fillId="35" borderId="10" xfId="48" applyFont="1" applyFill="1" applyBorder="1" applyAlignment="1">
      <alignment horizontal="center"/>
    </xf>
    <xf numFmtId="170" fontId="81" fillId="36" borderId="10" xfId="0" applyNumberFormat="1" applyFont="1" applyFill="1" applyBorder="1" applyAlignment="1">
      <alignment/>
    </xf>
    <xf numFmtId="170" fontId="4" fillId="35" borderId="10" xfId="50" applyFont="1" applyFill="1" applyBorder="1" applyAlignment="1">
      <alignment/>
    </xf>
    <xf numFmtId="19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197" fontId="0" fillId="0" borderId="0" xfId="0" applyNumberFormat="1" applyAlignment="1">
      <alignment/>
    </xf>
    <xf numFmtId="197" fontId="0" fillId="0" borderId="0" xfId="0" applyNumberFormat="1" applyAlignment="1">
      <alignment horizontal="right"/>
    </xf>
    <xf numFmtId="181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 horizontal="right"/>
    </xf>
    <xf numFmtId="198" fontId="0" fillId="0" borderId="0" xfId="0" applyNumberFormat="1" applyAlignment="1">
      <alignment horizontal="right"/>
    </xf>
    <xf numFmtId="176" fontId="84" fillId="34" borderId="27" xfId="0" applyNumberFormat="1" applyFont="1" applyFill="1" applyBorder="1" applyAlignment="1">
      <alignment/>
    </xf>
    <xf numFmtId="0" fontId="85" fillId="33" borderId="0" xfId="0" applyFont="1" applyFill="1" applyAlignment="1">
      <alignment/>
    </xf>
    <xf numFmtId="0" fontId="86" fillId="33" borderId="0" xfId="0" applyNumberFormat="1" applyFont="1" applyFill="1" applyAlignment="1">
      <alignment/>
    </xf>
    <xf numFmtId="0" fontId="79" fillId="33" borderId="0" xfId="0" applyNumberFormat="1" applyFont="1" applyFill="1" applyAlignment="1">
      <alignment/>
    </xf>
    <xf numFmtId="0" fontId="86" fillId="33" borderId="0" xfId="0" applyNumberFormat="1" applyFont="1" applyFill="1" applyAlignment="1">
      <alignment horizontal="center"/>
    </xf>
    <xf numFmtId="170" fontId="86" fillId="33" borderId="0" xfId="50" applyFont="1" applyFill="1" applyAlignment="1">
      <alignment horizontal="center"/>
    </xf>
    <xf numFmtId="176" fontId="85" fillId="33" borderId="0" xfId="0" applyNumberFormat="1" applyFont="1" applyFill="1" applyAlignment="1">
      <alignment/>
    </xf>
    <xf numFmtId="176" fontId="87" fillId="33" borderId="10" xfId="0" applyNumberFormat="1" applyFont="1" applyFill="1" applyBorder="1" applyAlignment="1">
      <alignment/>
    </xf>
    <xf numFmtId="170" fontId="86" fillId="33" borderId="0" xfId="50" applyFont="1" applyFill="1" applyAlignment="1">
      <alignment/>
    </xf>
    <xf numFmtId="177" fontId="86" fillId="33" borderId="0" xfId="0" applyNumberFormat="1" applyFont="1" applyFill="1" applyAlignment="1">
      <alignment/>
    </xf>
    <xf numFmtId="170" fontId="86" fillId="33" borderId="28" xfId="0" applyNumberFormat="1" applyFont="1" applyFill="1" applyBorder="1" applyAlignment="1">
      <alignment/>
    </xf>
    <xf numFmtId="170" fontId="86" fillId="33" borderId="29" xfId="0" applyNumberFormat="1" applyFont="1" applyFill="1" applyBorder="1" applyAlignment="1">
      <alignment/>
    </xf>
    <xf numFmtId="176" fontId="86" fillId="33" borderId="29" xfId="0" applyNumberFormat="1" applyFont="1" applyFill="1" applyBorder="1" applyAlignment="1">
      <alignment/>
    </xf>
    <xf numFmtId="176" fontId="86" fillId="33" borderId="30" xfId="0" applyNumberFormat="1" applyFont="1" applyFill="1" applyBorder="1" applyAlignment="1">
      <alignment/>
    </xf>
    <xf numFmtId="170" fontId="86" fillId="33" borderId="31" xfId="0" applyNumberFormat="1" applyFont="1" applyFill="1" applyBorder="1" applyAlignment="1">
      <alignment/>
    </xf>
    <xf numFmtId="170" fontId="86" fillId="33" borderId="32" xfId="0" applyNumberFormat="1" applyFont="1" applyFill="1" applyBorder="1" applyAlignment="1">
      <alignment/>
    </xf>
    <xf numFmtId="176" fontId="86" fillId="33" borderId="32" xfId="0" applyNumberFormat="1" applyFont="1" applyFill="1" applyBorder="1" applyAlignment="1">
      <alignment/>
    </xf>
    <xf numFmtId="176" fontId="86" fillId="33" borderId="33" xfId="0" applyNumberFormat="1" applyFont="1" applyFill="1" applyBorder="1" applyAlignment="1">
      <alignment/>
    </xf>
    <xf numFmtId="170" fontId="86" fillId="33" borderId="27" xfId="0" applyNumberFormat="1" applyFont="1" applyFill="1" applyBorder="1" applyAlignment="1">
      <alignment/>
    </xf>
    <xf numFmtId="176" fontId="86" fillId="33" borderId="27" xfId="0" applyNumberFormat="1" applyFont="1" applyFill="1" applyBorder="1" applyAlignment="1">
      <alignment/>
    </xf>
    <xf numFmtId="177" fontId="88" fillId="33" borderId="0" xfId="0" applyNumberFormat="1" applyFont="1" applyFill="1" applyAlignment="1">
      <alignment/>
    </xf>
    <xf numFmtId="0" fontId="76" fillId="33" borderId="0" xfId="0" applyNumberFormat="1" applyFont="1" applyFill="1" applyAlignment="1">
      <alignment/>
    </xf>
    <xf numFmtId="0" fontId="89" fillId="33" borderId="0" xfId="0" applyFont="1" applyFill="1" applyAlignment="1">
      <alignment/>
    </xf>
    <xf numFmtId="0" fontId="90" fillId="33" borderId="0" xfId="0" applyFont="1" applyFill="1" applyAlignment="1">
      <alignment/>
    </xf>
    <xf numFmtId="0" fontId="91" fillId="33" borderId="0" xfId="0" applyFont="1" applyFill="1" applyAlignment="1">
      <alignment horizontal="center"/>
    </xf>
    <xf numFmtId="0" fontId="92" fillId="33" borderId="0" xfId="0" applyFont="1" applyFill="1" applyAlignment="1">
      <alignment/>
    </xf>
    <xf numFmtId="0" fontId="93" fillId="33" borderId="0" xfId="0" applyFont="1" applyFill="1" applyAlignment="1">
      <alignment/>
    </xf>
    <xf numFmtId="0" fontId="94" fillId="33" borderId="0" xfId="0" applyFont="1" applyFill="1" applyAlignment="1">
      <alignment/>
    </xf>
    <xf numFmtId="0" fontId="95" fillId="33" borderId="0" xfId="0" applyFont="1" applyFill="1" applyAlignment="1">
      <alignment/>
    </xf>
    <xf numFmtId="0" fontId="96" fillId="33" borderId="0" xfId="0" applyFont="1" applyFill="1" applyAlignment="1">
      <alignment/>
    </xf>
    <xf numFmtId="177" fontId="90" fillId="33" borderId="0" xfId="0" applyNumberFormat="1" applyFont="1" applyFill="1" applyAlignment="1">
      <alignment/>
    </xf>
    <xf numFmtId="177" fontId="94" fillId="33" borderId="0" xfId="0" applyNumberFormat="1" applyFont="1" applyFill="1" applyAlignment="1">
      <alignment/>
    </xf>
    <xf numFmtId="0" fontId="82" fillId="33" borderId="0" xfId="0" applyFont="1" applyFill="1" applyAlignment="1">
      <alignment horizontal="center"/>
    </xf>
    <xf numFmtId="170" fontId="81" fillId="33" borderId="0" xfId="0" applyNumberFormat="1" applyFont="1" applyFill="1" applyAlignment="1">
      <alignment/>
    </xf>
    <xf numFmtId="193" fontId="73" fillId="33" borderId="0" xfId="48" applyNumberFormat="1" applyFont="1" applyFill="1" applyAlignment="1">
      <alignment horizontal="center"/>
    </xf>
    <xf numFmtId="10" fontId="73" fillId="33" borderId="0" xfId="54" applyNumberFormat="1" applyFont="1" applyFill="1" applyAlignment="1">
      <alignment horizontal="center"/>
    </xf>
    <xf numFmtId="0" fontId="73" fillId="33" borderId="0" xfId="0" applyFont="1" applyFill="1" applyAlignment="1">
      <alignment horizontal="center"/>
    </xf>
    <xf numFmtId="0" fontId="76" fillId="37" borderId="11" xfId="0" applyFont="1" applyFill="1" applyBorder="1" applyAlignment="1">
      <alignment/>
    </xf>
    <xf numFmtId="170" fontId="81" fillId="37" borderId="34" xfId="0" applyNumberFormat="1" applyFont="1" applyFill="1" applyBorder="1" applyAlignment="1">
      <alignment/>
    </xf>
    <xf numFmtId="170" fontId="81" fillId="37" borderId="12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76" fillId="37" borderId="0" xfId="0" applyFont="1" applyFill="1" applyAlignment="1">
      <alignment/>
    </xf>
    <xf numFmtId="0" fontId="77" fillId="33" borderId="10" xfId="0" applyFont="1" applyFill="1" applyBorder="1" applyAlignment="1">
      <alignment/>
    </xf>
    <xf numFmtId="0" fontId="72" fillId="33" borderId="35" xfId="0" applyFont="1" applyFill="1" applyBorder="1" applyAlignment="1">
      <alignment/>
    </xf>
    <xf numFmtId="0" fontId="73" fillId="33" borderId="36" xfId="0" applyFont="1" applyFill="1" applyBorder="1" applyAlignment="1">
      <alignment horizontal="center"/>
    </xf>
    <xf numFmtId="0" fontId="73" fillId="33" borderId="13" xfId="0" applyFont="1" applyFill="1" applyBorder="1" applyAlignment="1">
      <alignment horizontal="center"/>
    </xf>
    <xf numFmtId="2" fontId="73" fillId="33" borderId="13" xfId="0" applyNumberFormat="1" applyFont="1" applyFill="1" applyBorder="1" applyAlignment="1">
      <alignment horizontal="center"/>
    </xf>
    <xf numFmtId="2" fontId="73" fillId="33" borderId="14" xfId="0" applyNumberFormat="1" applyFont="1" applyFill="1" applyBorder="1" applyAlignment="1">
      <alignment horizontal="center"/>
    </xf>
    <xf numFmtId="0" fontId="72" fillId="33" borderId="37" xfId="0" applyFont="1" applyFill="1" applyBorder="1" applyAlignment="1">
      <alignment/>
    </xf>
    <xf numFmtId="183" fontId="73" fillId="33" borderId="38" xfId="0" applyNumberFormat="1" applyFont="1" applyFill="1" applyBorder="1" applyAlignment="1">
      <alignment horizontal="center"/>
    </xf>
    <xf numFmtId="183" fontId="73" fillId="33" borderId="16" xfId="0" applyNumberFormat="1" applyFont="1" applyFill="1" applyBorder="1" applyAlignment="1">
      <alignment horizontal="center"/>
    </xf>
    <xf numFmtId="183" fontId="73" fillId="33" borderId="17" xfId="0" applyNumberFormat="1" applyFont="1" applyFill="1" applyBorder="1" applyAlignment="1">
      <alignment horizontal="center"/>
    </xf>
    <xf numFmtId="0" fontId="73" fillId="33" borderId="11" xfId="0" applyFont="1" applyFill="1" applyBorder="1" applyAlignment="1">
      <alignment/>
    </xf>
    <xf numFmtId="0" fontId="73" fillId="33" borderId="34" xfId="0" applyFont="1" applyFill="1" applyBorder="1" applyAlignment="1">
      <alignment/>
    </xf>
    <xf numFmtId="0" fontId="73" fillId="33" borderId="12" xfId="0" applyFont="1" applyFill="1" applyBorder="1" applyAlignment="1">
      <alignment/>
    </xf>
    <xf numFmtId="0" fontId="73" fillId="33" borderId="37" xfId="0" applyFont="1" applyFill="1" applyBorder="1" applyAlignment="1">
      <alignment/>
    </xf>
    <xf numFmtId="1" fontId="73" fillId="33" borderId="36" xfId="0" applyNumberFormat="1" applyFont="1" applyFill="1" applyBorder="1" applyAlignment="1">
      <alignment horizontal="center"/>
    </xf>
    <xf numFmtId="1" fontId="73" fillId="33" borderId="13" xfId="0" applyNumberFormat="1" applyFont="1" applyFill="1" applyBorder="1" applyAlignment="1">
      <alignment horizontal="center"/>
    </xf>
    <xf numFmtId="1" fontId="73" fillId="33" borderId="14" xfId="0" applyNumberFormat="1" applyFont="1" applyFill="1" applyBorder="1" applyAlignment="1">
      <alignment horizontal="center"/>
    </xf>
    <xf numFmtId="0" fontId="73" fillId="33" borderId="18" xfId="0" applyFont="1" applyFill="1" applyBorder="1" applyAlignment="1">
      <alignment horizontal="center"/>
    </xf>
    <xf numFmtId="0" fontId="73" fillId="33" borderId="0" xfId="0" applyFont="1" applyFill="1" applyBorder="1" applyAlignment="1">
      <alignment horizontal="center"/>
    </xf>
    <xf numFmtId="0" fontId="73" fillId="33" borderId="15" xfId="0" applyFont="1" applyFill="1" applyBorder="1" applyAlignment="1">
      <alignment horizontal="center"/>
    </xf>
    <xf numFmtId="193" fontId="73" fillId="33" borderId="38" xfId="48" applyNumberFormat="1" applyFont="1" applyFill="1" applyBorder="1" applyAlignment="1">
      <alignment horizontal="center"/>
    </xf>
    <xf numFmtId="193" fontId="73" fillId="33" borderId="16" xfId="48" applyNumberFormat="1" applyFont="1" applyFill="1" applyBorder="1" applyAlignment="1">
      <alignment horizontal="center"/>
    </xf>
    <xf numFmtId="193" fontId="73" fillId="33" borderId="17" xfId="48" applyNumberFormat="1" applyFont="1" applyFill="1" applyBorder="1" applyAlignment="1">
      <alignment horizontal="center"/>
    </xf>
    <xf numFmtId="193" fontId="73" fillId="33" borderId="26" xfId="48" applyNumberFormat="1" applyFont="1" applyFill="1" applyBorder="1" applyAlignment="1">
      <alignment horizontal="center"/>
    </xf>
    <xf numFmtId="0" fontId="72" fillId="33" borderId="26" xfId="0" applyFont="1" applyFill="1" applyBorder="1" applyAlignment="1">
      <alignment/>
    </xf>
    <xf numFmtId="1" fontId="73" fillId="33" borderId="11" xfId="0" applyNumberFormat="1" applyFont="1" applyFill="1" applyBorder="1" applyAlignment="1">
      <alignment horizontal="center"/>
    </xf>
    <xf numFmtId="1" fontId="73" fillId="33" borderId="10" xfId="0" applyNumberFormat="1" applyFont="1" applyFill="1" applyBorder="1" applyAlignment="1">
      <alignment horizontal="center"/>
    </xf>
    <xf numFmtId="170" fontId="73" fillId="33" borderId="11" xfId="50" applyNumberFormat="1" applyFont="1" applyFill="1" applyBorder="1" applyAlignment="1">
      <alignment horizontal="center"/>
    </xf>
    <xf numFmtId="170" fontId="73" fillId="33" borderId="10" xfId="50" applyNumberFormat="1" applyFont="1" applyFill="1" applyBorder="1" applyAlignment="1">
      <alignment horizontal="center"/>
    </xf>
    <xf numFmtId="170" fontId="73" fillId="33" borderId="38" xfId="0" applyNumberFormat="1" applyFont="1" applyFill="1" applyBorder="1" applyAlignment="1">
      <alignment horizontal="center"/>
    </xf>
    <xf numFmtId="170" fontId="73" fillId="33" borderId="16" xfId="0" applyNumberFormat="1" applyFont="1" applyFill="1" applyBorder="1" applyAlignment="1">
      <alignment horizontal="center"/>
    </xf>
    <xf numFmtId="170" fontId="73" fillId="33" borderId="17" xfId="0" applyNumberFormat="1" applyFont="1" applyFill="1" applyBorder="1" applyAlignment="1">
      <alignment horizontal="center"/>
    </xf>
    <xf numFmtId="170" fontId="73" fillId="33" borderId="0" xfId="50" applyFont="1" applyFill="1" applyAlignment="1">
      <alignment/>
    </xf>
    <xf numFmtId="170" fontId="72" fillId="33" borderId="0" xfId="50" applyFont="1" applyFill="1" applyAlignment="1">
      <alignment/>
    </xf>
    <xf numFmtId="170" fontId="94" fillId="33" borderId="0" xfId="50" applyFont="1" applyFill="1" applyAlignment="1">
      <alignment/>
    </xf>
    <xf numFmtId="170" fontId="94" fillId="33" borderId="0" xfId="0" applyNumberFormat="1" applyFont="1" applyFill="1" applyAlignment="1">
      <alignment/>
    </xf>
    <xf numFmtId="170" fontId="95" fillId="33" borderId="0" xfId="0" applyNumberFormat="1" applyFont="1" applyFill="1" applyAlignment="1">
      <alignment/>
    </xf>
    <xf numFmtId="170" fontId="95" fillId="33" borderId="0" xfId="50" applyFont="1" applyFill="1" applyAlignment="1">
      <alignment/>
    </xf>
    <xf numFmtId="10" fontId="94" fillId="33" borderId="0" xfId="54" applyNumberFormat="1" applyFont="1" applyFill="1" applyAlignment="1">
      <alignment/>
    </xf>
    <xf numFmtId="170" fontId="94" fillId="33" borderId="0" xfId="54" applyNumberFormat="1" applyFont="1" applyFill="1" applyAlignment="1">
      <alignment/>
    </xf>
    <xf numFmtId="0" fontId="97" fillId="33" borderId="0" xfId="0" applyFont="1" applyFill="1" applyAlignment="1">
      <alignment/>
    </xf>
    <xf numFmtId="10" fontId="94" fillId="33" borderId="0" xfId="0" applyNumberFormat="1" applyFont="1" applyFill="1" applyAlignment="1">
      <alignment/>
    </xf>
    <xf numFmtId="9" fontId="94" fillId="33" borderId="0" xfId="0" applyNumberFormat="1" applyFont="1" applyFill="1" applyAlignment="1">
      <alignment/>
    </xf>
    <xf numFmtId="0" fontId="98" fillId="34" borderId="11" xfId="0" applyFont="1" applyFill="1" applyBorder="1" applyAlignment="1">
      <alignment/>
    </xf>
    <xf numFmtId="10" fontId="98" fillId="34" borderId="12" xfId="54" applyNumberFormat="1" applyFont="1" applyFill="1" applyBorder="1" applyAlignment="1">
      <alignment/>
    </xf>
    <xf numFmtId="0" fontId="82" fillId="37" borderId="11" xfId="0" applyFont="1" applyFill="1" applyBorder="1" applyAlignment="1">
      <alignment horizontal="center"/>
    </xf>
    <xf numFmtId="0" fontId="82" fillId="37" borderId="12" xfId="0" applyFont="1" applyFill="1" applyBorder="1" applyAlignment="1">
      <alignment horizontal="center"/>
    </xf>
    <xf numFmtId="0" fontId="72" fillId="0" borderId="11" xfId="0" applyFont="1" applyBorder="1" applyAlignment="1">
      <alignment horizontal="center"/>
    </xf>
    <xf numFmtId="0" fontId="72" fillId="0" borderId="34" xfId="0" applyFont="1" applyBorder="1" applyAlignment="1">
      <alignment horizontal="center"/>
    </xf>
    <xf numFmtId="0" fontId="72" fillId="0" borderId="12" xfId="0" applyFont="1" applyBorder="1" applyAlignment="1">
      <alignment horizontal="center"/>
    </xf>
    <xf numFmtId="0" fontId="79" fillId="0" borderId="11" xfId="0" applyFont="1" applyBorder="1" applyAlignment="1">
      <alignment horizontal="center"/>
    </xf>
    <xf numFmtId="0" fontId="79" fillId="0" borderId="34" xfId="0" applyFont="1" applyBorder="1" applyAlignment="1">
      <alignment horizontal="center"/>
    </xf>
    <xf numFmtId="0" fontId="79" fillId="0" borderId="12" xfId="0" applyFont="1" applyBorder="1" applyAlignment="1">
      <alignment horizontal="center"/>
    </xf>
    <xf numFmtId="0" fontId="79" fillId="0" borderId="0" xfId="0" applyFont="1" applyBorder="1" applyAlignment="1">
      <alignment horizontal="center"/>
    </xf>
    <xf numFmtId="0" fontId="77" fillId="0" borderId="11" xfId="0" applyFont="1" applyBorder="1" applyAlignment="1">
      <alignment horizontal="center"/>
    </xf>
    <xf numFmtId="0" fontId="77" fillId="0" borderId="34" xfId="0" applyFont="1" applyBorder="1" applyAlignment="1">
      <alignment horizontal="center"/>
    </xf>
    <xf numFmtId="0" fontId="77" fillId="0" borderId="12" xfId="0" applyFont="1" applyBorder="1" applyAlignment="1">
      <alignment horizontal="center"/>
    </xf>
    <xf numFmtId="0" fontId="77" fillId="33" borderId="11" xfId="0" applyFont="1" applyFill="1" applyBorder="1" applyAlignment="1">
      <alignment horizontal="center"/>
    </xf>
    <xf numFmtId="0" fontId="77" fillId="33" borderId="34" xfId="0" applyFont="1" applyFill="1" applyBorder="1" applyAlignment="1">
      <alignment horizontal="center"/>
    </xf>
    <xf numFmtId="0" fontId="77" fillId="33" borderId="12" xfId="0" applyFont="1" applyFill="1" applyBorder="1" applyAlignment="1">
      <alignment horizontal="center"/>
    </xf>
    <xf numFmtId="0" fontId="77" fillId="0" borderId="36" xfId="0" applyFont="1" applyBorder="1" applyAlignment="1">
      <alignment horizontal="center" wrapText="1"/>
    </xf>
    <xf numFmtId="0" fontId="77" fillId="0" borderId="18" xfId="0" applyFont="1" applyBorder="1" applyAlignment="1">
      <alignment horizontal="center" wrapText="1"/>
    </xf>
    <xf numFmtId="0" fontId="77" fillId="0" borderId="38" xfId="0" applyFont="1" applyBorder="1" applyAlignment="1">
      <alignment horizontal="center" wrapText="1"/>
    </xf>
    <xf numFmtId="0" fontId="78" fillId="33" borderId="11" xfId="0" applyFont="1" applyFill="1" applyBorder="1" applyAlignment="1">
      <alignment horizontal="center"/>
    </xf>
    <xf numFmtId="0" fontId="78" fillId="33" borderId="34" xfId="0" applyFont="1" applyFill="1" applyBorder="1" applyAlignment="1">
      <alignment horizontal="center"/>
    </xf>
    <xf numFmtId="0" fontId="78" fillId="33" borderId="12" xfId="0" applyFont="1" applyFill="1" applyBorder="1" applyAlignment="1">
      <alignment horizontal="center"/>
    </xf>
    <xf numFmtId="177" fontId="72" fillId="33" borderId="11" xfId="0" applyNumberFormat="1" applyFont="1" applyFill="1" applyBorder="1" applyAlignment="1">
      <alignment horizontal="center"/>
    </xf>
    <xf numFmtId="177" fontId="72" fillId="33" borderId="34" xfId="0" applyNumberFormat="1" applyFont="1" applyFill="1" applyBorder="1" applyAlignment="1">
      <alignment horizontal="center"/>
    </xf>
    <xf numFmtId="177" fontId="72" fillId="33" borderId="12" xfId="0" applyNumberFormat="1" applyFont="1" applyFill="1" applyBorder="1" applyAlignment="1">
      <alignment horizontal="center"/>
    </xf>
    <xf numFmtId="0" fontId="71" fillId="33" borderId="11" xfId="0" applyFont="1" applyFill="1" applyBorder="1" applyAlignment="1">
      <alignment horizontal="center"/>
    </xf>
    <xf numFmtId="0" fontId="71" fillId="33" borderId="34" xfId="0" applyFont="1" applyFill="1" applyBorder="1" applyAlignment="1">
      <alignment horizontal="center"/>
    </xf>
    <xf numFmtId="0" fontId="71" fillId="33" borderId="12" xfId="0" applyFont="1" applyFill="1" applyBorder="1" applyAlignment="1">
      <alignment horizontal="center"/>
    </xf>
    <xf numFmtId="0" fontId="74" fillId="0" borderId="19" xfId="0" applyFont="1" applyBorder="1" applyAlignment="1">
      <alignment horizontal="center"/>
    </xf>
    <xf numFmtId="0" fontId="82" fillId="33" borderId="11" xfId="0" applyFont="1" applyFill="1" applyBorder="1" applyAlignment="1">
      <alignment horizontal="center"/>
    </xf>
    <xf numFmtId="0" fontId="82" fillId="33" borderId="34" xfId="0" applyFont="1" applyFill="1" applyBorder="1" applyAlignment="1">
      <alignment horizontal="center"/>
    </xf>
    <xf numFmtId="0" fontId="82" fillId="33" borderId="12" xfId="0" applyFont="1" applyFill="1" applyBorder="1" applyAlignment="1">
      <alignment horizontal="center"/>
    </xf>
    <xf numFmtId="0" fontId="79" fillId="33" borderId="11" xfId="0" applyNumberFormat="1" applyFont="1" applyFill="1" applyBorder="1" applyAlignment="1">
      <alignment horizontal="center"/>
    </xf>
    <xf numFmtId="0" fontId="79" fillId="33" borderId="34" xfId="0" applyNumberFormat="1" applyFont="1" applyFill="1" applyBorder="1" applyAlignment="1">
      <alignment horizontal="center"/>
    </xf>
    <xf numFmtId="0" fontId="79" fillId="33" borderId="12" xfId="0" applyNumberFormat="1" applyFont="1" applyFill="1" applyBorder="1" applyAlignment="1">
      <alignment horizontal="center"/>
    </xf>
    <xf numFmtId="0" fontId="75" fillId="0" borderId="11" xfId="0" applyFont="1" applyBorder="1" applyAlignment="1">
      <alignment horizontal="center"/>
    </xf>
    <xf numFmtId="0" fontId="75" fillId="0" borderId="34" xfId="0" applyFont="1" applyBorder="1" applyAlignment="1">
      <alignment horizontal="center"/>
    </xf>
    <xf numFmtId="0" fontId="75" fillId="0" borderId="12" xfId="0" applyFont="1" applyBorder="1" applyAlignment="1">
      <alignment horizontal="center"/>
    </xf>
    <xf numFmtId="0" fontId="99" fillId="33" borderId="11" xfId="0" applyFont="1" applyFill="1" applyBorder="1" applyAlignment="1">
      <alignment horizontal="center"/>
    </xf>
    <xf numFmtId="0" fontId="99" fillId="33" borderId="34" xfId="0" applyFont="1" applyFill="1" applyBorder="1" applyAlignment="1">
      <alignment horizontal="center"/>
    </xf>
    <xf numFmtId="0" fontId="99" fillId="33" borderId="12" xfId="0" applyFont="1" applyFill="1" applyBorder="1" applyAlignment="1">
      <alignment horizontal="center"/>
    </xf>
    <xf numFmtId="0" fontId="91" fillId="33" borderId="11" xfId="0" applyFont="1" applyFill="1" applyBorder="1" applyAlignment="1">
      <alignment horizontal="center"/>
    </xf>
    <xf numFmtId="0" fontId="91" fillId="33" borderId="34" xfId="0" applyFont="1" applyFill="1" applyBorder="1" applyAlignment="1">
      <alignment horizontal="center"/>
    </xf>
    <xf numFmtId="0" fontId="91" fillId="33" borderId="12" xfId="0" applyFont="1" applyFill="1" applyBorder="1" applyAlignment="1">
      <alignment horizontal="center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Relationship Id="rId5" Type="http://schemas.openxmlformats.org/officeDocument/2006/relationships/image" Target="../media/image10.png" /><Relationship Id="rId6" Type="http://schemas.openxmlformats.org/officeDocument/2006/relationships/image" Target="../media/image11.png" /><Relationship Id="rId7" Type="http://schemas.openxmlformats.org/officeDocument/2006/relationships/image" Target="../media/image12.png" /><Relationship Id="rId8" Type="http://schemas.openxmlformats.org/officeDocument/2006/relationships/image" Target="../media/image13.png" /><Relationship Id="rId9" Type="http://schemas.openxmlformats.org/officeDocument/2006/relationships/image" Target="../media/image14.png" /><Relationship Id="rId10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161925</xdr:rowOff>
    </xdr:from>
    <xdr:to>
      <xdr:col>2</xdr:col>
      <xdr:colOff>1114425</xdr:colOff>
      <xdr:row>13</xdr:row>
      <xdr:rowOff>142875</xdr:rowOff>
    </xdr:to>
    <xdr:pic>
      <xdr:nvPicPr>
        <xdr:cNvPr id="1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61925"/>
          <a:ext cx="26384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342900</xdr:colOff>
      <xdr:row>1</xdr:row>
      <xdr:rowOff>9525</xdr:rowOff>
    </xdr:from>
    <xdr:to>
      <xdr:col>27</xdr:col>
      <xdr:colOff>438150</xdr:colOff>
      <xdr:row>12</xdr:row>
      <xdr:rowOff>57150</xdr:rowOff>
    </xdr:to>
    <xdr:pic>
      <xdr:nvPicPr>
        <xdr:cNvPr id="2" name="Picture 1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88450" y="190500"/>
          <a:ext cx="31432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952500</xdr:colOff>
      <xdr:row>29</xdr:row>
      <xdr:rowOff>123825</xdr:rowOff>
    </xdr:from>
    <xdr:to>
      <xdr:col>2</xdr:col>
      <xdr:colOff>1047750</xdr:colOff>
      <xdr:row>30</xdr:row>
      <xdr:rowOff>85725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2838450" y="5457825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962025</xdr:colOff>
      <xdr:row>53</xdr:row>
      <xdr:rowOff>123825</xdr:rowOff>
    </xdr:from>
    <xdr:to>
      <xdr:col>3</xdr:col>
      <xdr:colOff>66675</xdr:colOff>
      <xdr:row>54</xdr:row>
      <xdr:rowOff>95250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2847975" y="9877425"/>
          <a:ext cx="238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CB_Block_7.0.0.0: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CB_000000000000000000000000000000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CB_000000000000000000000000000000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" name="CB_Block_7.3.0.0: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7" name="CB_Block_7.0.0.0: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" name="CB_Block_7.3.0.0: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CB_000000000000000000000000000000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CB_Block_7.0.0.0: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42</xdr:row>
      <xdr:rowOff>85725</xdr:rowOff>
    </xdr:from>
    <xdr:to>
      <xdr:col>4</xdr:col>
      <xdr:colOff>638175</xdr:colOff>
      <xdr:row>54</xdr:row>
      <xdr:rowOff>85725</xdr:rowOff>
    </xdr:to>
    <xdr:pic>
      <xdr:nvPicPr>
        <xdr:cNvPr id="1" name="1 Imagen" descr="tmpA1.t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1450" y="8086725"/>
          <a:ext cx="351472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</xdr:row>
      <xdr:rowOff>9525</xdr:rowOff>
    </xdr:from>
    <xdr:to>
      <xdr:col>8</xdr:col>
      <xdr:colOff>733425</xdr:colOff>
      <xdr:row>102</xdr:row>
      <xdr:rowOff>123825</xdr:rowOff>
    </xdr:to>
    <xdr:pic>
      <xdr:nvPicPr>
        <xdr:cNvPr id="2" name="2 Imagen" descr="tmpA1.tm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543550" y="18488025"/>
          <a:ext cx="14954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</xdr:row>
      <xdr:rowOff>161925</xdr:rowOff>
    </xdr:from>
    <xdr:to>
      <xdr:col>8</xdr:col>
      <xdr:colOff>733425</xdr:colOff>
      <xdr:row>114</xdr:row>
      <xdr:rowOff>114300</xdr:rowOff>
    </xdr:to>
    <xdr:pic>
      <xdr:nvPicPr>
        <xdr:cNvPr id="3" name="3 Imagen" descr="tmpA1.tmp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543550" y="20735925"/>
          <a:ext cx="14954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</xdr:row>
      <xdr:rowOff>0</xdr:rowOff>
    </xdr:from>
    <xdr:to>
      <xdr:col>8</xdr:col>
      <xdr:colOff>733425</xdr:colOff>
      <xdr:row>126</xdr:row>
      <xdr:rowOff>114300</xdr:rowOff>
    </xdr:to>
    <xdr:pic>
      <xdr:nvPicPr>
        <xdr:cNvPr id="4" name="4 Imagen" descr="tmpA1.tmp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5543550" y="23050500"/>
          <a:ext cx="14954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8</xdr:col>
      <xdr:colOff>733425</xdr:colOff>
      <xdr:row>138</xdr:row>
      <xdr:rowOff>114300</xdr:rowOff>
    </xdr:to>
    <xdr:pic>
      <xdr:nvPicPr>
        <xdr:cNvPr id="5" name="5 Imagen" descr="tmpA1.tm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543550" y="25336500"/>
          <a:ext cx="14954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</xdr:row>
      <xdr:rowOff>0</xdr:rowOff>
    </xdr:from>
    <xdr:to>
      <xdr:col>8</xdr:col>
      <xdr:colOff>733425</xdr:colOff>
      <xdr:row>150</xdr:row>
      <xdr:rowOff>123825</xdr:rowOff>
    </xdr:to>
    <xdr:pic>
      <xdr:nvPicPr>
        <xdr:cNvPr id="6" name="6 Imagen" descr="tmpA1.tmp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5543550" y="27622500"/>
          <a:ext cx="1495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9525</xdr:rowOff>
    </xdr:from>
    <xdr:to>
      <xdr:col>8</xdr:col>
      <xdr:colOff>733425</xdr:colOff>
      <xdr:row>162</xdr:row>
      <xdr:rowOff>123825</xdr:rowOff>
    </xdr:to>
    <xdr:pic>
      <xdr:nvPicPr>
        <xdr:cNvPr id="7" name="7 Imagen" descr="tmpA1.tmp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5543550" y="29918025"/>
          <a:ext cx="14954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</xdr:row>
      <xdr:rowOff>161925</xdr:rowOff>
    </xdr:from>
    <xdr:to>
      <xdr:col>8</xdr:col>
      <xdr:colOff>733425</xdr:colOff>
      <xdr:row>174</xdr:row>
      <xdr:rowOff>114300</xdr:rowOff>
    </xdr:to>
    <xdr:pic>
      <xdr:nvPicPr>
        <xdr:cNvPr id="8" name="8 Imagen" descr="tmpA1.tmp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5543550" y="32165925"/>
          <a:ext cx="14954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178</xdr:row>
      <xdr:rowOff>142875</xdr:rowOff>
    </xdr:from>
    <xdr:to>
      <xdr:col>4</xdr:col>
      <xdr:colOff>571500</xdr:colOff>
      <xdr:row>189</xdr:row>
      <xdr:rowOff>161925</xdr:rowOff>
    </xdr:to>
    <xdr:pic>
      <xdr:nvPicPr>
        <xdr:cNvPr id="9" name="11 Imagen" descr="tmpA1.tmp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66700" y="34051875"/>
          <a:ext cx="335280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42</xdr:row>
      <xdr:rowOff>76200</xdr:rowOff>
    </xdr:from>
    <xdr:to>
      <xdr:col>12</xdr:col>
      <xdr:colOff>38100</xdr:colOff>
      <xdr:row>55</xdr:row>
      <xdr:rowOff>76200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0000" y="8077200"/>
          <a:ext cx="5581650" cy="2476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I6" sqref="I6"/>
    </sheetView>
  </sheetViews>
  <sheetFormatPr defaultColWidth="11.421875" defaultRowHeight="15"/>
  <cols>
    <col min="3" max="3" width="16.28125" style="0" bestFit="1" customWidth="1"/>
    <col min="6" max="6" width="14.140625" style="0" bestFit="1" customWidth="1"/>
  </cols>
  <sheetData>
    <row r="1" spans="1:7" ht="15.75" thickBot="1">
      <c r="A1" s="195"/>
      <c r="B1" s="195"/>
      <c r="C1" s="195"/>
      <c r="D1" s="195"/>
      <c r="E1" s="195"/>
      <c r="F1" s="195"/>
      <c r="G1" s="195"/>
    </row>
    <row r="2" spans="1:7" ht="15.75" thickBot="1">
      <c r="A2" s="195"/>
      <c r="B2" s="242" t="s">
        <v>122</v>
      </c>
      <c r="C2" s="243"/>
      <c r="D2" s="195"/>
      <c r="E2" s="242" t="s">
        <v>137</v>
      </c>
      <c r="F2" s="243"/>
      <c r="G2" s="195"/>
    </row>
    <row r="3" spans="1:7" ht="15">
      <c r="A3" s="195"/>
      <c r="B3" s="196" t="s">
        <v>123</v>
      </c>
      <c r="C3" s="196" t="s">
        <v>124</v>
      </c>
      <c r="D3" s="195"/>
      <c r="E3" s="196" t="s">
        <v>138</v>
      </c>
      <c r="F3" s="196" t="s">
        <v>321</v>
      </c>
      <c r="G3" s="195"/>
    </row>
    <row r="4" spans="1:7" ht="15">
      <c r="A4" s="195"/>
      <c r="B4" s="196" t="s">
        <v>125</v>
      </c>
      <c r="C4" s="196" t="s">
        <v>126</v>
      </c>
      <c r="D4" s="195"/>
      <c r="E4" s="196" t="s">
        <v>139</v>
      </c>
      <c r="F4" s="196" t="s">
        <v>140</v>
      </c>
      <c r="G4" s="195"/>
    </row>
    <row r="5" spans="1:7" ht="15">
      <c r="A5" s="195"/>
      <c r="B5" s="196" t="s">
        <v>127</v>
      </c>
      <c r="C5" s="196" t="s">
        <v>128</v>
      </c>
      <c r="D5" s="195"/>
      <c r="E5" s="196" t="s">
        <v>145</v>
      </c>
      <c r="F5" s="196" t="s">
        <v>146</v>
      </c>
      <c r="G5" s="195"/>
    </row>
    <row r="6" spans="1:7" ht="15">
      <c r="A6" s="195"/>
      <c r="B6" s="196" t="s">
        <v>129</v>
      </c>
      <c r="C6" s="196" t="s">
        <v>130</v>
      </c>
      <c r="D6" s="195"/>
      <c r="E6" s="196"/>
      <c r="F6" s="196"/>
      <c r="G6" s="195"/>
    </row>
    <row r="7" spans="1:7" ht="15.75" thickBot="1">
      <c r="A7" s="195"/>
      <c r="B7" s="196"/>
      <c r="C7" s="196"/>
      <c r="D7" s="195"/>
      <c r="E7" s="196"/>
      <c r="F7" s="196"/>
      <c r="G7" s="195"/>
    </row>
    <row r="8" spans="1:7" ht="15.75" thickBot="1">
      <c r="A8" s="195"/>
      <c r="B8" s="242" t="s">
        <v>131</v>
      </c>
      <c r="C8" s="243"/>
      <c r="D8" s="195"/>
      <c r="E8" s="242" t="s">
        <v>131</v>
      </c>
      <c r="F8" s="243"/>
      <c r="G8" s="195"/>
    </row>
    <row r="9" spans="1:7" ht="15">
      <c r="A9" s="195"/>
      <c r="B9" s="196" t="s">
        <v>132</v>
      </c>
      <c r="C9" s="196">
        <v>2.2</v>
      </c>
      <c r="D9" s="195"/>
      <c r="E9" s="196" t="s">
        <v>142</v>
      </c>
      <c r="F9" s="196" t="s">
        <v>141</v>
      </c>
      <c r="G9" s="195"/>
    </row>
    <row r="10" spans="1:7" ht="15">
      <c r="A10" s="195"/>
      <c r="B10" s="196" t="s">
        <v>133</v>
      </c>
      <c r="C10" s="196">
        <v>0.4539</v>
      </c>
      <c r="D10" s="195"/>
      <c r="E10" s="196" t="s">
        <v>144</v>
      </c>
      <c r="F10" s="196" t="s">
        <v>147</v>
      </c>
      <c r="G10" s="195"/>
    </row>
    <row r="11" spans="1:7" ht="15">
      <c r="A11" s="195"/>
      <c r="B11" s="196" t="s">
        <v>134</v>
      </c>
      <c r="C11" s="196">
        <v>907</v>
      </c>
      <c r="D11" s="195"/>
      <c r="E11" s="196"/>
      <c r="F11" s="196"/>
      <c r="G11" s="195"/>
    </row>
    <row r="12" spans="1:7" ht="15">
      <c r="A12" s="195"/>
      <c r="B12" s="196" t="s">
        <v>135</v>
      </c>
      <c r="C12" s="196">
        <v>1000</v>
      </c>
      <c r="D12" s="195"/>
      <c r="E12" s="196"/>
      <c r="F12" s="196"/>
      <c r="G12" s="195"/>
    </row>
    <row r="13" spans="1:7" ht="15">
      <c r="A13" s="195"/>
      <c r="B13" s="196" t="s">
        <v>136</v>
      </c>
      <c r="C13" s="196">
        <v>1.1</v>
      </c>
      <c r="D13" s="195"/>
      <c r="E13" s="196"/>
      <c r="F13" s="196"/>
      <c r="G13" s="195"/>
    </row>
    <row r="14" spans="1:7" ht="15">
      <c r="A14" s="195"/>
      <c r="B14" s="195"/>
      <c r="C14" s="195"/>
      <c r="D14" s="195"/>
      <c r="E14" s="195"/>
      <c r="F14" s="195"/>
      <c r="G14" s="195"/>
    </row>
    <row r="15" spans="1:7" ht="15">
      <c r="A15" s="195"/>
      <c r="B15" s="195"/>
      <c r="C15" s="195"/>
      <c r="D15" s="195"/>
      <c r="E15" s="195"/>
      <c r="F15" s="195"/>
      <c r="G15" s="195"/>
    </row>
    <row r="16" spans="1:7" ht="15">
      <c r="A16" s="195"/>
      <c r="B16" s="195"/>
      <c r="C16" s="195"/>
      <c r="D16" s="195"/>
      <c r="E16" s="195"/>
      <c r="F16" s="195"/>
      <c r="G16" s="195"/>
    </row>
  </sheetData>
  <sheetProtection/>
  <mergeCells count="4">
    <mergeCell ref="B2:C2"/>
    <mergeCell ref="B8:C8"/>
    <mergeCell ref="E2:F2"/>
    <mergeCell ref="E8:F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J12"/>
  <sheetViews>
    <sheetView zoomScalePageLayoutView="0" workbookViewId="0" topLeftCell="A1">
      <selection activeCell="H5" sqref="H5"/>
    </sheetView>
  </sheetViews>
  <sheetFormatPr defaultColWidth="11.421875" defaultRowHeight="15"/>
  <cols>
    <col min="3" max="3" width="13.7109375" style="0" bestFit="1" customWidth="1"/>
    <col min="4" max="4" width="10.8515625" style="0" customWidth="1"/>
    <col min="7" max="7" width="13.8515625" style="0" bestFit="1" customWidth="1"/>
    <col min="9" max="9" width="24.28125" style="0" bestFit="1" customWidth="1"/>
    <col min="10" max="10" width="7.8515625" style="0" customWidth="1"/>
  </cols>
  <sheetData>
    <row r="1" ht="15.75" thickBot="1"/>
    <row r="2" spans="2:7" ht="15.75" thickBot="1">
      <c r="B2" s="276" t="s">
        <v>217</v>
      </c>
      <c r="C2" s="277"/>
      <c r="D2" s="277"/>
      <c r="E2" s="277"/>
      <c r="F2" s="277"/>
      <c r="G2" s="278"/>
    </row>
    <row r="3" spans="2:10" ht="15.75" thickBot="1">
      <c r="B3" s="30" t="s">
        <v>200</v>
      </c>
      <c r="C3" s="30" t="s">
        <v>218</v>
      </c>
      <c r="D3" s="30" t="s">
        <v>219</v>
      </c>
      <c r="E3" s="30" t="s">
        <v>220</v>
      </c>
      <c r="F3" s="30" t="s">
        <v>221</v>
      </c>
      <c r="G3" s="30" t="s">
        <v>222</v>
      </c>
      <c r="I3" s="46" t="s">
        <v>297</v>
      </c>
      <c r="J3" s="59">
        <f>+TE</f>
        <v>0.08</v>
      </c>
    </row>
    <row r="4" spans="2:7" ht="15">
      <c r="B4" s="29"/>
      <c r="C4" s="29"/>
      <c r="D4" s="29"/>
      <c r="E4" s="29"/>
      <c r="F4" s="29"/>
      <c r="G4" s="29"/>
    </row>
    <row r="5" spans="2:9" ht="15">
      <c r="B5" s="33">
        <v>0</v>
      </c>
      <c r="C5" s="58"/>
      <c r="D5" s="58"/>
      <c r="E5" s="58"/>
      <c r="F5" s="58"/>
      <c r="G5" s="58">
        <f>'Inversion Inicial'!D21</f>
        <v>9797.95</v>
      </c>
      <c r="I5" s="36">
        <f>PMT(J3,4,G5)</f>
        <v>-2958.204946000453</v>
      </c>
    </row>
    <row r="6" spans="2:7" ht="15">
      <c r="B6" s="33">
        <v>2009</v>
      </c>
      <c r="C6" s="58">
        <f>+G5</f>
        <v>9797.95</v>
      </c>
      <c r="D6" s="58">
        <v>0</v>
      </c>
      <c r="E6" s="58">
        <v>0</v>
      </c>
      <c r="F6" s="58">
        <v>0</v>
      </c>
      <c r="G6" s="58">
        <f>+C6-E6</f>
        <v>9797.95</v>
      </c>
    </row>
    <row r="7" spans="2:7" ht="15">
      <c r="B7" s="33">
        <v>2010</v>
      </c>
      <c r="C7" s="58">
        <f>+G6</f>
        <v>9797.95</v>
      </c>
      <c r="D7" s="58">
        <f>C7*$J$3</f>
        <v>783.8360000000001</v>
      </c>
      <c r="E7" s="58">
        <f>F7-D7</f>
        <v>2174.368946000453</v>
      </c>
      <c r="F7" s="58">
        <f>-I5</f>
        <v>2958.204946000453</v>
      </c>
      <c r="G7" s="58">
        <f>+C7-E7</f>
        <v>7623.581053999547</v>
      </c>
    </row>
    <row r="8" spans="2:7" ht="15">
      <c r="B8" s="33">
        <v>2011</v>
      </c>
      <c r="C8" s="58">
        <f>+G7</f>
        <v>7623.581053999547</v>
      </c>
      <c r="D8" s="58">
        <f>C8*$J$3</f>
        <v>609.8864843199638</v>
      </c>
      <c r="E8" s="58">
        <f>F8-D8</f>
        <v>2348.3184616804892</v>
      </c>
      <c r="F8" s="58">
        <f>+F7</f>
        <v>2958.204946000453</v>
      </c>
      <c r="G8" s="58">
        <f>+C8-E8</f>
        <v>5275.262592319058</v>
      </c>
    </row>
    <row r="9" spans="2:7" ht="15">
      <c r="B9" s="33">
        <v>2012</v>
      </c>
      <c r="C9" s="58">
        <f>+G8</f>
        <v>5275.262592319058</v>
      </c>
      <c r="D9" s="58">
        <f>C9*$J$3</f>
        <v>422.0210073855246</v>
      </c>
      <c r="E9" s="58">
        <f>F9-D9</f>
        <v>2536.1839386149286</v>
      </c>
      <c r="F9" s="58">
        <f>+F8</f>
        <v>2958.204946000453</v>
      </c>
      <c r="G9" s="58">
        <f>+C9-E9</f>
        <v>2739.0786537041295</v>
      </c>
    </row>
    <row r="10" spans="2:7" ht="15">
      <c r="B10" s="33">
        <v>2013</v>
      </c>
      <c r="C10" s="58">
        <f>+G9</f>
        <v>2739.0786537041295</v>
      </c>
      <c r="D10" s="58">
        <f>C10*$J$3</f>
        <v>219.12629229633035</v>
      </c>
      <c r="E10" s="58">
        <f>F10-D10</f>
        <v>2739.078653704123</v>
      </c>
      <c r="F10" s="58">
        <f>+F9</f>
        <v>2958.204946000453</v>
      </c>
      <c r="G10" s="58">
        <f>+C10-E10</f>
        <v>6.366462912410498E-12</v>
      </c>
    </row>
    <row r="11" spans="2:7" ht="15">
      <c r="B11" s="6" t="s">
        <v>449</v>
      </c>
      <c r="C11" s="34"/>
      <c r="D11" s="34"/>
      <c r="E11" s="34"/>
      <c r="F11" s="34"/>
      <c r="G11" s="34"/>
    </row>
    <row r="12" ht="15">
      <c r="B12" s="6" t="s">
        <v>450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D9"/>
  <sheetViews>
    <sheetView zoomScalePageLayoutView="0" workbookViewId="0" topLeftCell="A1">
      <selection activeCell="D8" sqref="D8"/>
    </sheetView>
  </sheetViews>
  <sheetFormatPr defaultColWidth="11.421875" defaultRowHeight="15"/>
  <cols>
    <col min="1" max="1" width="11.421875" style="19" customWidth="1"/>
    <col min="2" max="2" width="39.421875" style="19" bestFit="1" customWidth="1"/>
    <col min="3" max="3" width="30.140625" style="19" bestFit="1" customWidth="1"/>
    <col min="4" max="16384" width="11.421875" style="19" customWidth="1"/>
  </cols>
  <sheetData>
    <row r="1" spans="2:4" ht="12.75">
      <c r="B1" s="31" t="s">
        <v>266</v>
      </c>
      <c r="C1" s="31" t="s">
        <v>267</v>
      </c>
      <c r="D1" s="31" t="s">
        <v>269</v>
      </c>
    </row>
    <row r="2" spans="2:4" ht="12.75">
      <c r="B2" s="19" t="s">
        <v>392</v>
      </c>
      <c r="C2" s="19" t="s">
        <v>268</v>
      </c>
      <c r="D2" s="19">
        <v>0.53</v>
      </c>
    </row>
    <row r="3" spans="2:4" ht="12.75">
      <c r="B3" s="19" t="s">
        <v>270</v>
      </c>
      <c r="C3" s="19" t="s">
        <v>268</v>
      </c>
      <c r="D3" s="56">
        <v>0.0338</v>
      </c>
    </row>
    <row r="4" spans="2:4" ht="12.75">
      <c r="B4" s="19" t="s">
        <v>271</v>
      </c>
      <c r="C4" s="19" t="s">
        <v>272</v>
      </c>
      <c r="D4" s="56">
        <v>0.084</v>
      </c>
    </row>
    <row r="5" spans="2:4" ht="12.75">
      <c r="B5" s="19" t="s">
        <v>351</v>
      </c>
      <c r="C5" s="19" t="s">
        <v>273</v>
      </c>
      <c r="D5" s="56">
        <v>0.116</v>
      </c>
    </row>
    <row r="6" ht="12.75">
      <c r="D6" s="56"/>
    </row>
    <row r="8" spans="2:4" ht="12.75">
      <c r="B8" s="19" t="s">
        <v>274</v>
      </c>
      <c r="D8" s="57">
        <f>D3+(D4*D2)</f>
        <v>0.07832</v>
      </c>
    </row>
    <row r="9" spans="2:4" ht="12.75">
      <c r="B9" s="19" t="s">
        <v>352</v>
      </c>
      <c r="D9" s="56">
        <f>D8+D5</f>
        <v>0.19432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6"/>
  <sheetViews>
    <sheetView zoomScale="82" zoomScaleNormal="82" zoomScalePageLayoutView="0" workbookViewId="0" topLeftCell="A1">
      <selection activeCell="B2" sqref="B2:N2"/>
    </sheetView>
  </sheetViews>
  <sheetFormatPr defaultColWidth="11.421875" defaultRowHeight="15"/>
  <cols>
    <col min="1" max="1" width="2.57421875" style="0" customWidth="1"/>
    <col min="2" max="2" width="25.8515625" style="0" customWidth="1"/>
    <col min="3" max="3" width="4.8515625" style="0" bestFit="1" customWidth="1"/>
    <col min="4" max="4" width="11.140625" style="0" bestFit="1" customWidth="1"/>
    <col min="6" max="6" width="10.140625" style="0" bestFit="1" customWidth="1"/>
    <col min="7" max="7" width="9.00390625" style="0" customWidth="1"/>
    <col min="8" max="8" width="11.140625" style="0" bestFit="1" customWidth="1"/>
    <col min="9" max="9" width="12.00390625" style="0" bestFit="1" customWidth="1"/>
    <col min="10" max="10" width="12.57421875" style="0" bestFit="1" customWidth="1"/>
    <col min="14" max="14" width="12.57421875" style="0" bestFit="1" customWidth="1"/>
  </cols>
  <sheetData>
    <row r="1" spans="1:15" ht="15.75" thickBo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ht="15.75" thickBot="1">
      <c r="A2" s="88"/>
      <c r="B2" s="279" t="s">
        <v>178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1"/>
      <c r="O2" s="88"/>
    </row>
    <row r="3" spans="1:15" ht="39" thickBot="1">
      <c r="A3" s="88"/>
      <c r="B3" s="116" t="s">
        <v>179</v>
      </c>
      <c r="C3" s="116" t="s">
        <v>180</v>
      </c>
      <c r="D3" s="116" t="s">
        <v>181</v>
      </c>
      <c r="E3" s="116" t="s">
        <v>182</v>
      </c>
      <c r="F3" s="116" t="s">
        <v>183</v>
      </c>
      <c r="G3" s="116" t="s">
        <v>184</v>
      </c>
      <c r="H3" s="116" t="s">
        <v>185</v>
      </c>
      <c r="I3" s="116" t="s">
        <v>186</v>
      </c>
      <c r="J3" s="116" t="s">
        <v>187</v>
      </c>
      <c r="K3" s="116" t="s">
        <v>188</v>
      </c>
      <c r="L3" s="116" t="s">
        <v>189</v>
      </c>
      <c r="M3" s="116" t="s">
        <v>176</v>
      </c>
      <c r="N3" s="116" t="s">
        <v>190</v>
      </c>
      <c r="O3" s="88"/>
    </row>
    <row r="4" spans="1:15" ht="15">
      <c r="A4" s="88"/>
      <c r="B4" s="117" t="s">
        <v>83</v>
      </c>
      <c r="C4" s="118">
        <v>1</v>
      </c>
      <c r="D4" s="119">
        <f>'Balance Maquinarias y Personas'!C11</f>
        <v>100</v>
      </c>
      <c r="E4" s="118">
        <v>5</v>
      </c>
      <c r="F4" s="119">
        <f aca="true" t="shared" si="0" ref="F4:F13">D4/E4</f>
        <v>20</v>
      </c>
      <c r="G4" s="118">
        <v>5</v>
      </c>
      <c r="H4" s="119">
        <f aca="true" t="shared" si="1" ref="H4:H13">F4*G4</f>
        <v>100</v>
      </c>
      <c r="I4" s="119">
        <f aca="true" t="shared" si="2" ref="I4:I13">D4-H4</f>
        <v>0</v>
      </c>
      <c r="J4" s="119">
        <v>50</v>
      </c>
      <c r="K4" s="119">
        <f aca="true" t="shared" si="3" ref="K4:K13">J4-I4</f>
        <v>50</v>
      </c>
      <c r="L4" s="119">
        <f aca="true" t="shared" si="4" ref="L4:L13">K4*0.25</f>
        <v>12.5</v>
      </c>
      <c r="M4" s="119">
        <f aca="true" t="shared" si="5" ref="M4:M13">K4-L4</f>
        <v>37.5</v>
      </c>
      <c r="N4" s="120">
        <f aca="true" t="shared" si="6" ref="N4:N13">M4+I4</f>
        <v>37.5</v>
      </c>
      <c r="O4" s="88"/>
    </row>
    <row r="5" spans="1:15" ht="15">
      <c r="A5" s="88"/>
      <c r="B5" s="117" t="s">
        <v>54</v>
      </c>
      <c r="C5" s="118">
        <v>1</v>
      </c>
      <c r="D5" s="119">
        <f>'Balance Maquinarias y Personas'!C12</f>
        <v>80</v>
      </c>
      <c r="E5" s="118">
        <v>10</v>
      </c>
      <c r="F5" s="119">
        <f t="shared" si="0"/>
        <v>8</v>
      </c>
      <c r="G5" s="118">
        <v>5</v>
      </c>
      <c r="H5" s="119">
        <f t="shared" si="1"/>
        <v>40</v>
      </c>
      <c r="I5" s="119">
        <f t="shared" si="2"/>
        <v>40</v>
      </c>
      <c r="J5" s="119">
        <v>60</v>
      </c>
      <c r="K5" s="119">
        <f t="shared" si="3"/>
        <v>20</v>
      </c>
      <c r="L5" s="119">
        <f t="shared" si="4"/>
        <v>5</v>
      </c>
      <c r="M5" s="119">
        <f t="shared" si="5"/>
        <v>15</v>
      </c>
      <c r="N5" s="120">
        <f t="shared" si="6"/>
        <v>55</v>
      </c>
      <c r="O5" s="88"/>
    </row>
    <row r="6" spans="1:15" ht="15">
      <c r="A6" s="88"/>
      <c r="B6" s="117" t="s">
        <v>49</v>
      </c>
      <c r="C6" s="118">
        <v>1</v>
      </c>
      <c r="D6" s="119">
        <f>'Balance Maquinarias y Personas'!C13</f>
        <v>350</v>
      </c>
      <c r="E6" s="118">
        <v>10</v>
      </c>
      <c r="F6" s="119">
        <f t="shared" si="0"/>
        <v>35</v>
      </c>
      <c r="G6" s="118">
        <v>5</v>
      </c>
      <c r="H6" s="119">
        <f t="shared" si="1"/>
        <v>175</v>
      </c>
      <c r="I6" s="119">
        <f t="shared" si="2"/>
        <v>175</v>
      </c>
      <c r="J6" s="119">
        <v>200</v>
      </c>
      <c r="K6" s="119">
        <f t="shared" si="3"/>
        <v>25</v>
      </c>
      <c r="L6" s="119">
        <f t="shared" si="4"/>
        <v>6.25</v>
      </c>
      <c r="M6" s="119">
        <f t="shared" si="5"/>
        <v>18.75</v>
      </c>
      <c r="N6" s="120">
        <f t="shared" si="6"/>
        <v>193.75</v>
      </c>
      <c r="O6" s="88"/>
    </row>
    <row r="7" spans="1:15" ht="15">
      <c r="A7" s="88"/>
      <c r="B7" s="117" t="s">
        <v>64</v>
      </c>
      <c r="C7" s="118">
        <v>1</v>
      </c>
      <c r="D7" s="119">
        <f>'Balance Maquinarias y Personas'!C14</f>
        <v>100</v>
      </c>
      <c r="E7" s="118">
        <v>10</v>
      </c>
      <c r="F7" s="119">
        <f t="shared" si="0"/>
        <v>10</v>
      </c>
      <c r="G7" s="118">
        <v>5</v>
      </c>
      <c r="H7" s="119">
        <f t="shared" si="1"/>
        <v>50</v>
      </c>
      <c r="I7" s="119">
        <f t="shared" si="2"/>
        <v>50</v>
      </c>
      <c r="J7" s="119">
        <v>65</v>
      </c>
      <c r="K7" s="119">
        <f t="shared" si="3"/>
        <v>15</v>
      </c>
      <c r="L7" s="119">
        <f t="shared" si="4"/>
        <v>3.75</v>
      </c>
      <c r="M7" s="119">
        <f t="shared" si="5"/>
        <v>11.25</v>
      </c>
      <c r="N7" s="120">
        <f t="shared" si="6"/>
        <v>61.25</v>
      </c>
      <c r="O7" s="88"/>
    </row>
    <row r="8" spans="1:15" ht="15">
      <c r="A8" s="88"/>
      <c r="B8" s="117" t="s">
        <v>152</v>
      </c>
      <c r="C8" s="118">
        <v>3</v>
      </c>
      <c r="D8" s="119">
        <f>150*C8</f>
        <v>450</v>
      </c>
      <c r="E8" s="118">
        <v>10</v>
      </c>
      <c r="F8" s="119">
        <f t="shared" si="0"/>
        <v>45</v>
      </c>
      <c r="G8" s="118">
        <v>5</v>
      </c>
      <c r="H8" s="119">
        <f t="shared" si="1"/>
        <v>225</v>
      </c>
      <c r="I8" s="119">
        <f t="shared" si="2"/>
        <v>225</v>
      </c>
      <c r="J8" s="119">
        <f>100*3</f>
        <v>300</v>
      </c>
      <c r="K8" s="119">
        <f t="shared" si="3"/>
        <v>75</v>
      </c>
      <c r="L8" s="119">
        <f t="shared" si="4"/>
        <v>18.75</v>
      </c>
      <c r="M8" s="119">
        <f t="shared" si="5"/>
        <v>56.25</v>
      </c>
      <c r="N8" s="120">
        <f t="shared" si="6"/>
        <v>281.25</v>
      </c>
      <c r="O8" s="88"/>
    </row>
    <row r="9" spans="1:15" ht="15">
      <c r="A9" s="88"/>
      <c r="B9" s="117" t="s">
        <v>445</v>
      </c>
      <c r="C9" s="118">
        <v>1</v>
      </c>
      <c r="D9" s="119">
        <f>'Balance Maquinarias y Personas'!C22</f>
        <v>650</v>
      </c>
      <c r="E9" s="118">
        <v>10</v>
      </c>
      <c r="F9" s="119">
        <f t="shared" si="0"/>
        <v>65</v>
      </c>
      <c r="G9" s="118">
        <v>5</v>
      </c>
      <c r="H9" s="119">
        <f t="shared" si="1"/>
        <v>325</v>
      </c>
      <c r="I9" s="119">
        <f t="shared" si="2"/>
        <v>325</v>
      </c>
      <c r="J9" s="119">
        <v>450</v>
      </c>
      <c r="K9" s="119">
        <f t="shared" si="3"/>
        <v>125</v>
      </c>
      <c r="L9" s="119">
        <f t="shared" si="4"/>
        <v>31.25</v>
      </c>
      <c r="M9" s="119">
        <f t="shared" si="5"/>
        <v>93.75</v>
      </c>
      <c r="N9" s="120">
        <f t="shared" si="6"/>
        <v>418.75</v>
      </c>
      <c r="O9" s="88"/>
    </row>
    <row r="10" spans="1:15" ht="15">
      <c r="A10" s="88"/>
      <c r="B10" s="117" t="s">
        <v>446</v>
      </c>
      <c r="C10" s="118">
        <v>1</v>
      </c>
      <c r="D10" s="119">
        <f>'Balance Maquinarias y Personas'!C23</f>
        <v>950</v>
      </c>
      <c r="E10" s="118">
        <v>10</v>
      </c>
      <c r="F10" s="119">
        <f>D10/E10</f>
        <v>95</v>
      </c>
      <c r="G10" s="118">
        <v>5</v>
      </c>
      <c r="H10" s="119">
        <f t="shared" si="1"/>
        <v>475</v>
      </c>
      <c r="I10" s="119">
        <f t="shared" si="2"/>
        <v>475</v>
      </c>
      <c r="J10" s="119">
        <v>650</v>
      </c>
      <c r="K10" s="119">
        <f t="shared" si="3"/>
        <v>175</v>
      </c>
      <c r="L10" s="119">
        <f t="shared" si="4"/>
        <v>43.75</v>
      </c>
      <c r="M10" s="119">
        <f t="shared" si="5"/>
        <v>131.25</v>
      </c>
      <c r="N10" s="120">
        <f t="shared" si="6"/>
        <v>606.25</v>
      </c>
      <c r="O10" s="88"/>
    </row>
    <row r="11" spans="1:15" ht="15">
      <c r="A11" s="88"/>
      <c r="B11" s="117" t="s">
        <v>71</v>
      </c>
      <c r="C11" s="118">
        <v>1</v>
      </c>
      <c r="D11" s="119">
        <f>'Balance Maquinarias y Personas'!C24</f>
        <v>350</v>
      </c>
      <c r="E11" s="118">
        <v>10</v>
      </c>
      <c r="F11" s="119">
        <f t="shared" si="0"/>
        <v>35</v>
      </c>
      <c r="G11" s="118">
        <v>5</v>
      </c>
      <c r="H11" s="119">
        <f t="shared" si="1"/>
        <v>175</v>
      </c>
      <c r="I11" s="119">
        <f t="shared" si="2"/>
        <v>175</v>
      </c>
      <c r="J11" s="119">
        <v>200</v>
      </c>
      <c r="K11" s="119">
        <f t="shared" si="3"/>
        <v>25</v>
      </c>
      <c r="L11" s="119">
        <f t="shared" si="4"/>
        <v>6.25</v>
      </c>
      <c r="M11" s="119">
        <f t="shared" si="5"/>
        <v>18.75</v>
      </c>
      <c r="N11" s="120">
        <f t="shared" si="6"/>
        <v>193.75</v>
      </c>
      <c r="O11" s="88"/>
    </row>
    <row r="12" spans="1:15" ht="15">
      <c r="A12" s="88"/>
      <c r="B12" s="117" t="s">
        <v>72</v>
      </c>
      <c r="C12" s="118">
        <v>1</v>
      </c>
      <c r="D12" s="119">
        <f>'Balance Maquinarias y Personas'!C25</f>
        <v>1100</v>
      </c>
      <c r="E12" s="118">
        <v>10</v>
      </c>
      <c r="F12" s="119">
        <f t="shared" si="0"/>
        <v>110</v>
      </c>
      <c r="G12" s="118">
        <v>5</v>
      </c>
      <c r="H12" s="119">
        <f t="shared" si="1"/>
        <v>550</v>
      </c>
      <c r="I12" s="119">
        <f t="shared" si="2"/>
        <v>550</v>
      </c>
      <c r="J12" s="119">
        <v>800</v>
      </c>
      <c r="K12" s="119">
        <f t="shared" si="3"/>
        <v>250</v>
      </c>
      <c r="L12" s="119">
        <f t="shared" si="4"/>
        <v>62.5</v>
      </c>
      <c r="M12" s="119">
        <f t="shared" si="5"/>
        <v>187.5</v>
      </c>
      <c r="N12" s="120">
        <f t="shared" si="6"/>
        <v>737.5</v>
      </c>
      <c r="O12" s="88"/>
    </row>
    <row r="13" spans="1:15" ht="15.75" thickBot="1">
      <c r="A13" s="88"/>
      <c r="B13" s="121" t="s">
        <v>73</v>
      </c>
      <c r="C13" s="122">
        <v>1</v>
      </c>
      <c r="D13" s="123">
        <f>'Balance Maquinarias y Personas'!C26</f>
        <v>900</v>
      </c>
      <c r="E13" s="122">
        <v>10</v>
      </c>
      <c r="F13" s="123">
        <f t="shared" si="0"/>
        <v>90</v>
      </c>
      <c r="G13" s="122">
        <v>5</v>
      </c>
      <c r="H13" s="123">
        <f t="shared" si="1"/>
        <v>450</v>
      </c>
      <c r="I13" s="123">
        <f t="shared" si="2"/>
        <v>450</v>
      </c>
      <c r="J13" s="123">
        <v>750</v>
      </c>
      <c r="K13" s="123">
        <f t="shared" si="3"/>
        <v>300</v>
      </c>
      <c r="L13" s="123">
        <f t="shared" si="4"/>
        <v>75</v>
      </c>
      <c r="M13" s="123">
        <f t="shared" si="5"/>
        <v>225</v>
      </c>
      <c r="N13" s="124">
        <f t="shared" si="6"/>
        <v>675</v>
      </c>
      <c r="O13" s="88"/>
    </row>
    <row r="14" spans="1:15" ht="15.75" thickBot="1">
      <c r="A14" s="88"/>
      <c r="B14" s="100" t="s">
        <v>80</v>
      </c>
      <c r="C14" s="125"/>
      <c r="D14" s="125"/>
      <c r="E14" s="125"/>
      <c r="F14" s="125"/>
      <c r="G14" s="125"/>
      <c r="H14" s="126"/>
      <c r="I14" s="127">
        <f>SUM(I4:I13)</f>
        <v>2465</v>
      </c>
      <c r="J14" s="127">
        <f>SUM(J4:J13)</f>
        <v>3525</v>
      </c>
      <c r="K14" s="125"/>
      <c r="L14" s="125"/>
      <c r="M14" s="125"/>
      <c r="N14" s="127">
        <f>SUM(N4:N13)</f>
        <v>3260</v>
      </c>
      <c r="O14" s="88"/>
    </row>
    <row r="15" spans="1:15" ht="15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1:15" ht="15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</sheetData>
  <sheetProtection/>
  <mergeCells count="1">
    <mergeCell ref="B2:N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0"/>
  <sheetViews>
    <sheetView zoomScale="54" zoomScaleNormal="54" zoomScalePageLayoutView="0" workbookViewId="0" topLeftCell="A1">
      <selection activeCell="I16" sqref="I16"/>
    </sheetView>
  </sheetViews>
  <sheetFormatPr defaultColWidth="11.421875" defaultRowHeight="15"/>
  <cols>
    <col min="1" max="1" width="2.8515625" style="0" customWidth="1"/>
    <col min="2" max="2" width="44.28125" style="0" customWidth="1"/>
    <col min="3" max="3" width="21.8515625" style="0" bestFit="1" customWidth="1"/>
    <col min="4" max="4" width="25.28125" style="0" bestFit="1" customWidth="1"/>
    <col min="5" max="5" width="26.7109375" style="0" bestFit="1" customWidth="1"/>
    <col min="6" max="6" width="27.57421875" style="0" bestFit="1" customWidth="1"/>
    <col min="7" max="7" width="27.140625" style="0" bestFit="1" customWidth="1"/>
    <col min="8" max="8" width="27.57421875" style="0" bestFit="1" customWidth="1"/>
    <col min="9" max="9" width="7.421875" style="0" customWidth="1"/>
    <col min="10" max="10" width="40.8515625" style="0" bestFit="1" customWidth="1"/>
    <col min="11" max="11" width="10.00390625" style="0" bestFit="1" customWidth="1"/>
  </cols>
  <sheetData>
    <row r="1" spans="1:9" ht="15.75" thickBot="1">
      <c r="A1" s="88"/>
      <c r="B1" s="88"/>
      <c r="C1" s="88"/>
      <c r="D1" s="88"/>
      <c r="E1" s="88"/>
      <c r="F1" s="88"/>
      <c r="G1" s="88"/>
      <c r="H1" s="88"/>
      <c r="I1" s="88"/>
    </row>
    <row r="2" spans="1:9" ht="20.25" thickBot="1">
      <c r="A2" s="88"/>
      <c r="B2" s="282" t="s">
        <v>545</v>
      </c>
      <c r="C2" s="283"/>
      <c r="D2" s="283"/>
      <c r="E2" s="283"/>
      <c r="F2" s="283"/>
      <c r="G2" s="283"/>
      <c r="H2" s="284"/>
      <c r="I2" s="88"/>
    </row>
    <row r="3" spans="1:9" ht="19.5">
      <c r="A3" s="88"/>
      <c r="B3" s="178"/>
      <c r="C3" s="178"/>
      <c r="D3" s="179">
        <v>2009</v>
      </c>
      <c r="E3" s="179">
        <v>2010</v>
      </c>
      <c r="F3" s="179">
        <v>2011</v>
      </c>
      <c r="G3" s="179">
        <v>2012</v>
      </c>
      <c r="H3" s="179">
        <v>2013</v>
      </c>
      <c r="I3" s="88"/>
    </row>
    <row r="4" spans="1:9" ht="20.25" thickBot="1">
      <c r="A4" s="88"/>
      <c r="B4" s="180" t="s">
        <v>167</v>
      </c>
      <c r="C4" s="180"/>
      <c r="D4" s="181"/>
      <c r="E4" s="181"/>
      <c r="F4" s="181"/>
      <c r="G4" s="181"/>
      <c r="H4" s="181"/>
      <c r="I4" s="88"/>
    </row>
    <row r="5" spans="1:11" ht="21" thickBot="1">
      <c r="A5" s="88"/>
      <c r="B5" s="182" t="s">
        <v>235</v>
      </c>
      <c r="C5" s="182"/>
      <c r="D5" s="231">
        <f>'Produccion Proyectada'!C17</f>
        <v>12975</v>
      </c>
      <c r="E5" s="231">
        <f>'Produccion Proyectada'!D17</f>
        <v>17524</v>
      </c>
      <c r="F5" s="231">
        <f>'Produccion Proyectada'!E17</f>
        <v>23714.079999999998</v>
      </c>
      <c r="G5" s="231">
        <f>'Produccion Proyectada'!F17</f>
        <v>32058.624</v>
      </c>
      <c r="H5" s="231">
        <f>'Produccion Proyectada'!G17</f>
        <v>43343.25964800001</v>
      </c>
      <c r="I5" s="88"/>
      <c r="J5" s="240" t="s">
        <v>305</v>
      </c>
      <c r="K5" s="241">
        <f>+GAD</f>
        <v>0.04</v>
      </c>
    </row>
    <row r="6" spans="1:9" ht="20.25">
      <c r="A6" s="88"/>
      <c r="B6" s="182" t="s">
        <v>239</v>
      </c>
      <c r="C6" s="182"/>
      <c r="D6" s="232">
        <f>'Costos y Gastos'!C17</f>
        <v>1311.9</v>
      </c>
      <c r="E6" s="232">
        <f>'Costos y Gastos'!D17</f>
        <v>1098.0568</v>
      </c>
      <c r="F6" s="232">
        <f>'Costos y Gastos'!E17</f>
        <v>1290.7124767999999</v>
      </c>
      <c r="G6" s="232">
        <f>'Costos y Gastos'!F17</f>
        <v>1543.7248768128002</v>
      </c>
      <c r="H6" s="232">
        <f>'Costos y Gastos'!G17</f>
        <v>1855.3756959385091</v>
      </c>
      <c r="I6" s="88"/>
    </row>
    <row r="7" spans="1:9" ht="20.25">
      <c r="A7" s="88"/>
      <c r="B7" s="183" t="s">
        <v>240</v>
      </c>
      <c r="C7" s="183"/>
      <c r="D7" s="233">
        <f>D5-D6</f>
        <v>11663.1</v>
      </c>
      <c r="E7" s="233">
        <f>E5-E6</f>
        <v>16425.9432</v>
      </c>
      <c r="F7" s="233">
        <f>F5-F6</f>
        <v>22423.3675232</v>
      </c>
      <c r="G7" s="233">
        <f>G5-G6</f>
        <v>30514.8991231872</v>
      </c>
      <c r="H7" s="233">
        <f>H5-H6</f>
        <v>41487.8839520615</v>
      </c>
      <c r="I7" s="88"/>
    </row>
    <row r="8" spans="1:9" ht="15" customHeight="1">
      <c r="A8" s="88"/>
      <c r="B8" s="182"/>
      <c r="C8" s="182"/>
      <c r="D8" s="182"/>
      <c r="E8" s="182"/>
      <c r="F8" s="182"/>
      <c r="G8" s="182"/>
      <c r="H8" s="182"/>
      <c r="I8" s="88"/>
    </row>
    <row r="9" spans="1:9" ht="20.25">
      <c r="A9" s="88"/>
      <c r="B9" s="184" t="s">
        <v>242</v>
      </c>
      <c r="C9" s="184"/>
      <c r="D9" s="182"/>
      <c r="E9" s="182"/>
      <c r="F9" s="182"/>
      <c r="G9" s="182"/>
      <c r="H9" s="182"/>
      <c r="I9" s="88"/>
    </row>
    <row r="10" spans="1:9" ht="20.25">
      <c r="A10" s="88"/>
      <c r="B10" s="182" t="s">
        <v>241</v>
      </c>
      <c r="C10" s="182"/>
      <c r="D10" s="231">
        <f>'Costos y Gastos'!C41</f>
        <v>9058</v>
      </c>
      <c r="E10" s="231">
        <f>'Costos y Gastos'!D41</f>
        <v>9363.02</v>
      </c>
      <c r="F10" s="231">
        <f>'Costos y Gastos'!E41</f>
        <v>9679.132400000002</v>
      </c>
      <c r="G10" s="231">
        <f>'Costos y Gastos'!F41</f>
        <v>10006.758728000003</v>
      </c>
      <c r="H10" s="231">
        <f>'Costos y Gastos'!G41</f>
        <v>10346.33692976</v>
      </c>
      <c r="I10" s="88"/>
    </row>
    <row r="11" spans="1:9" ht="12.75" customHeight="1">
      <c r="A11" s="88"/>
      <c r="B11" s="182"/>
      <c r="C11" s="182"/>
      <c r="D11" s="182"/>
      <c r="E11" s="182"/>
      <c r="F11" s="182"/>
      <c r="G11" s="182"/>
      <c r="H11" s="182"/>
      <c r="I11" s="88"/>
    </row>
    <row r="12" spans="1:9" ht="20.25">
      <c r="A12" s="88"/>
      <c r="B12" s="184" t="s">
        <v>168</v>
      </c>
      <c r="C12" s="184"/>
      <c r="D12" s="233">
        <f>D7-D10</f>
        <v>2605.1000000000004</v>
      </c>
      <c r="E12" s="233">
        <f>E7-E10</f>
        <v>7062.923200000001</v>
      </c>
      <c r="F12" s="233">
        <f>F7-F10</f>
        <v>12744.235123199996</v>
      </c>
      <c r="G12" s="233">
        <f>G7-G10</f>
        <v>20508.140395187198</v>
      </c>
      <c r="H12" s="233">
        <f>H7-H10</f>
        <v>31141.5470223015</v>
      </c>
      <c r="I12" s="88"/>
    </row>
    <row r="13" spans="1:9" ht="15" customHeight="1">
      <c r="A13" s="88"/>
      <c r="B13" s="182"/>
      <c r="C13" s="182"/>
      <c r="D13" s="182"/>
      <c r="E13" s="182"/>
      <c r="F13" s="182"/>
      <c r="G13" s="182"/>
      <c r="H13" s="182"/>
      <c r="I13" s="88"/>
    </row>
    <row r="14" spans="1:9" ht="20.25">
      <c r="A14" s="88"/>
      <c r="B14" s="184" t="s">
        <v>306</v>
      </c>
      <c r="C14" s="182"/>
      <c r="D14" s="182"/>
      <c r="E14" s="182"/>
      <c r="F14" s="182"/>
      <c r="G14" s="182"/>
      <c r="H14" s="182"/>
      <c r="I14" s="88"/>
    </row>
    <row r="15" spans="1:9" ht="20.25">
      <c r="A15" s="88"/>
      <c r="B15" s="182" t="s">
        <v>301</v>
      </c>
      <c r="C15" s="182"/>
      <c r="D15" s="231">
        <f>'Costos y Gastos'!P34</f>
        <v>960</v>
      </c>
      <c r="E15" s="231">
        <f aca="true" t="shared" si="0" ref="E15:H16">D15*(1+$K$5)</f>
        <v>998.4000000000001</v>
      </c>
      <c r="F15" s="231">
        <f t="shared" si="0"/>
        <v>1038.3360000000002</v>
      </c>
      <c r="G15" s="231">
        <f t="shared" si="0"/>
        <v>1079.8694400000004</v>
      </c>
      <c r="H15" s="231">
        <f t="shared" si="0"/>
        <v>1123.0642176000003</v>
      </c>
      <c r="I15" s="88"/>
    </row>
    <row r="16" spans="1:9" ht="20.25">
      <c r="A16" s="88"/>
      <c r="B16" s="182" t="s">
        <v>353</v>
      </c>
      <c r="C16" s="182"/>
      <c r="D16" s="231">
        <f>'Costos y Gastos'!P35</f>
        <v>536.515</v>
      </c>
      <c r="E16" s="231">
        <f t="shared" si="0"/>
        <v>557.9756</v>
      </c>
      <c r="F16" s="231">
        <f t="shared" si="0"/>
        <v>580.294624</v>
      </c>
      <c r="G16" s="231">
        <f t="shared" si="0"/>
        <v>603.50640896</v>
      </c>
      <c r="H16" s="231">
        <f t="shared" si="0"/>
        <v>627.6466653184001</v>
      </c>
      <c r="I16" s="88"/>
    </row>
    <row r="17" spans="1:9" ht="20.25">
      <c r="A17" s="88"/>
      <c r="B17" s="182" t="s">
        <v>169</v>
      </c>
      <c r="C17" s="182"/>
      <c r="D17" s="231">
        <f>'Balance Maquinarias y Personas'!E27</f>
        <v>849.5</v>
      </c>
      <c r="E17" s="231">
        <f>D17</f>
        <v>849.5</v>
      </c>
      <c r="F17" s="231">
        <f>E17</f>
        <v>849.5</v>
      </c>
      <c r="G17" s="231">
        <f>F17</f>
        <v>849.5</v>
      </c>
      <c r="H17" s="231">
        <f>G17</f>
        <v>849.5</v>
      </c>
      <c r="I17" s="88"/>
    </row>
    <row r="18" spans="1:9" ht="20.25">
      <c r="A18" s="88"/>
      <c r="B18" s="182" t="s">
        <v>170</v>
      </c>
      <c r="C18" s="182"/>
      <c r="D18" s="231">
        <f>Deuda!D6</f>
        <v>0</v>
      </c>
      <c r="E18" s="231">
        <f>Deuda!D7</f>
        <v>783.8360000000001</v>
      </c>
      <c r="F18" s="231">
        <f>Deuda!D8</f>
        <v>609.8864843199638</v>
      </c>
      <c r="G18" s="231">
        <f>Deuda!D9</f>
        <v>422.0210073855246</v>
      </c>
      <c r="H18" s="231">
        <f>Deuda!D10</f>
        <v>219.12629229633035</v>
      </c>
      <c r="I18" s="88"/>
    </row>
    <row r="19" spans="1:9" ht="20.25">
      <c r="A19" s="88"/>
      <c r="B19" s="183" t="s">
        <v>171</v>
      </c>
      <c r="C19" s="183"/>
      <c r="D19" s="234">
        <f>SUM(D15:D18)</f>
        <v>2346.015</v>
      </c>
      <c r="E19" s="234">
        <f>SUM(E15:E18)</f>
        <v>3189.7116000000005</v>
      </c>
      <c r="F19" s="234">
        <f>SUM(F15:F18)</f>
        <v>3078.017108319964</v>
      </c>
      <c r="G19" s="234">
        <f>SUM(G15:G18)</f>
        <v>2954.896856345525</v>
      </c>
      <c r="H19" s="234">
        <f>SUM(H15:H18)</f>
        <v>2819.3371752147305</v>
      </c>
      <c r="I19" s="88"/>
    </row>
    <row r="20" spans="1:9" ht="12.75" customHeight="1">
      <c r="A20" s="88"/>
      <c r="B20" s="182"/>
      <c r="C20" s="182"/>
      <c r="D20" s="182"/>
      <c r="E20" s="231"/>
      <c r="F20" s="231"/>
      <c r="G20" s="182"/>
      <c r="H20" s="231"/>
      <c r="I20" s="88"/>
    </row>
    <row r="21" spans="1:9" ht="20.25">
      <c r="A21" s="88"/>
      <c r="B21" s="184" t="s">
        <v>172</v>
      </c>
      <c r="C21" s="184"/>
      <c r="D21" s="233">
        <f>D12-D19</f>
        <v>259.0850000000005</v>
      </c>
      <c r="E21" s="233">
        <f>E12-E19</f>
        <v>3873.2116000000005</v>
      </c>
      <c r="F21" s="233">
        <f>F12-F19</f>
        <v>9666.218014880033</v>
      </c>
      <c r="G21" s="233">
        <f>G12-G19</f>
        <v>17553.243538841674</v>
      </c>
      <c r="H21" s="233">
        <f>H12-H19</f>
        <v>28322.20984708677</v>
      </c>
      <c r="I21" s="88"/>
    </row>
    <row r="22" spans="1:9" ht="20.25">
      <c r="A22" s="88"/>
      <c r="B22" s="182" t="s">
        <v>173</v>
      </c>
      <c r="C22" s="182"/>
      <c r="D22" s="232">
        <f>D21*0.15</f>
        <v>38.86275000000007</v>
      </c>
      <c r="E22" s="232">
        <f>E21*0.15</f>
        <v>580.9817400000001</v>
      </c>
      <c r="F22" s="232">
        <f>F21*0.15</f>
        <v>1449.9327022320049</v>
      </c>
      <c r="G22" s="232">
        <f>G21*0.15</f>
        <v>2632.986530826251</v>
      </c>
      <c r="H22" s="232">
        <f>H21*0.15</f>
        <v>4248.331477063016</v>
      </c>
      <c r="I22" s="88"/>
    </row>
    <row r="23" spans="1:9" ht="20.25">
      <c r="A23" s="88"/>
      <c r="B23" s="184" t="s">
        <v>174</v>
      </c>
      <c r="C23" s="184"/>
      <c r="D23" s="233">
        <f>D21-D22</f>
        <v>220.22225000000043</v>
      </c>
      <c r="E23" s="233">
        <f>E21-E22</f>
        <v>3292.2298600000004</v>
      </c>
      <c r="F23" s="233">
        <f>F21-F22</f>
        <v>8216.285312648028</v>
      </c>
      <c r="G23" s="233">
        <f>G21-G22</f>
        <v>14920.257008015424</v>
      </c>
      <c r="H23" s="233">
        <f>H21-H22</f>
        <v>24073.878370023755</v>
      </c>
      <c r="I23" s="88"/>
    </row>
    <row r="24" spans="1:9" ht="20.25">
      <c r="A24" s="88"/>
      <c r="B24" s="182" t="s">
        <v>175</v>
      </c>
      <c r="C24" s="182"/>
      <c r="D24" s="232">
        <f>D23*0.25</f>
        <v>55.05556250000011</v>
      </c>
      <c r="E24" s="232">
        <f>E23*0.25</f>
        <v>823.0574650000001</v>
      </c>
      <c r="F24" s="232">
        <f>F23*0.25</f>
        <v>2054.071328162007</v>
      </c>
      <c r="G24" s="232">
        <f>G23*0.25</f>
        <v>3730.064252003856</v>
      </c>
      <c r="H24" s="232">
        <f>H23*0.25</f>
        <v>6018.469592505939</v>
      </c>
      <c r="I24" s="88"/>
    </row>
    <row r="25" spans="1:9" ht="20.25">
      <c r="A25" s="88"/>
      <c r="B25" s="184" t="s">
        <v>176</v>
      </c>
      <c r="C25" s="184"/>
      <c r="D25" s="233">
        <f>D23-D24</f>
        <v>165.1666875000003</v>
      </c>
      <c r="E25" s="233">
        <f>E23-E24</f>
        <v>2469.1723950000005</v>
      </c>
      <c r="F25" s="233">
        <f>F23-F24</f>
        <v>6162.213984486021</v>
      </c>
      <c r="G25" s="233">
        <f>G23-G24</f>
        <v>11190.192756011567</v>
      </c>
      <c r="H25" s="233">
        <f>H23-H24</f>
        <v>18055.408777517816</v>
      </c>
      <c r="I25" s="88"/>
    </row>
    <row r="26" spans="1:9" ht="20.25">
      <c r="A26" s="88"/>
      <c r="B26" s="182" t="s">
        <v>177</v>
      </c>
      <c r="C26" s="182"/>
      <c r="D26" s="235"/>
      <c r="E26" s="235">
        <f>E25/E7</f>
        <v>0.15032149843303977</v>
      </c>
      <c r="F26" s="235">
        <f>F25/F7</f>
        <v>0.27481215647517615</v>
      </c>
      <c r="G26" s="235">
        <f>G25/G7</f>
        <v>0.3667124282743748</v>
      </c>
      <c r="H26" s="235">
        <f>H25/H7</f>
        <v>0.43519714812113613</v>
      </c>
      <c r="I26" s="88"/>
    </row>
    <row r="27" spans="1:9" ht="20.25">
      <c r="A27" s="88"/>
      <c r="B27" s="182" t="s">
        <v>169</v>
      </c>
      <c r="C27" s="182"/>
      <c r="D27" s="236">
        <f>D17</f>
        <v>849.5</v>
      </c>
      <c r="E27" s="236">
        <f>E17</f>
        <v>849.5</v>
      </c>
      <c r="F27" s="236">
        <f>F17</f>
        <v>849.5</v>
      </c>
      <c r="G27" s="236">
        <f>G17</f>
        <v>849.5</v>
      </c>
      <c r="H27" s="236">
        <f>H17</f>
        <v>849.5</v>
      </c>
      <c r="I27" s="88"/>
    </row>
    <row r="28" spans="1:9" ht="20.25">
      <c r="A28" s="88"/>
      <c r="B28" s="182" t="s">
        <v>191</v>
      </c>
      <c r="C28" s="232">
        <f>-'Inversion Inicial'!D15</f>
        <v>-11740</v>
      </c>
      <c r="D28" s="235"/>
      <c r="E28" s="235"/>
      <c r="F28" s="235"/>
      <c r="G28" s="235"/>
      <c r="H28" s="235"/>
      <c r="I28" s="88"/>
    </row>
    <row r="29" spans="1:9" ht="20.25">
      <c r="A29" s="88"/>
      <c r="B29" s="182" t="s">
        <v>354</v>
      </c>
      <c r="C29" s="232">
        <f>'Inversion Inicial'!D21</f>
        <v>9797.95</v>
      </c>
      <c r="D29" s="235"/>
      <c r="E29" s="235"/>
      <c r="F29" s="235"/>
      <c r="G29" s="235"/>
      <c r="H29" s="235"/>
      <c r="I29" s="88"/>
    </row>
    <row r="30" spans="1:9" ht="20.25">
      <c r="A30" s="88"/>
      <c r="B30" s="182" t="s">
        <v>192</v>
      </c>
      <c r="C30" s="232"/>
      <c r="D30" s="231">
        <f>-Deuda!E6</f>
        <v>0</v>
      </c>
      <c r="E30" s="231">
        <f>-Deuda!E7</f>
        <v>-2174.368946000453</v>
      </c>
      <c r="F30" s="231">
        <f>-Deuda!E8</f>
        <v>-2348.3184616804892</v>
      </c>
      <c r="G30" s="231">
        <f>-Deuda!E9</f>
        <v>-2536.1839386149286</v>
      </c>
      <c r="H30" s="231">
        <f>-Deuda!E10</f>
        <v>-2739.078653704123</v>
      </c>
      <c r="I30" s="88"/>
    </row>
    <row r="31" spans="1:9" ht="21">
      <c r="A31" s="88"/>
      <c r="B31" s="182" t="s">
        <v>262</v>
      </c>
      <c r="C31" s="182"/>
      <c r="D31" s="237"/>
      <c r="E31" s="235"/>
      <c r="F31" s="235"/>
      <c r="G31" s="237"/>
      <c r="H31" s="236">
        <f>'Valor de desecho y reposicion'!N14</f>
        <v>3260</v>
      </c>
      <c r="I31" s="88"/>
    </row>
    <row r="32" spans="1:9" ht="21">
      <c r="A32" s="88"/>
      <c r="B32" s="182" t="s">
        <v>263</v>
      </c>
      <c r="C32" s="232">
        <f>'Capital de trabajo'!J30</f>
        <v>-7855.9</v>
      </c>
      <c r="D32" s="237"/>
      <c r="E32" s="235"/>
      <c r="F32" s="235"/>
      <c r="G32" s="235"/>
      <c r="H32" s="235"/>
      <c r="I32" s="88"/>
    </row>
    <row r="33" spans="1:9" ht="21">
      <c r="A33" s="88"/>
      <c r="B33" s="182" t="s">
        <v>355</v>
      </c>
      <c r="C33" s="232"/>
      <c r="D33" s="237"/>
      <c r="E33" s="235"/>
      <c r="F33" s="235"/>
      <c r="G33" s="235"/>
      <c r="H33" s="236">
        <f>-C32</f>
        <v>7855.9</v>
      </c>
      <c r="I33" s="88"/>
    </row>
    <row r="34" spans="1:9" ht="20.25">
      <c r="A34" s="88"/>
      <c r="B34" s="182" t="s">
        <v>265</v>
      </c>
      <c r="C34" s="232">
        <f aca="true" t="shared" si="1" ref="C34:H34">SUM(C25:C33)</f>
        <v>-9797.949999999999</v>
      </c>
      <c r="D34" s="232">
        <f t="shared" si="1"/>
        <v>1014.6666875000003</v>
      </c>
      <c r="E34" s="232">
        <f t="shared" si="1"/>
        <v>1144.4537704979807</v>
      </c>
      <c r="F34" s="232">
        <f t="shared" si="1"/>
        <v>4663.6703349620075</v>
      </c>
      <c r="G34" s="232">
        <f t="shared" si="1"/>
        <v>9503.875529824913</v>
      </c>
      <c r="H34" s="232">
        <f t="shared" si="1"/>
        <v>27282.165320961816</v>
      </c>
      <c r="I34" s="88"/>
    </row>
    <row r="35" spans="1:9" ht="20.25">
      <c r="A35" s="88"/>
      <c r="B35" s="182" t="s">
        <v>275</v>
      </c>
      <c r="C35" s="238">
        <f>+TD</f>
        <v>0.19432</v>
      </c>
      <c r="D35" s="232"/>
      <c r="E35" s="232"/>
      <c r="F35" s="232"/>
      <c r="G35" s="232"/>
      <c r="H35" s="232"/>
      <c r="I35" s="88"/>
    </row>
    <row r="36" spans="1:9" ht="20.25">
      <c r="A36" s="88"/>
      <c r="B36" s="182" t="s">
        <v>193</v>
      </c>
      <c r="C36" s="232">
        <f>NPV(C35,D34:H34)+C34</f>
        <v>10489.92325757108</v>
      </c>
      <c r="D36" s="232"/>
      <c r="E36" s="232"/>
      <c r="F36" s="232"/>
      <c r="G36" s="232"/>
      <c r="H36" s="232"/>
      <c r="I36" s="88"/>
    </row>
    <row r="37" spans="1:9" ht="20.25">
      <c r="A37" s="88"/>
      <c r="B37" s="182" t="s">
        <v>194</v>
      </c>
      <c r="C37" s="239">
        <f>IRR(C34:H34)</f>
        <v>0.42636238751521977</v>
      </c>
      <c r="D37" s="235"/>
      <c r="E37" s="235"/>
      <c r="F37" s="235"/>
      <c r="G37" s="235"/>
      <c r="H37" s="235"/>
      <c r="I37" s="88"/>
    </row>
    <row r="38" spans="1:9" ht="20.25">
      <c r="A38" s="88"/>
      <c r="B38" s="186" t="s">
        <v>80</v>
      </c>
      <c r="C38" s="185"/>
      <c r="D38" s="178"/>
      <c r="E38" s="178"/>
      <c r="F38" s="178"/>
      <c r="G38" s="178"/>
      <c r="H38" s="178"/>
      <c r="I38" s="88"/>
    </row>
    <row r="39" spans="1:9" ht="15">
      <c r="A39" s="88"/>
      <c r="B39" s="111"/>
      <c r="C39" s="111"/>
      <c r="D39" s="125"/>
      <c r="E39" s="125"/>
      <c r="F39" s="125"/>
      <c r="G39" s="125"/>
      <c r="H39" s="125"/>
      <c r="I39" s="88"/>
    </row>
    <row r="40" spans="2:8" ht="15">
      <c r="B40" s="3"/>
      <c r="C40" s="3"/>
      <c r="D40" s="29"/>
      <c r="E40" s="29"/>
      <c r="F40" s="29"/>
      <c r="G40" s="29"/>
      <c r="H40" s="29"/>
    </row>
  </sheetData>
  <sheetProtection/>
  <mergeCells count="1">
    <mergeCell ref="B2:H2"/>
  </mergeCells>
  <printOptions/>
  <pageMargins left="0.7" right="0.7" top="0.75" bottom="0.75" header="0.3" footer="0.3"/>
  <pageSetup horizontalDpi="120" verticalDpi="120" orientation="portrait" paperSize="9" r:id="rId1"/>
  <ignoredErrors>
    <ignoredError sqref="D24:H24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F2" sqref="F2:J11"/>
    </sheetView>
  </sheetViews>
  <sheetFormatPr defaultColWidth="11.421875" defaultRowHeight="15"/>
  <cols>
    <col min="1" max="1" width="4.57421875" style="0" customWidth="1"/>
    <col min="2" max="2" width="24.140625" style="0" customWidth="1"/>
    <col min="3" max="4" width="11.421875" style="0" customWidth="1"/>
    <col min="5" max="5" width="5.57421875" style="0" customWidth="1"/>
    <col min="6" max="10" width="15.57421875" style="0" customWidth="1"/>
  </cols>
  <sheetData>
    <row r="1" spans="1:11" ht="15.75" thickBo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.75" thickBot="1">
      <c r="A2" s="88"/>
      <c r="B2" s="270" t="s">
        <v>195</v>
      </c>
      <c r="C2" s="271"/>
      <c r="D2" s="272"/>
      <c r="E2" s="26"/>
      <c r="F2" s="270" t="s">
        <v>196</v>
      </c>
      <c r="G2" s="271"/>
      <c r="H2" s="271"/>
      <c r="I2" s="271"/>
      <c r="J2" s="272"/>
      <c r="K2" s="88"/>
    </row>
    <row r="3" spans="1:11" ht="15">
      <c r="A3" s="88"/>
      <c r="B3" s="130" t="s">
        <v>197</v>
      </c>
      <c r="C3" s="187" t="s">
        <v>198</v>
      </c>
      <c r="D3" s="187" t="s">
        <v>199</v>
      </c>
      <c r="E3" s="26"/>
      <c r="F3" s="130" t="s">
        <v>200</v>
      </c>
      <c r="G3" s="130" t="s">
        <v>201</v>
      </c>
      <c r="H3" s="130" t="s">
        <v>202</v>
      </c>
      <c r="I3" s="130" t="s">
        <v>203</v>
      </c>
      <c r="J3" s="130" t="s">
        <v>204</v>
      </c>
      <c r="K3" s="88"/>
    </row>
    <row r="4" spans="1:11" ht="15">
      <c r="A4" s="88"/>
      <c r="B4" s="130" t="s">
        <v>205</v>
      </c>
      <c r="C4" s="111"/>
      <c r="D4" s="111"/>
      <c r="E4" s="26"/>
      <c r="F4" s="26">
        <v>1</v>
      </c>
      <c r="G4" s="188">
        <f>-'Flujo de Caja'!C34</f>
        <v>9797.949999999999</v>
      </c>
      <c r="H4" s="188">
        <f>'Flujo de Caja'!D34</f>
        <v>1014.6666875000003</v>
      </c>
      <c r="I4" s="188">
        <f>G4*0.1943</f>
        <v>1903.7416849999997</v>
      </c>
      <c r="J4" s="188">
        <f>H4-I4</f>
        <v>-889.0749974999994</v>
      </c>
      <c r="K4" s="88"/>
    </row>
    <row r="5" spans="1:11" ht="15">
      <c r="A5" s="88"/>
      <c r="B5" s="26" t="s">
        <v>206</v>
      </c>
      <c r="C5" s="189">
        <f>'Flujo de Caja'!D5/'Balance Maquinarias y Personas'!C33</f>
        <v>1.2357142857142858</v>
      </c>
      <c r="D5" s="189">
        <f>'Flujo de Caja'!E5/'Balance Maquinarias y Personas'!F33</f>
        <v>1.8277966101694916</v>
      </c>
      <c r="E5" s="26"/>
      <c r="F5" s="26">
        <v>2</v>
      </c>
      <c r="G5" s="188">
        <f>G4-J4</f>
        <v>10687.024997499999</v>
      </c>
      <c r="H5" s="188">
        <f>'Flujo de Caja'!E34</f>
        <v>1144.4537704979807</v>
      </c>
      <c r="I5" s="188">
        <f>G5*0.1943</f>
        <v>2076.48895701425</v>
      </c>
      <c r="J5" s="188">
        <f>H5-I5</f>
        <v>-932.0351865162693</v>
      </c>
      <c r="K5" s="88"/>
    </row>
    <row r="6" spans="1:11" ht="15">
      <c r="A6" s="88"/>
      <c r="B6" s="26" t="s">
        <v>207</v>
      </c>
      <c r="C6" s="189">
        <f>'Flujo de Caja'!D5/'Balance Maquinarias y Personas'!C34</f>
        <v>1.26708984375</v>
      </c>
      <c r="D6" s="189">
        <f>'Flujo de Caja'!E5/'Balance Maquinarias y Personas'!F33</f>
        <v>1.8277966101694916</v>
      </c>
      <c r="E6" s="26"/>
      <c r="F6" s="26">
        <v>3</v>
      </c>
      <c r="G6" s="188">
        <f>G5-J5</f>
        <v>11619.060184016267</v>
      </c>
      <c r="H6" s="188">
        <f>'Flujo de Caja'!F34</f>
        <v>4663.6703349620075</v>
      </c>
      <c r="I6" s="188">
        <f>G6*0.1943</f>
        <v>2257.5833937543607</v>
      </c>
      <c r="J6" s="188">
        <f>H6-I6</f>
        <v>2406.0869412076468</v>
      </c>
      <c r="K6" s="88"/>
    </row>
    <row r="7" spans="1:11" ht="15.75" thickBot="1">
      <c r="A7" s="88"/>
      <c r="B7" s="130" t="s">
        <v>208</v>
      </c>
      <c r="C7" s="111"/>
      <c r="D7" s="111"/>
      <c r="E7" s="26"/>
      <c r="F7" s="26">
        <v>4</v>
      </c>
      <c r="G7" s="188">
        <f>G6-J6</f>
        <v>9212.97324280862</v>
      </c>
      <c r="H7" s="188">
        <f>'Flujo de Caja'!G34</f>
        <v>9503.875529824913</v>
      </c>
      <c r="I7" s="188">
        <f>G7*0.1943</f>
        <v>1790.080701077715</v>
      </c>
      <c r="J7" s="188">
        <f>H7-I7</f>
        <v>7713.794828747197</v>
      </c>
      <c r="K7" s="88"/>
    </row>
    <row r="8" spans="1:11" ht="15.75" thickBot="1">
      <c r="A8" s="88"/>
      <c r="B8" s="26" t="s">
        <v>209</v>
      </c>
      <c r="C8" s="190">
        <f>Deuda!C6/'Inversion Inicial'!D20</f>
        <v>1</v>
      </c>
      <c r="D8" s="190">
        <f>Deuda!C7/'Inversion Inicial'!D20</f>
        <v>1</v>
      </c>
      <c r="E8" s="26"/>
      <c r="F8" s="192">
        <v>5</v>
      </c>
      <c r="G8" s="193">
        <f>G7-J7</f>
        <v>1499.1784140614236</v>
      </c>
      <c r="H8" s="193">
        <f>'Flujo de Caja'!H34</f>
        <v>27282.165320961816</v>
      </c>
      <c r="I8" s="193">
        <f>G8*0.1943</f>
        <v>291.2903658521346</v>
      </c>
      <c r="J8" s="194">
        <f>H8-I8</f>
        <v>26990.87495510968</v>
      </c>
      <c r="K8" s="88"/>
    </row>
    <row r="9" spans="1:11" ht="15">
      <c r="A9" s="88"/>
      <c r="B9" s="26" t="s">
        <v>210</v>
      </c>
      <c r="C9" s="190">
        <f>Deuda!C6/'Balance Maquinarias y Personas'!C33</f>
        <v>0.9331380952380953</v>
      </c>
      <c r="D9" s="190">
        <f>Deuda!C7/'Balance Maquinarias y Personas'!F33</f>
        <v>1.0219504563233377</v>
      </c>
      <c r="E9" s="26"/>
      <c r="F9" s="26">
        <v>6</v>
      </c>
      <c r="G9" s="188">
        <f>G8-J8</f>
        <v>-25491.69654104826</v>
      </c>
      <c r="H9" s="26"/>
      <c r="I9" s="26"/>
      <c r="J9" s="26"/>
      <c r="K9" s="88"/>
    </row>
    <row r="10" spans="1:11" ht="15">
      <c r="A10" s="88"/>
      <c r="B10" s="130" t="s">
        <v>211</v>
      </c>
      <c r="C10" s="191"/>
      <c r="D10" s="191"/>
      <c r="E10" s="26"/>
      <c r="F10" s="100" t="s">
        <v>439</v>
      </c>
      <c r="G10" s="129"/>
      <c r="H10" s="26"/>
      <c r="I10" s="26"/>
      <c r="J10" s="26"/>
      <c r="K10" s="88"/>
    </row>
    <row r="11" spans="1:11" ht="15">
      <c r="A11" s="88"/>
      <c r="B11" s="26" t="s">
        <v>212</v>
      </c>
      <c r="C11" s="190">
        <f>'Flujo de Caja'!D25/'Flujo de Caja'!D7</f>
        <v>0.014161474007768115</v>
      </c>
      <c r="D11" s="190">
        <f>'Flujo de Caja'!E25/'Flujo de Caja'!E12</f>
        <v>0.3495963817077892</v>
      </c>
      <c r="E11" s="26"/>
      <c r="F11" s="100" t="s">
        <v>80</v>
      </c>
      <c r="G11" s="26"/>
      <c r="H11" s="26"/>
      <c r="I11" s="26"/>
      <c r="J11" s="26"/>
      <c r="K11" s="88"/>
    </row>
    <row r="12" spans="1:11" ht="15">
      <c r="A12" s="88"/>
      <c r="B12" s="26" t="s">
        <v>213</v>
      </c>
      <c r="C12" s="190">
        <f>'Flujo de Caja'!D25/'Inversion Inicial'!D20</f>
        <v>0.016857269888088864</v>
      </c>
      <c r="D12" s="190">
        <f>'Flujo de Caja'!E25/'Inversion Inicial'!D20</f>
        <v>0.252009083022469</v>
      </c>
      <c r="E12" s="26"/>
      <c r="F12" s="88"/>
      <c r="G12" s="26"/>
      <c r="H12" s="26"/>
      <c r="I12" s="26"/>
      <c r="J12" s="26"/>
      <c r="K12" s="88"/>
    </row>
    <row r="13" spans="1:11" ht="15">
      <c r="A13" s="88"/>
      <c r="B13" s="26" t="s">
        <v>214</v>
      </c>
      <c r="C13" s="190">
        <f>'Flujo de Caja'!D25/'Balance Maquinarias y Personas'!C33</f>
        <v>0.015730160714285745</v>
      </c>
      <c r="D13" s="190">
        <f>'Flujo de Caja'!E25/'Balance Maquinarias y Personas'!F33</f>
        <v>0.2575407973924381</v>
      </c>
      <c r="E13" s="26"/>
      <c r="F13" s="26"/>
      <c r="G13" s="26"/>
      <c r="H13" s="26"/>
      <c r="I13" s="26"/>
      <c r="J13" s="26"/>
      <c r="K13" s="88"/>
    </row>
    <row r="14" spans="1:11" ht="15">
      <c r="A14" s="88"/>
      <c r="B14" s="130" t="s">
        <v>215</v>
      </c>
      <c r="C14" s="190"/>
      <c r="D14" s="190"/>
      <c r="E14" s="26"/>
      <c r="F14" s="26"/>
      <c r="G14" s="26"/>
      <c r="H14" s="26"/>
      <c r="I14" s="26"/>
      <c r="J14" s="26"/>
      <c r="K14" s="88"/>
    </row>
    <row r="15" spans="1:11" ht="15">
      <c r="A15" s="88"/>
      <c r="B15" s="26" t="s">
        <v>216</v>
      </c>
      <c r="C15" s="190">
        <f>'Flujo de Caja'!D23/'Balance Maquinarias y Personas'!C33</f>
        <v>0.02097354761904766</v>
      </c>
      <c r="D15" s="190">
        <f>'Flujo de Caja'!E23/'Balance Maquinarias y Personas'!F33</f>
        <v>0.3433877298565841</v>
      </c>
      <c r="E15" s="26"/>
      <c r="F15" s="26"/>
      <c r="G15" s="26"/>
      <c r="H15" s="26"/>
      <c r="I15" s="26"/>
      <c r="J15" s="26"/>
      <c r="K15" s="88"/>
    </row>
    <row r="16" spans="1:11" ht="15">
      <c r="A16" s="88"/>
      <c r="B16" s="100" t="s">
        <v>80</v>
      </c>
      <c r="C16" s="26"/>
      <c r="D16" s="26"/>
      <c r="E16" s="26"/>
      <c r="F16" s="26"/>
      <c r="G16" s="26"/>
      <c r="H16" s="26"/>
      <c r="I16" s="26"/>
      <c r="J16" s="26"/>
      <c r="K16" s="88"/>
    </row>
    <row r="17" spans="1:11" ht="1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1:11" ht="15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1:11" ht="15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1:11" ht="15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</row>
  </sheetData>
  <sheetProtection/>
  <mergeCells count="2">
    <mergeCell ref="B2:D2"/>
    <mergeCell ref="F2:J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D14" sqref="D14"/>
    </sheetView>
  </sheetViews>
  <sheetFormatPr defaultColWidth="11.421875" defaultRowHeight="15"/>
  <cols>
    <col min="1" max="3" width="11.421875" style="7" customWidth="1"/>
    <col min="4" max="4" width="40.8515625" style="7" bestFit="1" customWidth="1"/>
    <col min="5" max="16384" width="11.421875" style="7" customWidth="1"/>
  </cols>
  <sheetData>
    <row r="1" ht="14.25"/>
    <row r="2" spans="2:4" ht="15.75" thickBot="1">
      <c r="B2" s="25" t="s">
        <v>308</v>
      </c>
      <c r="C2" s="25" t="s">
        <v>269</v>
      </c>
      <c r="D2" s="25" t="s">
        <v>309</v>
      </c>
    </row>
    <row r="3" spans="1:4" ht="15" thickBot="1">
      <c r="A3" s="62"/>
      <c r="B3" s="63" t="s">
        <v>310</v>
      </c>
      <c r="C3" s="135">
        <v>0.04</v>
      </c>
      <c r="D3" s="63" t="s">
        <v>316</v>
      </c>
    </row>
    <row r="4" spans="2:4" ht="15" thickBot="1">
      <c r="B4" s="63" t="s">
        <v>311</v>
      </c>
      <c r="C4" s="135">
        <v>0.08</v>
      </c>
      <c r="D4" s="63" t="s">
        <v>317</v>
      </c>
    </row>
    <row r="5" spans="2:4" ht="15" thickBot="1">
      <c r="B5" s="63" t="s">
        <v>312</v>
      </c>
      <c r="C5" s="135">
        <v>0.04</v>
      </c>
      <c r="D5" s="63" t="s">
        <v>318</v>
      </c>
    </row>
    <row r="6" spans="2:4" ht="15" thickBot="1">
      <c r="B6" s="63" t="s">
        <v>313</v>
      </c>
      <c r="C6" s="135">
        <v>0.02</v>
      </c>
      <c r="D6" s="63" t="s">
        <v>319</v>
      </c>
    </row>
    <row r="7" spans="2:4" ht="15" thickBot="1">
      <c r="B7" s="63" t="s">
        <v>314</v>
      </c>
      <c r="C7" s="138">
        <v>25</v>
      </c>
      <c r="D7" s="63" t="s">
        <v>452</v>
      </c>
    </row>
    <row r="8" spans="2:4" ht="15" thickBot="1">
      <c r="B8" s="63" t="s">
        <v>315</v>
      </c>
      <c r="C8" s="136">
        <v>13</v>
      </c>
      <c r="D8" s="63" t="s">
        <v>320</v>
      </c>
    </row>
    <row r="9" spans="2:4" ht="15" thickBot="1">
      <c r="B9" s="63" t="s">
        <v>357</v>
      </c>
      <c r="C9" s="135">
        <v>0.19432</v>
      </c>
      <c r="D9" s="63" t="s">
        <v>358</v>
      </c>
    </row>
    <row r="10" ht="15" thickBot="1"/>
    <row r="11" spans="2:4" ht="15" thickBot="1">
      <c r="B11" s="63" t="s">
        <v>193</v>
      </c>
      <c r="C11" s="137">
        <f>'Flujo de Caja'!C36</f>
        <v>10489.92325757108</v>
      </c>
      <c r="D11" s="63" t="s">
        <v>356</v>
      </c>
    </row>
  </sheetData>
  <sheetProtection/>
  <printOptions/>
  <pageMargins left="0.7" right="0.7" top="0.75" bottom="0.75" header="0.3" footer="0.3"/>
  <pageSetup horizontalDpi="120" verticalDpi="120" orientation="portrait" paperSize="9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06"/>
  <sheetViews>
    <sheetView tabSelected="1" zoomScalePageLayoutView="0" workbookViewId="0" topLeftCell="A37">
      <selection activeCell="G39" sqref="G39"/>
    </sheetView>
  </sheetViews>
  <sheetFormatPr defaultColWidth="11.421875" defaultRowHeight="15"/>
  <cols>
    <col min="5" max="5" width="14.57421875" style="0" bestFit="1" customWidth="1"/>
  </cols>
  <sheetData>
    <row r="1" spans="5:10" ht="15">
      <c r="E1" s="139"/>
      <c r="F1" s="140" t="s">
        <v>453</v>
      </c>
      <c r="J1" s="141"/>
    </row>
    <row r="2" spans="6:10" ht="15">
      <c r="F2" s="142" t="s">
        <v>535</v>
      </c>
      <c r="J2" s="141"/>
    </row>
    <row r="3" spans="6:10" ht="15">
      <c r="F3" s="142" t="s">
        <v>536</v>
      </c>
      <c r="J3" s="141"/>
    </row>
    <row r="4" spans="6:10" ht="15">
      <c r="F4" s="142"/>
      <c r="J4" s="141"/>
    </row>
    <row r="5" spans="2:10" ht="15">
      <c r="B5" t="s">
        <v>454</v>
      </c>
      <c r="F5" s="142"/>
      <c r="J5" s="141"/>
    </row>
    <row r="6" spans="3:10" ht="15">
      <c r="C6" t="s">
        <v>455</v>
      </c>
      <c r="E6" s="143">
        <v>100000</v>
      </c>
      <c r="F6" s="142"/>
      <c r="J6" s="141"/>
    </row>
    <row r="7" spans="3:10" ht="15">
      <c r="C7" t="s">
        <v>456</v>
      </c>
      <c r="F7" s="142"/>
      <c r="J7" s="141"/>
    </row>
    <row r="8" spans="3:10" ht="15">
      <c r="C8" t="s">
        <v>457</v>
      </c>
      <c r="F8" s="142"/>
      <c r="J8" s="141"/>
    </row>
    <row r="9" spans="3:10" ht="15">
      <c r="C9" t="s">
        <v>458</v>
      </c>
      <c r="F9" s="142"/>
      <c r="J9" s="141"/>
    </row>
    <row r="10" spans="3:10" ht="15">
      <c r="C10" t="s">
        <v>459</v>
      </c>
      <c r="F10" s="142"/>
      <c r="J10" s="141"/>
    </row>
    <row r="11" spans="3:10" ht="15">
      <c r="C11" t="s">
        <v>460</v>
      </c>
      <c r="E11" s="144">
        <v>0.95</v>
      </c>
      <c r="F11" s="142"/>
      <c r="J11" s="141"/>
    </row>
    <row r="12" spans="6:10" ht="15">
      <c r="F12" s="142"/>
      <c r="J12" s="141"/>
    </row>
    <row r="13" spans="2:10" ht="15">
      <c r="B13" t="s">
        <v>461</v>
      </c>
      <c r="F13" s="142"/>
      <c r="J13" s="141"/>
    </row>
    <row r="14" spans="3:10" ht="15">
      <c r="C14" t="s">
        <v>462</v>
      </c>
      <c r="E14" s="145">
        <v>21.82316020611558</v>
      </c>
      <c r="F14" s="142"/>
      <c r="J14" s="141"/>
    </row>
    <row r="15" spans="3:10" ht="15">
      <c r="C15" t="s">
        <v>463</v>
      </c>
      <c r="E15" s="143">
        <v>4582.287764719642</v>
      </c>
      <c r="F15" s="142"/>
      <c r="J15" s="141"/>
    </row>
    <row r="16" spans="3:10" ht="15">
      <c r="C16" t="s">
        <v>464</v>
      </c>
      <c r="E16" s="143">
        <v>32076.01435303749</v>
      </c>
      <c r="F16" s="142"/>
      <c r="J16" s="141"/>
    </row>
    <row r="17" spans="6:10" ht="15">
      <c r="F17" s="142"/>
      <c r="J17" s="141"/>
    </row>
    <row r="18" spans="2:10" ht="15">
      <c r="B18" t="s">
        <v>465</v>
      </c>
      <c r="F18" s="142"/>
      <c r="J18" s="141"/>
    </row>
    <row r="19" spans="3:10" ht="15">
      <c r="C19" t="s">
        <v>466</v>
      </c>
      <c r="E19">
        <v>7</v>
      </c>
      <c r="F19" s="142"/>
      <c r="J19" s="141"/>
    </row>
    <row r="20" spans="3:10" ht="15">
      <c r="C20" t="s">
        <v>467</v>
      </c>
      <c r="E20">
        <v>0</v>
      </c>
      <c r="F20" s="142"/>
      <c r="J20" s="141"/>
    </row>
    <row r="21" spans="3:10" ht="15">
      <c r="C21" t="s">
        <v>468</v>
      </c>
      <c r="E21">
        <v>0</v>
      </c>
      <c r="F21" s="142"/>
      <c r="J21" s="141"/>
    </row>
    <row r="22" spans="3:10" ht="15">
      <c r="C22" t="s">
        <v>469</v>
      </c>
      <c r="E22">
        <v>0</v>
      </c>
      <c r="F22" s="142"/>
      <c r="J22" s="141"/>
    </row>
    <row r="23" spans="3:10" ht="15">
      <c r="C23" t="s">
        <v>470</v>
      </c>
      <c r="E23">
        <v>1</v>
      </c>
      <c r="F23" s="142"/>
      <c r="J23" s="141"/>
    </row>
    <row r="24" spans="6:10" ht="15">
      <c r="F24" s="140" t="s">
        <v>470</v>
      </c>
      <c r="J24" s="141"/>
    </row>
    <row r="25" spans="6:10" ht="15">
      <c r="F25" s="142"/>
      <c r="J25" s="141"/>
    </row>
    <row r="26" spans="6:10" ht="15">
      <c r="F26" s="142"/>
      <c r="J26" s="141"/>
    </row>
    <row r="27" spans="1:10" ht="15">
      <c r="A27" s="146" t="s">
        <v>537</v>
      </c>
      <c r="F27" s="142"/>
      <c r="J27" s="141"/>
    </row>
    <row r="28" spans="6:10" ht="15">
      <c r="F28" s="142"/>
      <c r="J28" s="141"/>
    </row>
    <row r="29" spans="1:10" ht="15">
      <c r="A29" s="146" t="s">
        <v>471</v>
      </c>
      <c r="B29" s="146"/>
      <c r="C29" s="146"/>
      <c r="D29" s="146"/>
      <c r="E29" s="146"/>
      <c r="F29" s="140"/>
      <c r="G29" s="146"/>
      <c r="H29" s="146"/>
      <c r="I29" s="146"/>
      <c r="J29" s="147" t="s">
        <v>472</v>
      </c>
    </row>
    <row r="30" spans="6:10" ht="15">
      <c r="F30" s="142"/>
      <c r="J30" s="141"/>
    </row>
    <row r="31" spans="2:10" ht="15">
      <c r="B31" t="s">
        <v>473</v>
      </c>
      <c r="F31" s="142"/>
      <c r="J31" s="141"/>
    </row>
    <row r="32" spans="3:10" ht="15">
      <c r="C32" t="s">
        <v>538</v>
      </c>
      <c r="F32" s="142"/>
      <c r="J32" s="141"/>
    </row>
    <row r="33" spans="3:10" ht="15">
      <c r="C33" t="s">
        <v>539</v>
      </c>
      <c r="F33" s="142"/>
      <c r="J33" s="141"/>
    </row>
    <row r="34" spans="3:10" ht="15">
      <c r="C34" t="s">
        <v>540</v>
      </c>
      <c r="F34" s="142"/>
      <c r="J34" s="141"/>
    </row>
    <row r="35" spans="3:10" ht="15">
      <c r="C35" t="s">
        <v>474</v>
      </c>
      <c r="F35" s="142"/>
      <c r="J35" s="141"/>
    </row>
    <row r="36" spans="3:10" ht="15">
      <c r="C36" t="s">
        <v>541</v>
      </c>
      <c r="F36" s="142"/>
      <c r="J36" s="141"/>
    </row>
    <row r="37" spans="6:10" ht="15">
      <c r="F37" s="142"/>
      <c r="J37" s="141"/>
    </row>
    <row r="38" spans="6:10" ht="15">
      <c r="F38" s="142"/>
      <c r="J38" s="141"/>
    </row>
    <row r="39" spans="6:10" ht="15">
      <c r="F39" s="142"/>
      <c r="J39" s="141"/>
    </row>
    <row r="40" spans="6:10" ht="15">
      <c r="F40" s="142"/>
      <c r="J40" s="141"/>
    </row>
    <row r="41" spans="6:10" ht="15">
      <c r="F41" s="142"/>
      <c r="J41" s="141"/>
    </row>
    <row r="42" spans="6:10" ht="15">
      <c r="F42" s="142"/>
      <c r="J42" s="141"/>
    </row>
    <row r="43" spans="6:10" ht="15">
      <c r="F43" s="142"/>
      <c r="J43" s="141"/>
    </row>
    <row r="44" spans="6:10" ht="15">
      <c r="F44" s="142"/>
      <c r="J44" s="141"/>
    </row>
    <row r="45" spans="6:10" ht="15">
      <c r="F45" s="142"/>
      <c r="J45" s="141"/>
    </row>
    <row r="46" spans="6:10" ht="15">
      <c r="F46" s="142"/>
      <c r="J46" s="141"/>
    </row>
    <row r="47" spans="6:10" ht="15">
      <c r="F47" s="142"/>
      <c r="J47" s="141"/>
    </row>
    <row r="48" spans="6:10" ht="15">
      <c r="F48" s="142"/>
      <c r="J48" s="141"/>
    </row>
    <row r="49" spans="6:10" ht="15">
      <c r="F49" s="142"/>
      <c r="J49" s="141"/>
    </row>
    <row r="50" spans="6:10" ht="15">
      <c r="F50" s="142"/>
      <c r="J50" s="141"/>
    </row>
    <row r="51" spans="6:10" ht="15">
      <c r="F51" s="142"/>
      <c r="J51" s="141"/>
    </row>
    <row r="52" spans="6:10" ht="15">
      <c r="F52" s="142"/>
      <c r="J52" s="141"/>
    </row>
    <row r="53" spans="6:10" ht="15">
      <c r="F53" s="142"/>
      <c r="J53" s="141"/>
    </row>
    <row r="54" spans="6:10" ht="15">
      <c r="F54" s="142"/>
      <c r="J54" s="141"/>
    </row>
    <row r="55" spans="6:10" ht="15">
      <c r="F55" s="142"/>
      <c r="J55" s="141"/>
    </row>
    <row r="56" spans="6:10" ht="15">
      <c r="F56" s="142"/>
      <c r="J56" s="141"/>
    </row>
    <row r="57" spans="1:10" ht="15">
      <c r="A57" s="146" t="s">
        <v>491</v>
      </c>
      <c r="B57" s="146"/>
      <c r="C57" s="146"/>
      <c r="D57" s="146"/>
      <c r="E57" s="146"/>
      <c r="F57" s="140"/>
      <c r="G57" s="146"/>
      <c r="H57" s="146"/>
      <c r="I57" s="146"/>
      <c r="J57" s="147" t="s">
        <v>472</v>
      </c>
    </row>
    <row r="58" spans="6:10" ht="15">
      <c r="F58" s="142"/>
      <c r="J58" s="141"/>
    </row>
    <row r="59" spans="2:10" ht="15">
      <c r="B59" t="s">
        <v>475</v>
      </c>
      <c r="E59" s="148" t="s">
        <v>476</v>
      </c>
      <c r="F59" s="142"/>
      <c r="J59" s="141"/>
    </row>
    <row r="60" spans="3:10" ht="15">
      <c r="C60" t="s">
        <v>477</v>
      </c>
      <c r="E60" s="143">
        <v>100000</v>
      </c>
      <c r="F60" s="142"/>
      <c r="J60" s="141"/>
    </row>
    <row r="61" spans="3:10" ht="15">
      <c r="C61" t="s">
        <v>478</v>
      </c>
      <c r="E61" s="149">
        <v>11598.522411150421</v>
      </c>
      <c r="F61" s="142"/>
      <c r="J61" s="141"/>
    </row>
    <row r="62" spans="3:10" ht="15">
      <c r="C62" t="s">
        <v>479</v>
      </c>
      <c r="E62" s="149">
        <v>10671.10843865521</v>
      </c>
      <c r="F62" s="142"/>
      <c r="J62" s="141"/>
    </row>
    <row r="63" spans="3:10" ht="15">
      <c r="C63" t="s">
        <v>480</v>
      </c>
      <c r="E63" s="150" t="s">
        <v>481</v>
      </c>
      <c r="F63" s="142"/>
      <c r="J63" s="141"/>
    </row>
    <row r="64" spans="3:10" ht="15">
      <c r="C64" t="s">
        <v>482</v>
      </c>
      <c r="E64" s="149">
        <v>9286.20130451286</v>
      </c>
      <c r="F64" s="142"/>
      <c r="J64" s="141"/>
    </row>
    <row r="65" spans="3:10" ht="15">
      <c r="C65" t="s">
        <v>483</v>
      </c>
      <c r="E65" s="149">
        <v>86233534.66793634</v>
      </c>
      <c r="F65" s="142"/>
      <c r="J65" s="141"/>
    </row>
    <row r="66" spans="3:10" ht="15">
      <c r="C66" t="s">
        <v>484</v>
      </c>
      <c r="E66" s="151">
        <v>0.6344219667553471</v>
      </c>
      <c r="F66" s="142"/>
      <c r="J66" s="141"/>
    </row>
    <row r="67" spans="3:10" ht="15">
      <c r="C67" t="s">
        <v>485</v>
      </c>
      <c r="E67" s="152">
        <v>3.749803417324779</v>
      </c>
      <c r="F67" s="142"/>
      <c r="J67" s="141"/>
    </row>
    <row r="68" spans="3:10" ht="15">
      <c r="C68" t="s">
        <v>486</v>
      </c>
      <c r="E68" s="151">
        <v>0.800636578982287</v>
      </c>
      <c r="F68" s="142"/>
      <c r="J68" s="141"/>
    </row>
    <row r="69" spans="3:10" ht="15">
      <c r="C69" t="s">
        <v>487</v>
      </c>
      <c r="E69" s="149">
        <v>-14573.042844512678</v>
      </c>
      <c r="F69" s="142"/>
      <c r="J69" s="141"/>
    </row>
    <row r="70" spans="3:10" ht="15">
      <c r="C70" t="s">
        <v>488</v>
      </c>
      <c r="E70" s="149">
        <v>76352.92089820077</v>
      </c>
      <c r="F70" s="142"/>
      <c r="J70" s="141"/>
    </row>
    <row r="71" spans="3:10" ht="15">
      <c r="C71" t="s">
        <v>489</v>
      </c>
      <c r="E71" s="149">
        <v>90925.96374271344</v>
      </c>
      <c r="F71" s="142"/>
      <c r="J71" s="141"/>
    </row>
    <row r="72" spans="3:10" ht="15">
      <c r="C72" t="s">
        <v>490</v>
      </c>
      <c r="E72" s="149">
        <v>29.36554693308748</v>
      </c>
      <c r="F72" s="142"/>
      <c r="J72" s="141"/>
    </row>
    <row r="73" spans="6:10" ht="15">
      <c r="F73" s="142"/>
      <c r="J73" s="141"/>
    </row>
    <row r="74" spans="2:10" ht="15">
      <c r="B74" t="s">
        <v>492</v>
      </c>
      <c r="E74" s="148" t="s">
        <v>476</v>
      </c>
      <c r="F74" s="142"/>
      <c r="J74" s="141"/>
    </row>
    <row r="75" spans="3:10" ht="15">
      <c r="C75" t="s">
        <v>493</v>
      </c>
      <c r="E75" s="149">
        <v>-14573.042844512678</v>
      </c>
      <c r="F75" s="142"/>
      <c r="J75" s="141"/>
    </row>
    <row r="76" spans="3:10" ht="15">
      <c r="C76" t="s">
        <v>494</v>
      </c>
      <c r="E76" s="149">
        <v>534.0516161854794</v>
      </c>
      <c r="F76" s="142"/>
      <c r="J76" s="141"/>
    </row>
    <row r="77" spans="3:10" ht="15">
      <c r="C77" t="s">
        <v>495</v>
      </c>
      <c r="E77" s="149">
        <v>3729.448216130937</v>
      </c>
      <c r="F77" s="142"/>
      <c r="J77" s="141"/>
    </row>
    <row r="78" spans="3:10" ht="15">
      <c r="C78" t="s">
        <v>496</v>
      </c>
      <c r="E78" s="149">
        <v>6217.594027106477</v>
      </c>
      <c r="F78" s="142"/>
      <c r="J78" s="141"/>
    </row>
    <row r="79" spans="3:10" ht="15">
      <c r="C79" t="s">
        <v>497</v>
      </c>
      <c r="E79" s="149">
        <v>8439.752674202004</v>
      </c>
      <c r="F79" s="142"/>
      <c r="J79" s="141"/>
    </row>
    <row r="80" spans="3:10" ht="15">
      <c r="C80" t="s">
        <v>498</v>
      </c>
      <c r="E80" s="149">
        <v>10671.06454405231</v>
      </c>
      <c r="F80" s="142"/>
      <c r="J80" s="141"/>
    </row>
    <row r="81" spans="3:10" ht="15">
      <c r="C81" t="s">
        <v>499</v>
      </c>
      <c r="E81" s="149">
        <v>12980.799482306478</v>
      </c>
      <c r="F81" s="142"/>
      <c r="J81" s="141"/>
    </row>
    <row r="82" spans="3:10" ht="15">
      <c r="C82" t="s">
        <v>500</v>
      </c>
      <c r="E82" s="149">
        <v>15624.195301586353</v>
      </c>
      <c r="F82" s="142"/>
      <c r="J82" s="141"/>
    </row>
    <row r="83" spans="3:10" ht="15">
      <c r="C83" t="s">
        <v>501</v>
      </c>
      <c r="E83" s="149">
        <v>18938.572675197294</v>
      </c>
      <c r="F83" s="142"/>
      <c r="J83" s="141"/>
    </row>
    <row r="84" spans="3:10" ht="15">
      <c r="C84" t="s">
        <v>502</v>
      </c>
      <c r="E84" s="149">
        <v>23883.740392685875</v>
      </c>
      <c r="F84" s="142"/>
      <c r="J84" s="141"/>
    </row>
    <row r="85" spans="3:10" ht="15">
      <c r="C85" t="s">
        <v>503</v>
      </c>
      <c r="E85" s="149">
        <v>76352.92089820077</v>
      </c>
      <c r="F85" s="142"/>
      <c r="J85" s="141"/>
    </row>
    <row r="86" spans="6:10" ht="15">
      <c r="F86" s="142"/>
      <c r="J86" s="141"/>
    </row>
    <row r="87" spans="1:10" ht="15">
      <c r="A87" t="s">
        <v>504</v>
      </c>
      <c r="F87" s="142"/>
      <c r="J87" s="141"/>
    </row>
    <row r="88" spans="6:10" ht="15">
      <c r="F88" s="140" t="s">
        <v>466</v>
      </c>
      <c r="J88" s="141"/>
    </row>
    <row r="89" spans="6:10" ht="15">
      <c r="F89" s="142"/>
      <c r="J89" s="141"/>
    </row>
    <row r="90" spans="6:10" ht="15">
      <c r="F90" s="142"/>
      <c r="J90" s="141"/>
    </row>
    <row r="91" spans="1:10" ht="15">
      <c r="A91" s="146" t="s">
        <v>537</v>
      </c>
      <c r="F91" s="142"/>
      <c r="J91" s="141"/>
    </row>
    <row r="92" spans="6:10" ht="15">
      <c r="F92" s="142"/>
      <c r="J92" s="141"/>
    </row>
    <row r="93" spans="1:10" ht="15">
      <c r="A93" s="146" t="s">
        <v>505</v>
      </c>
      <c r="B93" s="146"/>
      <c r="C93" s="146"/>
      <c r="D93" s="146"/>
      <c r="E93" s="146"/>
      <c r="F93" s="140"/>
      <c r="G93" s="146"/>
      <c r="H93" s="146"/>
      <c r="I93" s="146"/>
      <c r="J93" s="147" t="s">
        <v>506</v>
      </c>
    </row>
    <row r="94" spans="6:10" ht="15">
      <c r="F94" s="142"/>
      <c r="J94" s="141"/>
    </row>
    <row r="95" spans="3:10" ht="15">
      <c r="C95" s="285" t="s">
        <v>507</v>
      </c>
      <c r="D95" s="285"/>
      <c r="E95" s="285"/>
      <c r="F95" s="285"/>
      <c r="G95" s="285"/>
      <c r="H95" s="285"/>
      <c r="I95" s="285"/>
      <c r="J95" s="141"/>
    </row>
    <row r="96" spans="6:10" ht="15">
      <c r="F96" s="142"/>
      <c r="J96" s="141"/>
    </row>
    <row r="97" spans="2:10" ht="15">
      <c r="B97" t="s">
        <v>508</v>
      </c>
      <c r="F97" s="142"/>
      <c r="J97" s="141"/>
    </row>
    <row r="98" spans="3:10" ht="15">
      <c r="C98" t="s">
        <v>487</v>
      </c>
      <c r="E98" s="153">
        <v>0.03</v>
      </c>
      <c r="F98" s="142"/>
      <c r="J98" s="141"/>
    </row>
    <row r="99" spans="3:10" ht="15">
      <c r="C99" t="s">
        <v>488</v>
      </c>
      <c r="E99" s="153">
        <v>0.044</v>
      </c>
      <c r="F99" s="142"/>
      <c r="J99" s="141"/>
    </row>
    <row r="100" spans="5:10" ht="15">
      <c r="E100" s="148"/>
      <c r="F100" s="142"/>
      <c r="J100" s="141"/>
    </row>
    <row r="101" spans="5:10" ht="15">
      <c r="E101" s="148"/>
      <c r="F101" s="142"/>
      <c r="J101" s="141"/>
    </row>
    <row r="102" spans="6:10" ht="15">
      <c r="F102" s="142"/>
      <c r="J102" s="141"/>
    </row>
    <row r="103" spans="6:10" ht="15">
      <c r="F103" s="142"/>
      <c r="J103" s="141"/>
    </row>
    <row r="104" spans="6:10" ht="15">
      <c r="F104" s="142"/>
      <c r="J104" s="141"/>
    </row>
    <row r="105" spans="1:10" ht="15">
      <c r="A105" s="146" t="s">
        <v>509</v>
      </c>
      <c r="B105" s="146"/>
      <c r="C105" s="146"/>
      <c r="D105" s="146"/>
      <c r="E105" s="146"/>
      <c r="F105" s="140"/>
      <c r="G105" s="146"/>
      <c r="H105" s="146"/>
      <c r="I105" s="146"/>
      <c r="J105" s="147" t="s">
        <v>510</v>
      </c>
    </row>
    <row r="106" spans="6:10" ht="15">
      <c r="F106" s="142"/>
      <c r="J106" s="141"/>
    </row>
    <row r="107" spans="3:10" ht="15">
      <c r="C107" s="285" t="s">
        <v>507</v>
      </c>
      <c r="D107" s="285"/>
      <c r="E107" s="285"/>
      <c r="F107" s="285"/>
      <c r="G107" s="285"/>
      <c r="H107" s="285"/>
      <c r="I107" s="285"/>
      <c r="J107" s="141"/>
    </row>
    <row r="108" spans="6:10" ht="15">
      <c r="F108" s="142"/>
      <c r="J108" s="141"/>
    </row>
    <row r="109" spans="2:10" ht="15">
      <c r="B109" t="s">
        <v>508</v>
      </c>
      <c r="F109" s="142"/>
      <c r="J109" s="141"/>
    </row>
    <row r="110" spans="3:10" ht="15">
      <c r="C110" t="s">
        <v>487</v>
      </c>
      <c r="E110" s="153">
        <v>0.023</v>
      </c>
      <c r="F110" s="142"/>
      <c r="J110" s="141"/>
    </row>
    <row r="111" spans="3:10" ht="15">
      <c r="C111" t="s">
        <v>488</v>
      </c>
      <c r="E111" s="153">
        <v>0.044</v>
      </c>
      <c r="F111" s="142"/>
      <c r="J111" s="141"/>
    </row>
    <row r="112" spans="5:10" ht="15">
      <c r="E112" s="148"/>
      <c r="F112" s="142"/>
      <c r="J112" s="141"/>
    </row>
    <row r="113" spans="5:10" ht="15">
      <c r="E113" s="148"/>
      <c r="F113" s="142"/>
      <c r="J113" s="141"/>
    </row>
    <row r="114" spans="6:10" ht="15">
      <c r="F114" s="142"/>
      <c r="J114" s="141"/>
    </row>
    <row r="115" spans="6:10" ht="15">
      <c r="F115" s="142"/>
      <c r="J115" s="141"/>
    </row>
    <row r="116" spans="6:10" ht="15">
      <c r="F116" s="142"/>
      <c r="J116" s="141"/>
    </row>
    <row r="117" spans="1:10" ht="15">
      <c r="A117" s="146" t="s">
        <v>511</v>
      </c>
      <c r="B117" s="146"/>
      <c r="C117" s="146"/>
      <c r="D117" s="146"/>
      <c r="E117" s="146"/>
      <c r="F117" s="140"/>
      <c r="G117" s="146"/>
      <c r="H117" s="146"/>
      <c r="I117" s="146"/>
      <c r="J117" s="147" t="s">
        <v>512</v>
      </c>
    </row>
    <row r="118" spans="6:10" ht="15">
      <c r="F118" s="142"/>
      <c r="J118" s="141"/>
    </row>
    <row r="119" spans="3:10" ht="15">
      <c r="C119" s="285" t="s">
        <v>513</v>
      </c>
      <c r="D119" s="285"/>
      <c r="E119" s="285"/>
      <c r="F119" s="285"/>
      <c r="G119" s="285"/>
      <c r="H119" s="285"/>
      <c r="I119" s="285"/>
      <c r="J119" s="141"/>
    </row>
    <row r="120" spans="6:10" ht="15">
      <c r="F120" s="142"/>
      <c r="J120" s="141"/>
    </row>
    <row r="121" spans="2:10" ht="15">
      <c r="B121" t="s">
        <v>508</v>
      </c>
      <c r="F121" s="142"/>
      <c r="J121" s="141"/>
    </row>
    <row r="122" spans="3:10" ht="15">
      <c r="C122" t="s">
        <v>487</v>
      </c>
      <c r="E122" s="153">
        <v>0.018</v>
      </c>
      <c r="F122" s="142"/>
      <c r="J122" s="141"/>
    </row>
    <row r="123" spans="3:10" ht="15">
      <c r="C123" t="s">
        <v>488</v>
      </c>
      <c r="E123" s="153">
        <v>0.022</v>
      </c>
      <c r="F123" s="142"/>
      <c r="J123" s="141"/>
    </row>
    <row r="124" spans="5:10" ht="15">
      <c r="E124" s="148"/>
      <c r="F124" s="142"/>
      <c r="J124" s="141"/>
    </row>
    <row r="125" spans="5:10" ht="15">
      <c r="E125" s="148"/>
      <c r="F125" s="142"/>
      <c r="J125" s="141"/>
    </row>
    <row r="126" spans="6:10" ht="15">
      <c r="F126" s="142"/>
      <c r="J126" s="141"/>
    </row>
    <row r="127" spans="6:10" ht="15">
      <c r="F127" s="142"/>
      <c r="J127" s="141"/>
    </row>
    <row r="128" spans="6:10" ht="15">
      <c r="F128" s="142"/>
      <c r="J128" s="141"/>
    </row>
    <row r="129" spans="1:10" ht="15">
      <c r="A129" s="146" t="s">
        <v>514</v>
      </c>
      <c r="B129" s="146"/>
      <c r="C129" s="146"/>
      <c r="D129" s="146"/>
      <c r="E129" s="146"/>
      <c r="F129" s="140"/>
      <c r="G129" s="146"/>
      <c r="H129" s="146"/>
      <c r="I129" s="146"/>
      <c r="J129" s="147" t="s">
        <v>515</v>
      </c>
    </row>
    <row r="130" spans="6:10" ht="15">
      <c r="F130" s="142"/>
      <c r="J130" s="141"/>
    </row>
    <row r="131" spans="3:10" ht="15">
      <c r="C131" s="285" t="s">
        <v>516</v>
      </c>
      <c r="D131" s="285"/>
      <c r="E131" s="285"/>
      <c r="F131" s="285"/>
      <c r="G131" s="285"/>
      <c r="H131" s="285"/>
      <c r="I131" s="285"/>
      <c r="J131" s="141"/>
    </row>
    <row r="132" spans="6:10" ht="15">
      <c r="F132" s="142"/>
      <c r="J132" s="141"/>
    </row>
    <row r="133" spans="2:10" ht="15">
      <c r="B133" t="s">
        <v>517</v>
      </c>
      <c r="F133" s="142"/>
      <c r="J133" s="141"/>
    </row>
    <row r="134" spans="3:10" ht="15">
      <c r="C134" t="s">
        <v>478</v>
      </c>
      <c r="E134" s="150">
        <v>25.5</v>
      </c>
      <c r="F134" s="142"/>
      <c r="J134" s="141"/>
    </row>
    <row r="135" spans="3:10" ht="15">
      <c r="C135" t="s">
        <v>518</v>
      </c>
      <c r="E135" s="150">
        <v>5.1</v>
      </c>
      <c r="F135" s="142"/>
      <c r="J135" s="141"/>
    </row>
    <row r="136" spans="5:10" ht="15">
      <c r="E136" s="148"/>
      <c r="F136" s="142"/>
      <c r="J136" s="141"/>
    </row>
    <row r="137" spans="5:10" ht="15">
      <c r="E137" s="148"/>
      <c r="F137" s="142"/>
      <c r="J137" s="141"/>
    </row>
    <row r="138" spans="6:10" ht="15">
      <c r="F138" s="142"/>
      <c r="J138" s="141"/>
    </row>
    <row r="139" spans="6:10" ht="15">
      <c r="F139" s="142"/>
      <c r="J139" s="141"/>
    </row>
    <row r="140" spans="6:10" ht="15">
      <c r="F140" s="142"/>
      <c r="J140" s="141"/>
    </row>
    <row r="141" spans="1:10" ht="15">
      <c r="A141" s="146" t="s">
        <v>519</v>
      </c>
      <c r="B141" s="146"/>
      <c r="C141" s="146"/>
      <c r="D141" s="146"/>
      <c r="E141" s="146"/>
      <c r="F141" s="140"/>
      <c r="G141" s="146"/>
      <c r="H141" s="146"/>
      <c r="I141" s="146"/>
      <c r="J141" s="147" t="s">
        <v>520</v>
      </c>
    </row>
    <row r="142" spans="6:10" ht="15">
      <c r="F142" s="142"/>
      <c r="J142" s="141"/>
    </row>
    <row r="143" spans="3:10" ht="15">
      <c r="C143" s="285" t="s">
        <v>521</v>
      </c>
      <c r="D143" s="285"/>
      <c r="E143" s="285"/>
      <c r="F143" s="285"/>
      <c r="G143" s="285"/>
      <c r="H143" s="285"/>
      <c r="I143" s="285"/>
      <c r="J143" s="141"/>
    </row>
    <row r="144" spans="6:10" ht="15">
      <c r="F144" s="142"/>
      <c r="J144" s="141"/>
    </row>
    <row r="145" spans="2:10" ht="15">
      <c r="B145" t="s">
        <v>508</v>
      </c>
      <c r="F145" s="142"/>
      <c r="J145" s="141"/>
    </row>
    <row r="146" spans="3:10" ht="15">
      <c r="C146" t="s">
        <v>487</v>
      </c>
      <c r="E146" s="154">
        <v>9</v>
      </c>
      <c r="F146" s="142"/>
      <c r="J146" s="141"/>
    </row>
    <row r="147" spans="3:10" ht="15">
      <c r="C147" t="s">
        <v>488</v>
      </c>
      <c r="E147" s="154">
        <v>16</v>
      </c>
      <c r="F147" s="142"/>
      <c r="J147" s="141"/>
    </row>
    <row r="148" spans="5:10" ht="15">
      <c r="E148" s="148"/>
      <c r="F148" s="142"/>
      <c r="J148" s="141"/>
    </row>
    <row r="149" spans="5:10" ht="15">
      <c r="E149" s="148"/>
      <c r="F149" s="142"/>
      <c r="J149" s="141"/>
    </row>
    <row r="150" spans="6:10" ht="15">
      <c r="F150" s="142"/>
      <c r="J150" s="141"/>
    </row>
    <row r="151" spans="6:10" ht="15">
      <c r="F151" s="142"/>
      <c r="J151" s="141"/>
    </row>
    <row r="152" spans="6:10" ht="15">
      <c r="F152" s="142"/>
      <c r="J152" s="141"/>
    </row>
    <row r="153" spans="1:10" ht="15">
      <c r="A153" s="146" t="s">
        <v>522</v>
      </c>
      <c r="B153" s="146"/>
      <c r="C153" s="146"/>
      <c r="D153" s="146"/>
      <c r="E153" s="146"/>
      <c r="F153" s="140"/>
      <c r="G153" s="146"/>
      <c r="H153" s="146"/>
      <c r="I153" s="146"/>
      <c r="J153" s="147" t="s">
        <v>523</v>
      </c>
    </row>
    <row r="154" spans="6:10" ht="15">
      <c r="F154" s="142"/>
      <c r="J154" s="141"/>
    </row>
    <row r="155" spans="3:10" ht="15">
      <c r="C155" s="285" t="s">
        <v>524</v>
      </c>
      <c r="D155" s="285"/>
      <c r="E155" s="285"/>
      <c r="F155" s="285"/>
      <c r="G155" s="285"/>
      <c r="H155" s="285"/>
      <c r="I155" s="285"/>
      <c r="J155" s="141"/>
    </row>
    <row r="156" spans="6:10" ht="15">
      <c r="F156" s="142"/>
      <c r="J156" s="141"/>
    </row>
    <row r="157" spans="2:10" ht="15">
      <c r="B157" t="s">
        <v>525</v>
      </c>
      <c r="F157" s="142"/>
      <c r="J157" s="141"/>
    </row>
    <row r="158" spans="3:10" ht="15">
      <c r="C158" t="s">
        <v>478</v>
      </c>
      <c r="E158" s="153">
        <v>0.19432</v>
      </c>
      <c r="F158" s="142"/>
      <c r="J158" s="141"/>
    </row>
    <row r="159" spans="3:10" ht="15">
      <c r="C159" t="s">
        <v>518</v>
      </c>
      <c r="E159" s="153">
        <v>0.019</v>
      </c>
      <c r="F159" s="142"/>
      <c r="J159" s="141"/>
    </row>
    <row r="160" spans="5:10" ht="15">
      <c r="E160" s="148"/>
      <c r="F160" s="142"/>
      <c r="J160" s="141"/>
    </row>
    <row r="161" spans="5:10" ht="15">
      <c r="E161" s="148"/>
      <c r="F161" s="142"/>
      <c r="J161" s="141"/>
    </row>
    <row r="162" spans="6:10" ht="15">
      <c r="F162" s="142"/>
      <c r="J162" s="141"/>
    </row>
    <row r="163" spans="6:10" ht="15">
      <c r="F163" s="142"/>
      <c r="J163" s="141"/>
    </row>
    <row r="164" spans="6:10" ht="15">
      <c r="F164" s="142"/>
      <c r="J164" s="141"/>
    </row>
    <row r="165" spans="1:10" ht="15">
      <c r="A165" s="146" t="s">
        <v>526</v>
      </c>
      <c r="B165" s="146"/>
      <c r="C165" s="146"/>
      <c r="D165" s="146"/>
      <c r="E165" s="146"/>
      <c r="F165" s="140"/>
      <c r="G165" s="146"/>
      <c r="H165" s="146"/>
      <c r="I165" s="146"/>
      <c r="J165" s="147" t="s">
        <v>527</v>
      </c>
    </row>
    <row r="166" spans="6:10" ht="15">
      <c r="F166" s="142"/>
      <c r="J166" s="141"/>
    </row>
    <row r="167" spans="3:10" ht="15">
      <c r="C167" s="285" t="s">
        <v>528</v>
      </c>
      <c r="D167" s="285"/>
      <c r="E167" s="285"/>
      <c r="F167" s="285"/>
      <c r="G167" s="285"/>
      <c r="H167" s="285"/>
      <c r="I167" s="285"/>
      <c r="J167" s="141"/>
    </row>
    <row r="168" spans="6:10" ht="15">
      <c r="F168" s="142"/>
      <c r="J168" s="141"/>
    </row>
    <row r="169" spans="2:10" ht="15">
      <c r="B169" t="s">
        <v>525</v>
      </c>
      <c r="F169" s="142"/>
      <c r="J169" s="141"/>
    </row>
    <row r="170" spans="3:10" ht="15">
      <c r="C170" t="s">
        <v>478</v>
      </c>
      <c r="E170" s="153">
        <v>0.08</v>
      </c>
      <c r="F170" s="142"/>
      <c r="J170" s="141"/>
    </row>
    <row r="171" spans="3:10" ht="15">
      <c r="C171" t="s">
        <v>518</v>
      </c>
      <c r="E171" s="153">
        <v>0.008</v>
      </c>
      <c r="F171" s="142"/>
      <c r="J171" s="141"/>
    </row>
    <row r="172" spans="5:10" ht="15">
      <c r="E172" s="148"/>
      <c r="F172" s="142"/>
      <c r="J172" s="141"/>
    </row>
    <row r="173" spans="5:10" ht="15">
      <c r="E173" s="148"/>
      <c r="F173" s="142"/>
      <c r="J173" s="141"/>
    </row>
    <row r="174" spans="6:10" ht="15">
      <c r="F174" s="142"/>
      <c r="J174" s="141"/>
    </row>
    <row r="175" spans="6:10" ht="15">
      <c r="F175" s="142"/>
      <c r="J175" s="141"/>
    </row>
    <row r="176" spans="6:10" ht="15">
      <c r="F176" s="142"/>
      <c r="J176" s="141"/>
    </row>
    <row r="177" spans="1:10" ht="15">
      <c r="A177" t="s">
        <v>542</v>
      </c>
      <c r="F177" s="142"/>
      <c r="J177" s="141"/>
    </row>
    <row r="178" spans="6:10" ht="15">
      <c r="F178" s="140" t="s">
        <v>543</v>
      </c>
      <c r="J178" s="141"/>
    </row>
    <row r="179" spans="6:10" ht="15">
      <c r="F179" s="142"/>
      <c r="J179" s="141"/>
    </row>
    <row r="180" spans="6:10" ht="15">
      <c r="F180" s="142"/>
      <c r="J180" s="141"/>
    </row>
    <row r="181" spans="6:10" ht="15">
      <c r="F181" s="142"/>
      <c r="J181" s="141"/>
    </row>
    <row r="182" spans="6:10" ht="15">
      <c r="F182" s="142"/>
      <c r="J182" s="141"/>
    </row>
    <row r="183" spans="6:10" ht="15">
      <c r="F183" s="142"/>
      <c r="J183" s="141"/>
    </row>
    <row r="184" spans="6:10" ht="15">
      <c r="F184" s="142"/>
      <c r="J184" s="141"/>
    </row>
    <row r="185" spans="6:10" ht="15">
      <c r="F185" s="142"/>
      <c r="J185" s="141"/>
    </row>
    <row r="186" spans="6:10" ht="15">
      <c r="F186" s="142"/>
      <c r="J186" s="141"/>
    </row>
    <row r="187" spans="6:10" ht="15">
      <c r="F187" s="142"/>
      <c r="J187" s="141"/>
    </row>
    <row r="188" spans="6:10" ht="15">
      <c r="F188" s="142"/>
      <c r="J188" s="141"/>
    </row>
    <row r="189" spans="6:10" ht="15">
      <c r="F189" s="142"/>
      <c r="J189" s="141"/>
    </row>
    <row r="190" spans="6:10" ht="15">
      <c r="F190" s="142"/>
      <c r="J190" s="141"/>
    </row>
    <row r="191" spans="6:10" ht="15">
      <c r="F191" s="142"/>
      <c r="J191" s="141"/>
    </row>
    <row r="192" spans="6:10" ht="15">
      <c r="F192" s="142"/>
      <c r="J192" s="141"/>
    </row>
    <row r="193" spans="6:10" ht="15">
      <c r="F193" s="142"/>
      <c r="J193" s="141"/>
    </row>
    <row r="194" spans="6:10" ht="15">
      <c r="F194" s="142"/>
      <c r="J194" s="141"/>
    </row>
    <row r="195" spans="6:10" ht="15">
      <c r="F195" s="142"/>
      <c r="J195" s="141"/>
    </row>
    <row r="196" spans="6:10" ht="15">
      <c r="F196" s="142"/>
      <c r="J196" s="141"/>
    </row>
    <row r="197" spans="6:10" ht="15">
      <c r="F197" s="142"/>
      <c r="J197" s="141"/>
    </row>
    <row r="198" spans="6:10" ht="15">
      <c r="F198" s="142"/>
      <c r="J198" s="141"/>
    </row>
    <row r="199" spans="6:10" ht="15">
      <c r="F199" s="142"/>
      <c r="J199" s="141"/>
    </row>
    <row r="200" spans="6:10" ht="15">
      <c r="F200" s="142"/>
      <c r="J200" s="141"/>
    </row>
    <row r="201" spans="6:10" ht="15">
      <c r="F201" s="142"/>
      <c r="J201" s="141"/>
    </row>
    <row r="202" spans="6:10" ht="15">
      <c r="F202" s="142"/>
      <c r="J202" s="141"/>
    </row>
    <row r="203" spans="6:10" ht="15">
      <c r="F203" s="142"/>
      <c r="J203" s="141"/>
    </row>
    <row r="204" spans="6:10" ht="15">
      <c r="F204" s="142"/>
      <c r="J204" s="141"/>
    </row>
    <row r="205" spans="6:10" ht="15">
      <c r="F205" s="142"/>
      <c r="J205" s="141"/>
    </row>
    <row r="206" spans="1:10" ht="15">
      <c r="A206" t="s">
        <v>544</v>
      </c>
      <c r="F206" s="142"/>
      <c r="J206" s="141"/>
    </row>
  </sheetData>
  <sheetProtection/>
  <mergeCells count="7">
    <mergeCell ref="C167:I167"/>
    <mergeCell ref="C95:I95"/>
    <mergeCell ref="C107:I107"/>
    <mergeCell ref="C119:I119"/>
    <mergeCell ref="C131:I131"/>
    <mergeCell ref="C143:I143"/>
    <mergeCell ref="C155:I15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3"/>
  <sheetViews>
    <sheetView zoomScale="58" zoomScaleNormal="58" zoomScalePageLayoutView="0" workbookViewId="0" topLeftCell="A35">
      <selection activeCell="A35" sqref="A35"/>
    </sheetView>
  </sheetViews>
  <sheetFormatPr defaultColWidth="11.421875" defaultRowHeight="15"/>
  <cols>
    <col min="1" max="1" width="33.8515625" style="0" customWidth="1"/>
    <col min="2" max="2" width="19.8515625" style="0" bestFit="1" customWidth="1"/>
    <col min="3" max="3" width="17.57421875" style="0" customWidth="1"/>
    <col min="4" max="4" width="18.57421875" style="0" customWidth="1"/>
    <col min="5" max="6" width="28.00390625" style="0" bestFit="1" customWidth="1"/>
    <col min="7" max="7" width="21.140625" style="0" bestFit="1" customWidth="1"/>
    <col min="8" max="8" width="17.421875" style="0" bestFit="1" customWidth="1"/>
    <col min="9" max="9" width="13.00390625" style="0" customWidth="1"/>
    <col min="10" max="10" width="18.57421875" style="0" bestFit="1" customWidth="1"/>
    <col min="11" max="11" width="17.421875" style="0" bestFit="1" customWidth="1"/>
    <col min="12" max="12" width="26.140625" style="0" bestFit="1" customWidth="1"/>
    <col min="13" max="13" width="16.28125" style="0" bestFit="1" customWidth="1"/>
  </cols>
  <sheetData>
    <row r="1" spans="1:13" ht="15">
      <c r="A1" s="89" t="s">
        <v>430</v>
      </c>
      <c r="B1" s="90">
        <v>1</v>
      </c>
      <c r="C1" s="90">
        <v>2</v>
      </c>
      <c r="D1" s="90">
        <v>3</v>
      </c>
      <c r="E1" s="90">
        <v>4</v>
      </c>
      <c r="F1" s="90">
        <v>5</v>
      </c>
      <c r="G1" s="90">
        <v>6</v>
      </c>
      <c r="H1" s="90">
        <v>7</v>
      </c>
      <c r="I1" s="90">
        <v>8</v>
      </c>
      <c r="J1" s="90">
        <v>9</v>
      </c>
      <c r="K1" s="90">
        <v>10</v>
      </c>
      <c r="L1" s="90">
        <v>11</v>
      </c>
      <c r="M1" s="90">
        <v>12</v>
      </c>
    </row>
    <row r="2" spans="1:13" ht="15">
      <c r="A2" s="89" t="s">
        <v>34</v>
      </c>
      <c r="B2" s="89" t="s">
        <v>323</v>
      </c>
      <c r="C2" s="89" t="s">
        <v>0</v>
      </c>
      <c r="D2" s="89" t="s">
        <v>1</v>
      </c>
      <c r="E2" s="89" t="s">
        <v>25</v>
      </c>
      <c r="F2" s="89" t="s">
        <v>2</v>
      </c>
      <c r="G2" s="89" t="s">
        <v>3</v>
      </c>
      <c r="H2" s="89" t="s">
        <v>324</v>
      </c>
      <c r="I2" s="89" t="s">
        <v>4</v>
      </c>
      <c r="J2" s="89" t="s">
        <v>325</v>
      </c>
      <c r="K2" s="89" t="s">
        <v>5</v>
      </c>
      <c r="L2" s="89" t="s">
        <v>6</v>
      </c>
      <c r="M2" s="89" t="s">
        <v>39</v>
      </c>
    </row>
    <row r="3" spans="1:13" ht="15">
      <c r="A3" s="89" t="s">
        <v>7</v>
      </c>
      <c r="B3" s="88" t="s">
        <v>8</v>
      </c>
      <c r="C3" s="88" t="s">
        <v>9</v>
      </c>
      <c r="D3" s="88" t="s">
        <v>10</v>
      </c>
      <c r="E3" s="88" t="s">
        <v>8</v>
      </c>
      <c r="F3" s="88" t="s">
        <v>8</v>
      </c>
      <c r="G3" s="88" t="s">
        <v>9</v>
      </c>
      <c r="H3" s="88" t="s">
        <v>8</v>
      </c>
      <c r="I3" s="88" t="s">
        <v>8</v>
      </c>
      <c r="J3" s="88" t="s">
        <v>10</v>
      </c>
      <c r="K3" s="88" t="s">
        <v>11</v>
      </c>
      <c r="L3" s="88" t="s">
        <v>11</v>
      </c>
      <c r="M3" s="88" t="s">
        <v>40</v>
      </c>
    </row>
    <row r="4" spans="1:13" ht="1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3" ht="15">
      <c r="A5" s="89" t="s">
        <v>26</v>
      </c>
      <c r="B5" s="90" t="s">
        <v>12</v>
      </c>
      <c r="C5" s="90" t="s">
        <v>13</v>
      </c>
      <c r="D5" s="90" t="s">
        <v>14</v>
      </c>
      <c r="E5" s="90" t="s">
        <v>15</v>
      </c>
      <c r="F5" s="90" t="s">
        <v>16</v>
      </c>
      <c r="G5" s="90" t="s">
        <v>17</v>
      </c>
      <c r="H5" s="90" t="s">
        <v>18</v>
      </c>
      <c r="I5" s="90" t="s">
        <v>19</v>
      </c>
      <c r="J5" s="90" t="s">
        <v>20</v>
      </c>
      <c r="K5" s="90" t="s">
        <v>21</v>
      </c>
      <c r="L5" s="90" t="s">
        <v>22</v>
      </c>
      <c r="M5" s="90" t="s">
        <v>23</v>
      </c>
    </row>
    <row r="6" spans="1:13" ht="15">
      <c r="A6" s="88" t="s">
        <v>323</v>
      </c>
      <c r="B6" s="91" t="s">
        <v>24</v>
      </c>
      <c r="C6" s="91"/>
      <c r="D6" s="91"/>
      <c r="E6" s="91"/>
      <c r="F6" s="91"/>
      <c r="G6" s="91"/>
      <c r="H6" s="91"/>
      <c r="I6" s="91"/>
      <c r="J6" s="91"/>
      <c r="K6" s="91" t="s">
        <v>24</v>
      </c>
      <c r="L6" s="91"/>
      <c r="M6" s="91"/>
    </row>
    <row r="7" spans="1:13" ht="15">
      <c r="A7" s="92" t="s">
        <v>0</v>
      </c>
      <c r="B7" s="91" t="s">
        <v>24</v>
      </c>
      <c r="C7" s="91"/>
      <c r="D7" s="91"/>
      <c r="E7" s="91"/>
      <c r="F7" s="91"/>
      <c r="G7" s="91"/>
      <c r="H7" s="91"/>
      <c r="I7" s="91"/>
      <c r="J7" s="91"/>
      <c r="K7" s="91" t="s">
        <v>24</v>
      </c>
      <c r="L7" s="91"/>
      <c r="M7" s="91"/>
    </row>
    <row r="8" spans="1:13" ht="15">
      <c r="A8" s="92" t="s">
        <v>1</v>
      </c>
      <c r="B8" s="91" t="s">
        <v>24</v>
      </c>
      <c r="C8" s="91"/>
      <c r="D8" s="91"/>
      <c r="E8" s="91"/>
      <c r="F8" s="91"/>
      <c r="G8" s="91"/>
      <c r="H8" s="91"/>
      <c r="I8" s="91"/>
      <c r="J8" s="91"/>
      <c r="K8" s="91" t="s">
        <v>24</v>
      </c>
      <c r="L8" s="91"/>
      <c r="M8" s="91"/>
    </row>
    <row r="9" spans="1:13" ht="15">
      <c r="A9" s="92" t="s">
        <v>25</v>
      </c>
      <c r="B9" s="91"/>
      <c r="C9" s="91" t="s">
        <v>24</v>
      </c>
      <c r="D9" s="91"/>
      <c r="E9" s="91"/>
      <c r="F9" s="91"/>
      <c r="G9" s="91"/>
      <c r="H9" s="91"/>
      <c r="I9" s="91"/>
      <c r="J9" s="91"/>
      <c r="K9" s="91"/>
      <c r="L9" s="91" t="s">
        <v>24</v>
      </c>
      <c r="M9" s="91"/>
    </row>
    <row r="10" spans="1:13" ht="15">
      <c r="A10" s="92" t="s">
        <v>2</v>
      </c>
      <c r="B10" s="91"/>
      <c r="C10" s="91" t="s">
        <v>24</v>
      </c>
      <c r="D10" s="91"/>
      <c r="E10" s="91"/>
      <c r="F10" s="91"/>
      <c r="G10" s="91"/>
      <c r="H10" s="91"/>
      <c r="I10" s="91"/>
      <c r="J10" s="91"/>
      <c r="K10" s="91"/>
      <c r="L10" s="91" t="s">
        <v>24</v>
      </c>
      <c r="M10" s="91"/>
    </row>
    <row r="11" spans="1:13" ht="15">
      <c r="A11" s="92" t="s">
        <v>3</v>
      </c>
      <c r="B11" s="91"/>
      <c r="C11" s="91"/>
      <c r="D11" s="91" t="s">
        <v>24</v>
      </c>
      <c r="E11" s="91" t="s">
        <v>24</v>
      </c>
      <c r="F11" s="91" t="s">
        <v>24</v>
      </c>
      <c r="G11" s="91" t="s">
        <v>24</v>
      </c>
      <c r="H11" s="91" t="s">
        <v>24</v>
      </c>
      <c r="I11" s="91" t="s">
        <v>24</v>
      </c>
      <c r="J11" s="91" t="s">
        <v>24</v>
      </c>
      <c r="K11" s="91"/>
      <c r="L11" s="91"/>
      <c r="M11" s="91" t="s">
        <v>24</v>
      </c>
    </row>
    <row r="12" spans="1:13" ht="15">
      <c r="A12" s="88" t="s">
        <v>324</v>
      </c>
      <c r="B12" s="91"/>
      <c r="C12" s="91" t="s">
        <v>24</v>
      </c>
      <c r="D12" s="91" t="s">
        <v>24</v>
      </c>
      <c r="E12" s="91" t="s">
        <v>24</v>
      </c>
      <c r="F12" s="91" t="s">
        <v>24</v>
      </c>
      <c r="G12" s="91" t="s">
        <v>24</v>
      </c>
      <c r="H12" s="91"/>
      <c r="I12" s="91"/>
      <c r="J12" s="91"/>
      <c r="K12" s="91"/>
      <c r="L12" s="91" t="s">
        <v>24</v>
      </c>
      <c r="M12" s="91" t="s">
        <v>24</v>
      </c>
    </row>
    <row r="13" spans="1:13" ht="15">
      <c r="A13" s="92" t="s">
        <v>4</v>
      </c>
      <c r="B13" s="91"/>
      <c r="C13" s="91"/>
      <c r="D13" s="91"/>
      <c r="E13" s="91"/>
      <c r="F13" s="91"/>
      <c r="G13" s="91"/>
      <c r="H13" s="91"/>
      <c r="I13" s="91"/>
      <c r="J13" s="91" t="s">
        <v>24</v>
      </c>
      <c r="K13" s="91"/>
      <c r="L13" s="91"/>
      <c r="M13" s="88"/>
    </row>
    <row r="14" spans="1:13" ht="15">
      <c r="A14" s="88" t="s">
        <v>325</v>
      </c>
      <c r="B14" s="91"/>
      <c r="C14" s="91"/>
      <c r="D14" s="91"/>
      <c r="E14" s="91"/>
      <c r="F14" s="91"/>
      <c r="G14" s="91"/>
      <c r="H14" s="91"/>
      <c r="I14" s="91"/>
      <c r="J14" s="91" t="s">
        <v>24</v>
      </c>
      <c r="K14" s="91"/>
      <c r="L14" s="91"/>
      <c r="M14" s="88"/>
    </row>
    <row r="15" spans="1:13" ht="15">
      <c r="A15" s="92" t="s">
        <v>5</v>
      </c>
      <c r="B15" s="91"/>
      <c r="C15" s="91"/>
      <c r="D15" s="91"/>
      <c r="E15" s="91"/>
      <c r="F15" s="91"/>
      <c r="G15" s="91"/>
      <c r="H15" s="91"/>
      <c r="I15" s="91"/>
      <c r="J15" s="91" t="s">
        <v>24</v>
      </c>
      <c r="K15" s="91"/>
      <c r="L15" s="91"/>
      <c r="M15" s="88"/>
    </row>
    <row r="16" spans="1:13" ht="15">
      <c r="A16" s="92" t="s">
        <v>6</v>
      </c>
      <c r="B16" s="88"/>
      <c r="C16" s="88"/>
      <c r="D16" s="88"/>
      <c r="E16" s="88"/>
      <c r="F16" s="88"/>
      <c r="G16" s="88"/>
      <c r="H16" s="88"/>
      <c r="I16" s="88"/>
      <c r="J16" s="91" t="s">
        <v>24</v>
      </c>
      <c r="K16" s="88"/>
      <c r="L16" s="88"/>
      <c r="M16" s="88"/>
    </row>
    <row r="17" spans="1:13" ht="15">
      <c r="A17" s="88" t="s">
        <v>39</v>
      </c>
      <c r="B17" s="91" t="s">
        <v>24</v>
      </c>
      <c r="C17" s="91" t="s">
        <v>24</v>
      </c>
      <c r="D17" s="91" t="s">
        <v>24</v>
      </c>
      <c r="E17" s="91" t="s">
        <v>24</v>
      </c>
      <c r="F17" s="91" t="s">
        <v>24</v>
      </c>
      <c r="G17" s="91" t="s">
        <v>24</v>
      </c>
      <c r="H17" s="91" t="s">
        <v>24</v>
      </c>
      <c r="I17" s="91" t="s">
        <v>24</v>
      </c>
      <c r="J17" s="91"/>
      <c r="K17" s="91" t="s">
        <v>24</v>
      </c>
      <c r="L17" s="91" t="s">
        <v>24</v>
      </c>
      <c r="M17" s="91" t="s">
        <v>24</v>
      </c>
    </row>
    <row r="18" spans="1:13" ht="15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</row>
    <row r="19" spans="1:13" ht="15">
      <c r="A19" s="89" t="s">
        <v>27</v>
      </c>
      <c r="B19" s="89"/>
      <c r="C19" s="89" t="s">
        <v>0</v>
      </c>
      <c r="D19" s="89" t="s">
        <v>1</v>
      </c>
      <c r="E19" s="89"/>
      <c r="F19" s="89"/>
      <c r="G19" s="89"/>
      <c r="H19" s="89"/>
      <c r="I19" s="88"/>
      <c r="J19" s="88"/>
      <c r="K19" s="88"/>
      <c r="L19" s="88"/>
      <c r="M19" s="88"/>
    </row>
    <row r="20" spans="1:13" ht="15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1:13" ht="15">
      <c r="A21" s="88" t="s">
        <v>28</v>
      </c>
      <c r="B21" s="88"/>
      <c r="C21" s="91" t="s">
        <v>29</v>
      </c>
      <c r="D21" s="91" t="s">
        <v>29</v>
      </c>
      <c r="E21" s="88"/>
      <c r="F21" s="88"/>
      <c r="G21" s="88"/>
      <c r="H21" s="88"/>
      <c r="I21" s="88"/>
      <c r="J21" s="88"/>
      <c r="K21" s="88"/>
      <c r="L21" s="88"/>
      <c r="M21" s="88"/>
    </row>
    <row r="22" spans="1:13" ht="15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</row>
    <row r="23" spans="1:13" ht="15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spans="1:13" ht="15">
      <c r="A24" s="89" t="s">
        <v>31</v>
      </c>
      <c r="B24" s="89"/>
      <c r="C24" s="89" t="s">
        <v>324</v>
      </c>
      <c r="D24" s="89" t="s">
        <v>5</v>
      </c>
      <c r="E24" s="89" t="s">
        <v>6</v>
      </c>
      <c r="F24" s="106" t="s">
        <v>325</v>
      </c>
      <c r="G24" s="88"/>
      <c r="H24" s="88"/>
      <c r="I24" s="88"/>
      <c r="J24" s="88"/>
      <c r="K24" s="88"/>
      <c r="L24" s="88"/>
      <c r="M24" s="88"/>
    </row>
    <row r="25" spans="1:13" ht="15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spans="1:13" ht="15">
      <c r="A26" s="88" t="s">
        <v>30</v>
      </c>
      <c r="B26" s="88"/>
      <c r="C26" s="91" t="s">
        <v>29</v>
      </c>
      <c r="D26" s="88"/>
      <c r="E26" s="88"/>
      <c r="F26" s="88"/>
      <c r="G26" s="88"/>
      <c r="H26" s="88"/>
      <c r="I26" s="88"/>
      <c r="J26" s="88"/>
      <c r="K26" s="88"/>
      <c r="L26" s="88"/>
      <c r="M26" s="88"/>
    </row>
    <row r="27" spans="1:13" ht="15">
      <c r="A27" s="88" t="s">
        <v>32</v>
      </c>
      <c r="B27" s="88"/>
      <c r="C27" s="88"/>
      <c r="D27" s="91" t="s">
        <v>29</v>
      </c>
      <c r="E27" s="88"/>
      <c r="F27" s="88"/>
      <c r="G27" s="88"/>
      <c r="H27" s="88"/>
      <c r="I27" s="88"/>
      <c r="J27" s="88"/>
      <c r="K27" s="88"/>
      <c r="L27" s="88"/>
      <c r="M27" s="88"/>
    </row>
    <row r="28" spans="1:13" ht="15">
      <c r="A28" s="88" t="s">
        <v>72</v>
      </c>
      <c r="B28" s="88"/>
      <c r="C28" s="88"/>
      <c r="D28" s="91"/>
      <c r="E28" s="88"/>
      <c r="F28" s="91" t="s">
        <v>29</v>
      </c>
      <c r="G28" s="88"/>
      <c r="H28" s="88"/>
      <c r="I28" s="88"/>
      <c r="J28" s="88"/>
      <c r="K28" s="88"/>
      <c r="L28" s="88"/>
      <c r="M28" s="88"/>
    </row>
    <row r="29" spans="1:13" ht="15">
      <c r="A29" s="88" t="s">
        <v>71</v>
      </c>
      <c r="B29" s="88"/>
      <c r="C29" s="88"/>
      <c r="D29" s="91" t="s">
        <v>29</v>
      </c>
      <c r="E29" s="88"/>
      <c r="F29" s="91"/>
      <c r="G29" s="88"/>
      <c r="H29" s="88"/>
      <c r="I29" s="88"/>
      <c r="J29" s="88"/>
      <c r="K29" s="88"/>
      <c r="L29" s="88"/>
      <c r="M29" s="88"/>
    </row>
    <row r="30" spans="1:13" ht="15">
      <c r="A30" s="88" t="s">
        <v>70</v>
      </c>
      <c r="B30" s="88"/>
      <c r="C30" s="88"/>
      <c r="D30" s="91" t="s">
        <v>29</v>
      </c>
      <c r="E30" s="91" t="s">
        <v>29</v>
      </c>
      <c r="F30" s="91" t="s">
        <v>29</v>
      </c>
      <c r="G30" s="88"/>
      <c r="H30" s="88"/>
      <c r="I30" s="88"/>
      <c r="J30" s="88"/>
      <c r="K30" s="88"/>
      <c r="L30" s="88"/>
      <c r="M30" s="88"/>
    </row>
    <row r="31" spans="1:13" ht="15">
      <c r="A31" s="88" t="s">
        <v>384</v>
      </c>
      <c r="B31" s="88"/>
      <c r="C31" s="88"/>
      <c r="D31" s="91"/>
      <c r="E31" s="91" t="s">
        <v>29</v>
      </c>
      <c r="F31" s="91"/>
      <c r="G31" s="88"/>
      <c r="H31" s="88"/>
      <c r="I31" s="88"/>
      <c r="J31" s="88"/>
      <c r="K31" s="88"/>
      <c r="L31" s="88"/>
      <c r="M31" s="88"/>
    </row>
    <row r="32" spans="1:13" ht="15">
      <c r="A32" s="88" t="s">
        <v>326</v>
      </c>
      <c r="B32" s="88"/>
      <c r="C32" s="88"/>
      <c r="D32" s="88"/>
      <c r="E32" s="91" t="s">
        <v>29</v>
      </c>
      <c r="F32" s="88"/>
      <c r="G32" s="88"/>
      <c r="H32" s="88"/>
      <c r="I32" s="88"/>
      <c r="J32" s="88"/>
      <c r="K32" s="88"/>
      <c r="L32" s="88"/>
      <c r="M32" s="88"/>
    </row>
    <row r="33" spans="1:13" ht="15">
      <c r="A33" s="88" t="s">
        <v>33</v>
      </c>
      <c r="B33" s="88"/>
      <c r="C33" s="88"/>
      <c r="D33" s="88"/>
      <c r="E33" s="91" t="s">
        <v>29</v>
      </c>
      <c r="F33" s="88"/>
      <c r="G33" s="88"/>
      <c r="H33" s="88"/>
      <c r="I33" s="88"/>
      <c r="J33" s="88"/>
      <c r="K33" s="88"/>
      <c r="L33" s="88"/>
      <c r="M33" s="88"/>
    </row>
    <row r="34" spans="1:13" ht="1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  <row r="35" spans="1:13" ht="1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1:13" ht="15">
      <c r="A36" s="89" t="s">
        <v>35</v>
      </c>
      <c r="B36" s="89" t="s">
        <v>25</v>
      </c>
      <c r="C36" s="89" t="s">
        <v>2</v>
      </c>
      <c r="D36" s="89" t="s">
        <v>325</v>
      </c>
      <c r="E36" s="89" t="s">
        <v>3</v>
      </c>
      <c r="F36" s="89" t="s">
        <v>6</v>
      </c>
      <c r="G36" s="89" t="s">
        <v>5</v>
      </c>
      <c r="H36" s="89" t="s">
        <v>4</v>
      </c>
      <c r="I36" s="89" t="s">
        <v>39</v>
      </c>
      <c r="J36" s="88"/>
      <c r="K36" s="88"/>
      <c r="L36" s="88"/>
      <c r="M36" s="88"/>
    </row>
    <row r="37" spans="1:13" ht="15">
      <c r="A37" s="89"/>
      <c r="B37" s="88"/>
      <c r="C37" s="89"/>
      <c r="D37" s="89"/>
      <c r="E37" s="89"/>
      <c r="F37" s="88"/>
      <c r="G37" s="88"/>
      <c r="H37" s="88"/>
      <c r="I37" s="88"/>
      <c r="J37" s="88"/>
      <c r="K37" s="88"/>
      <c r="L37" s="88"/>
      <c r="M37" s="88"/>
    </row>
    <row r="38" spans="1:13" ht="15">
      <c r="A38" s="88" t="s">
        <v>36</v>
      </c>
      <c r="B38" s="88"/>
      <c r="C38" s="91" t="s">
        <v>29</v>
      </c>
      <c r="D38" s="91" t="s">
        <v>29</v>
      </c>
      <c r="E38" s="91" t="s">
        <v>29</v>
      </c>
      <c r="F38" s="88"/>
      <c r="G38" s="88"/>
      <c r="H38" s="88"/>
      <c r="I38" s="88"/>
      <c r="J38" s="88"/>
      <c r="K38" s="88"/>
      <c r="L38" s="88"/>
      <c r="M38" s="88"/>
    </row>
    <row r="39" spans="1:13" ht="15">
      <c r="A39" s="88" t="s">
        <v>37</v>
      </c>
      <c r="B39" s="88"/>
      <c r="C39" s="88"/>
      <c r="D39" s="91" t="s">
        <v>29</v>
      </c>
      <c r="E39" s="88"/>
      <c r="F39" s="88"/>
      <c r="G39" s="88"/>
      <c r="H39" s="88"/>
      <c r="I39" s="88"/>
      <c r="J39" s="88"/>
      <c r="K39" s="88"/>
      <c r="L39" s="88"/>
      <c r="M39" s="88"/>
    </row>
    <row r="40" spans="1:13" ht="15">
      <c r="A40" s="88" t="s">
        <v>327</v>
      </c>
      <c r="B40" s="91" t="s">
        <v>29</v>
      </c>
      <c r="C40" s="91" t="s">
        <v>29</v>
      </c>
      <c r="D40" s="91" t="s">
        <v>29</v>
      </c>
      <c r="E40" s="91" t="s">
        <v>29</v>
      </c>
      <c r="F40" s="91" t="s">
        <v>29</v>
      </c>
      <c r="G40" s="91" t="s">
        <v>29</v>
      </c>
      <c r="H40" s="91" t="s">
        <v>29</v>
      </c>
      <c r="I40" s="91"/>
      <c r="J40" s="88"/>
      <c r="K40" s="88"/>
      <c r="L40" s="88"/>
      <c r="M40" s="88"/>
    </row>
    <row r="41" spans="1:13" ht="15">
      <c r="A41" s="88" t="s">
        <v>38</v>
      </c>
      <c r="B41" s="88"/>
      <c r="C41" s="88"/>
      <c r="D41" s="88"/>
      <c r="E41" s="88"/>
      <c r="F41" s="88"/>
      <c r="G41" s="88"/>
      <c r="H41" s="88"/>
      <c r="I41" s="91" t="s">
        <v>29</v>
      </c>
      <c r="J41" s="88"/>
      <c r="K41" s="88"/>
      <c r="L41" s="88"/>
      <c r="M41" s="88"/>
    </row>
    <row r="42" spans="1:13" ht="15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1:13" ht="15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</row>
    <row r="44" spans="1:13" ht="15">
      <c r="A44" s="89" t="s">
        <v>56</v>
      </c>
      <c r="B44" s="89" t="s">
        <v>2</v>
      </c>
      <c r="C44" s="89" t="s">
        <v>25</v>
      </c>
      <c r="D44" s="89" t="s">
        <v>1</v>
      </c>
      <c r="E44" s="89" t="s">
        <v>3</v>
      </c>
      <c r="F44" s="89" t="s">
        <v>324</v>
      </c>
      <c r="G44" s="89" t="s">
        <v>99</v>
      </c>
      <c r="H44" s="89" t="s">
        <v>100</v>
      </c>
      <c r="I44" s="89" t="s">
        <v>109</v>
      </c>
      <c r="J44" s="88"/>
      <c r="K44" s="88"/>
      <c r="L44" s="88"/>
      <c r="M44" s="88"/>
    </row>
    <row r="45" spans="1:13" ht="15">
      <c r="A45" s="88" t="s">
        <v>96</v>
      </c>
      <c r="B45" s="91" t="s">
        <v>29</v>
      </c>
      <c r="C45" s="88"/>
      <c r="D45" s="88"/>
      <c r="E45" s="88"/>
      <c r="F45" s="88"/>
      <c r="G45" s="93">
        <v>0.02</v>
      </c>
      <c r="H45" s="88" t="s">
        <v>101</v>
      </c>
      <c r="I45" s="88" t="s">
        <v>328</v>
      </c>
      <c r="J45" s="88"/>
      <c r="K45" s="88"/>
      <c r="L45" s="88"/>
      <c r="M45" s="88"/>
    </row>
    <row r="46" spans="1:13" ht="15">
      <c r="A46" s="88" t="s">
        <v>329</v>
      </c>
      <c r="B46" s="88"/>
      <c r="C46" s="91" t="s">
        <v>29</v>
      </c>
      <c r="D46" s="88"/>
      <c r="E46" s="91" t="s">
        <v>29</v>
      </c>
      <c r="F46" s="88"/>
      <c r="G46" s="93">
        <v>0.5</v>
      </c>
      <c r="H46" s="88" t="s">
        <v>102</v>
      </c>
      <c r="I46" s="88" t="s">
        <v>330</v>
      </c>
      <c r="J46" s="88"/>
      <c r="K46" s="88"/>
      <c r="L46" s="88"/>
      <c r="M46" s="88"/>
    </row>
    <row r="47" spans="1:13" ht="15">
      <c r="A47" s="88" t="s">
        <v>97</v>
      </c>
      <c r="B47" s="88"/>
      <c r="C47" s="88"/>
      <c r="D47" s="91" t="s">
        <v>29</v>
      </c>
      <c r="E47" s="88"/>
      <c r="F47" s="88"/>
      <c r="G47" s="93">
        <v>3</v>
      </c>
      <c r="H47" s="88" t="s">
        <v>331</v>
      </c>
      <c r="I47" s="88" t="s">
        <v>110</v>
      </c>
      <c r="J47" s="88"/>
      <c r="K47" s="88"/>
      <c r="L47" s="88"/>
      <c r="M47" s="88"/>
    </row>
    <row r="48" spans="1:13" ht="15">
      <c r="A48" s="88" t="s">
        <v>98</v>
      </c>
      <c r="B48" s="88"/>
      <c r="C48" s="88"/>
      <c r="D48" s="88"/>
      <c r="E48" s="88"/>
      <c r="F48" s="91" t="s">
        <v>29</v>
      </c>
      <c r="G48" s="93">
        <v>3</v>
      </c>
      <c r="H48" s="88" t="s">
        <v>331</v>
      </c>
      <c r="I48" s="88" t="s">
        <v>111</v>
      </c>
      <c r="J48" s="88"/>
      <c r="K48" s="88"/>
      <c r="L48" s="88"/>
      <c r="M48" s="88"/>
    </row>
    <row r="49" spans="1:13" ht="15">
      <c r="A49" s="88" t="s">
        <v>332</v>
      </c>
      <c r="B49" s="88"/>
      <c r="C49" s="88"/>
      <c r="D49" s="88"/>
      <c r="E49" s="88"/>
      <c r="F49" s="91" t="s">
        <v>29</v>
      </c>
      <c r="G49" s="93">
        <v>5</v>
      </c>
      <c r="H49" s="88" t="s">
        <v>333</v>
      </c>
      <c r="I49" s="88" t="s">
        <v>334</v>
      </c>
      <c r="J49" s="88"/>
      <c r="K49" s="88"/>
      <c r="L49" s="88"/>
      <c r="M49" s="88"/>
    </row>
    <row r="50" spans="1:13" ht="15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1:13" ht="15">
      <c r="A51" s="89" t="s">
        <v>41</v>
      </c>
      <c r="B51" s="90">
        <v>1</v>
      </c>
      <c r="C51" s="90">
        <v>2</v>
      </c>
      <c r="D51" s="90">
        <v>3</v>
      </c>
      <c r="E51" s="90">
        <v>4</v>
      </c>
      <c r="F51" s="90"/>
      <c r="G51" s="90"/>
      <c r="H51" s="90"/>
      <c r="I51" s="90"/>
      <c r="J51" s="90"/>
      <c r="K51" s="90"/>
      <c r="L51" s="90"/>
      <c r="M51" s="90"/>
    </row>
    <row r="52" spans="1:13" ht="15">
      <c r="A52" s="89" t="s">
        <v>34</v>
      </c>
      <c r="B52" s="89" t="s">
        <v>42</v>
      </c>
      <c r="C52" s="89" t="s">
        <v>43</v>
      </c>
      <c r="D52" s="89" t="s">
        <v>44</v>
      </c>
      <c r="E52" s="89" t="s">
        <v>45</v>
      </c>
      <c r="F52" s="89"/>
      <c r="G52" s="89"/>
      <c r="H52" s="89"/>
      <c r="I52" s="89"/>
      <c r="J52" s="89"/>
      <c r="K52" s="89"/>
      <c r="L52" s="89"/>
      <c r="M52" s="89"/>
    </row>
    <row r="53" spans="1:13" ht="15">
      <c r="A53" s="89" t="s">
        <v>7</v>
      </c>
      <c r="B53" s="88" t="s">
        <v>8</v>
      </c>
      <c r="C53" s="88" t="s">
        <v>9</v>
      </c>
      <c r="D53" s="88" t="s">
        <v>46</v>
      </c>
      <c r="E53" s="88" t="s">
        <v>11</v>
      </c>
      <c r="F53" s="88"/>
      <c r="G53" s="88"/>
      <c r="H53" s="88"/>
      <c r="I53" s="88"/>
      <c r="J53" s="88"/>
      <c r="K53" s="88"/>
      <c r="L53" s="88"/>
      <c r="M53" s="88"/>
    </row>
    <row r="54" spans="1:13" ht="15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</row>
    <row r="55" spans="1:13" ht="15">
      <c r="A55" s="89" t="s">
        <v>26</v>
      </c>
      <c r="B55" s="90" t="s">
        <v>12</v>
      </c>
      <c r="C55" s="90" t="s">
        <v>13</v>
      </c>
      <c r="D55" s="90" t="s">
        <v>14</v>
      </c>
      <c r="E55" s="90" t="s">
        <v>15</v>
      </c>
      <c r="F55" s="90" t="s">
        <v>16</v>
      </c>
      <c r="G55" s="90" t="s">
        <v>17</v>
      </c>
      <c r="H55" s="90" t="s">
        <v>18</v>
      </c>
      <c r="I55" s="90" t="s">
        <v>19</v>
      </c>
      <c r="J55" s="90" t="s">
        <v>20</v>
      </c>
      <c r="K55" s="90" t="s">
        <v>21</v>
      </c>
      <c r="L55" s="90" t="s">
        <v>22</v>
      </c>
      <c r="M55" s="90" t="s">
        <v>23</v>
      </c>
    </row>
    <row r="56" spans="1:13" ht="15">
      <c r="A56" s="92" t="s">
        <v>42</v>
      </c>
      <c r="B56" s="91"/>
      <c r="C56" s="91"/>
      <c r="D56" s="91"/>
      <c r="E56" s="91"/>
      <c r="F56" s="91"/>
      <c r="G56" s="91"/>
      <c r="H56" s="91"/>
      <c r="I56" s="91" t="s">
        <v>24</v>
      </c>
      <c r="J56" s="91" t="s">
        <v>24</v>
      </c>
      <c r="K56" s="91"/>
      <c r="L56" s="91"/>
      <c r="M56" s="91"/>
    </row>
    <row r="57" spans="1:13" ht="15">
      <c r="A57" s="92" t="s">
        <v>43</v>
      </c>
      <c r="B57" s="91"/>
      <c r="C57" s="88"/>
      <c r="D57" s="88"/>
      <c r="E57" s="88"/>
      <c r="F57" s="88"/>
      <c r="G57" s="88"/>
      <c r="H57" s="88"/>
      <c r="I57" s="88"/>
      <c r="J57" s="91" t="s">
        <v>24</v>
      </c>
      <c r="K57" s="88"/>
      <c r="L57" s="88"/>
      <c r="M57" s="88"/>
    </row>
    <row r="58" spans="1:13" ht="15">
      <c r="A58" s="92" t="s">
        <v>44</v>
      </c>
      <c r="B58" s="91"/>
      <c r="C58" s="88"/>
      <c r="D58" s="88"/>
      <c r="E58" s="88"/>
      <c r="F58" s="88"/>
      <c r="G58" s="88"/>
      <c r="H58" s="88"/>
      <c r="I58" s="91" t="s">
        <v>24</v>
      </c>
      <c r="J58" s="91" t="s">
        <v>24</v>
      </c>
      <c r="K58" s="91"/>
      <c r="L58" s="91"/>
      <c r="M58" s="91"/>
    </row>
    <row r="59" spans="1:13" ht="15">
      <c r="A59" s="92" t="s">
        <v>45</v>
      </c>
      <c r="B59" s="88"/>
      <c r="C59" s="88"/>
      <c r="D59" s="88"/>
      <c r="E59" s="88"/>
      <c r="F59" s="88"/>
      <c r="G59" s="88"/>
      <c r="H59" s="88"/>
      <c r="I59" s="88"/>
      <c r="J59" s="91" t="s">
        <v>24</v>
      </c>
      <c r="K59" s="88"/>
      <c r="L59" s="91"/>
      <c r="M59" s="91"/>
    </row>
    <row r="60" spans="1:13" ht="15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</row>
    <row r="61" spans="1:13" ht="15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</row>
    <row r="62" spans="1:13" ht="15">
      <c r="A62" s="89" t="s">
        <v>47</v>
      </c>
      <c r="B62" s="89" t="s">
        <v>42</v>
      </c>
      <c r="C62" s="89" t="s">
        <v>43</v>
      </c>
      <c r="D62" s="89" t="s">
        <v>44</v>
      </c>
      <c r="E62" s="89" t="s">
        <v>45</v>
      </c>
      <c r="F62" s="88"/>
      <c r="G62" s="88"/>
      <c r="H62" s="88"/>
      <c r="I62" s="88"/>
      <c r="J62" s="88"/>
      <c r="K62" s="88"/>
      <c r="L62" s="88"/>
      <c r="M62" s="88"/>
    </row>
    <row r="63" spans="1:13" ht="15">
      <c r="A63" s="88" t="s">
        <v>48</v>
      </c>
      <c r="B63" s="91" t="s">
        <v>24</v>
      </c>
      <c r="C63" s="91" t="s">
        <v>24</v>
      </c>
      <c r="D63" s="88"/>
      <c r="E63" s="88"/>
      <c r="F63" s="88"/>
      <c r="G63" s="88"/>
      <c r="H63" s="88"/>
      <c r="I63" s="88"/>
      <c r="J63" s="88"/>
      <c r="K63" s="88"/>
      <c r="L63" s="88"/>
      <c r="M63" s="88"/>
    </row>
    <row r="64" spans="1:13" ht="15">
      <c r="A64" s="88" t="s">
        <v>49</v>
      </c>
      <c r="B64" s="88"/>
      <c r="C64" s="91" t="s">
        <v>24</v>
      </c>
      <c r="D64" s="91" t="s">
        <v>24</v>
      </c>
      <c r="E64" s="91" t="s">
        <v>24</v>
      </c>
      <c r="F64" s="88"/>
      <c r="G64" s="88"/>
      <c r="H64" s="88"/>
      <c r="I64" s="88"/>
      <c r="J64" s="88"/>
      <c r="K64" s="88"/>
      <c r="L64" s="88"/>
      <c r="M64" s="88"/>
    </row>
    <row r="65" spans="1:13" ht="15">
      <c r="A65" s="88" t="s">
        <v>322</v>
      </c>
      <c r="B65" s="91" t="s">
        <v>24</v>
      </c>
      <c r="C65" s="91" t="s">
        <v>24</v>
      </c>
      <c r="D65" s="88"/>
      <c r="E65" s="91" t="s">
        <v>24</v>
      </c>
      <c r="F65" s="88"/>
      <c r="G65" s="88"/>
      <c r="H65" s="88"/>
      <c r="I65" s="88"/>
      <c r="J65" s="88"/>
      <c r="K65" s="88"/>
      <c r="L65" s="88"/>
      <c r="M65" s="88"/>
    </row>
    <row r="66" spans="1:13" ht="15">
      <c r="A66" s="88" t="s">
        <v>52</v>
      </c>
      <c r="B66" s="91" t="s">
        <v>24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</row>
    <row r="67" spans="1:13" ht="15">
      <c r="A67" s="88" t="s">
        <v>83</v>
      </c>
      <c r="B67" s="91" t="s">
        <v>24</v>
      </c>
      <c r="C67" s="91" t="s">
        <v>24</v>
      </c>
      <c r="D67" s="91" t="s">
        <v>24</v>
      </c>
      <c r="E67" s="91" t="s">
        <v>24</v>
      </c>
      <c r="F67" s="88"/>
      <c r="G67" s="88"/>
      <c r="H67" s="88"/>
      <c r="I67" s="88"/>
      <c r="J67" s="88"/>
      <c r="K67" s="88"/>
      <c r="L67" s="88"/>
      <c r="M67" s="88"/>
    </row>
    <row r="68" spans="1:13" ht="15">
      <c r="A68" s="88" t="s">
        <v>54</v>
      </c>
      <c r="B68" s="91" t="s">
        <v>24</v>
      </c>
      <c r="C68" s="91" t="s">
        <v>24</v>
      </c>
      <c r="D68" s="91" t="s">
        <v>24</v>
      </c>
      <c r="E68" s="91" t="s">
        <v>24</v>
      </c>
      <c r="F68" s="88"/>
      <c r="G68" s="88"/>
      <c r="H68" s="88"/>
      <c r="I68" s="88"/>
      <c r="J68" s="88"/>
      <c r="K68" s="88"/>
      <c r="L68" s="88"/>
      <c r="M68" s="88"/>
    </row>
    <row r="69" spans="1:13" ht="15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</row>
    <row r="70" spans="1:13" ht="15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</row>
    <row r="71" spans="1:13" ht="15">
      <c r="A71" s="89" t="s">
        <v>50</v>
      </c>
      <c r="B71" s="89"/>
      <c r="C71" s="89" t="s">
        <v>43</v>
      </c>
      <c r="D71" s="89" t="s">
        <v>44</v>
      </c>
      <c r="E71" s="89" t="s">
        <v>45</v>
      </c>
      <c r="F71" s="88"/>
      <c r="G71" s="88"/>
      <c r="H71" s="88"/>
      <c r="I71" s="88"/>
      <c r="J71" s="88"/>
      <c r="K71" s="88"/>
      <c r="L71" s="88"/>
      <c r="M71" s="88"/>
    </row>
    <row r="72" spans="1:13" ht="15">
      <c r="A72" s="88" t="s">
        <v>51</v>
      </c>
      <c r="B72" s="88"/>
      <c r="C72" s="91" t="s">
        <v>24</v>
      </c>
      <c r="D72" s="91" t="s">
        <v>24</v>
      </c>
      <c r="E72" s="91" t="s">
        <v>24</v>
      </c>
      <c r="F72" s="88"/>
      <c r="G72" s="88"/>
      <c r="H72" s="88"/>
      <c r="I72" s="88"/>
      <c r="J72" s="88"/>
      <c r="K72" s="88"/>
      <c r="L72" s="88"/>
      <c r="M72" s="88"/>
    </row>
    <row r="73" spans="1:13" ht="15">
      <c r="A73" s="88" t="s">
        <v>53</v>
      </c>
      <c r="B73" s="88"/>
      <c r="C73" s="91" t="s">
        <v>24</v>
      </c>
      <c r="D73" s="91" t="s">
        <v>24</v>
      </c>
      <c r="E73" s="91" t="s">
        <v>24</v>
      </c>
      <c r="F73" s="88"/>
      <c r="G73" s="88"/>
      <c r="H73" s="88"/>
      <c r="I73" s="88"/>
      <c r="J73" s="88"/>
      <c r="K73" s="88"/>
      <c r="L73" s="88"/>
      <c r="M73" s="88"/>
    </row>
    <row r="74" spans="1:13" ht="15">
      <c r="A74" s="88" t="s">
        <v>55</v>
      </c>
      <c r="B74" s="88"/>
      <c r="C74" s="91" t="s">
        <v>24</v>
      </c>
      <c r="D74" s="91" t="s">
        <v>24</v>
      </c>
      <c r="E74" s="91" t="s">
        <v>24</v>
      </c>
      <c r="F74" s="88"/>
      <c r="G74" s="88"/>
      <c r="H74" s="88"/>
      <c r="I74" s="88"/>
      <c r="J74" s="88"/>
      <c r="K74" s="88"/>
      <c r="L74" s="88"/>
      <c r="M74" s="88"/>
    </row>
    <row r="75" spans="1:13" ht="15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</row>
    <row r="76" spans="1:13" ht="15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</row>
    <row r="77" spans="1:13" ht="15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</row>
    <row r="78" spans="1:13" ht="15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</row>
    <row r="79" spans="1:13" ht="15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</row>
    <row r="80" spans="1:13" ht="15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</row>
    <row r="81" spans="1:13" ht="15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</row>
    <row r="82" spans="1:13" ht="15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</row>
    <row r="83" spans="1:13" ht="15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</row>
  </sheetData>
  <sheetProtection/>
  <printOptions/>
  <pageMargins left="0.25" right="0.25" top="0.75" bottom="0.75" header="0.3" footer="0.3"/>
  <pageSetup horizontalDpi="120" verticalDpi="12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35"/>
  <sheetViews>
    <sheetView zoomScalePageLayoutView="0" workbookViewId="0" topLeftCell="A1">
      <selection activeCell="B9" sqref="B9"/>
    </sheetView>
  </sheetViews>
  <sheetFormatPr defaultColWidth="11.421875" defaultRowHeight="15"/>
  <cols>
    <col min="2" max="2" width="33.421875" style="0" bestFit="1" customWidth="1"/>
    <col min="8" max="8" width="31.28125" style="0" customWidth="1"/>
    <col min="9" max="11" width="12.00390625" style="0" customWidth="1"/>
  </cols>
  <sheetData>
    <row r="1" ht="15.75" thickBot="1"/>
    <row r="2" spans="2:11" ht="15.75" thickBot="1">
      <c r="B2" s="244" t="s">
        <v>57</v>
      </c>
      <c r="C2" s="245"/>
      <c r="D2" s="245"/>
      <c r="E2" s="246"/>
      <c r="H2" s="11" t="s">
        <v>90</v>
      </c>
      <c r="I2" s="12" t="s">
        <v>91</v>
      </c>
      <c r="J2" s="7"/>
      <c r="K2" s="13"/>
    </row>
    <row r="3" spans="2:11" ht="15.75" thickBot="1">
      <c r="B3" s="1" t="s">
        <v>58</v>
      </c>
      <c r="C3" s="1" t="s">
        <v>59</v>
      </c>
      <c r="D3" s="1" t="s">
        <v>60</v>
      </c>
      <c r="E3" s="1" t="s">
        <v>61</v>
      </c>
      <c r="H3" s="7"/>
      <c r="I3" s="7"/>
      <c r="J3" s="7"/>
      <c r="K3" s="7"/>
    </row>
    <row r="4" spans="2:11" ht="16.5" thickBot="1">
      <c r="B4" s="2" t="s">
        <v>62</v>
      </c>
      <c r="C4" s="3"/>
      <c r="D4" s="3"/>
      <c r="E4" s="3"/>
      <c r="H4" s="247" t="s">
        <v>86</v>
      </c>
      <c r="I4" s="248"/>
      <c r="J4" s="248"/>
      <c r="K4" s="249"/>
    </row>
    <row r="5" spans="2:11" ht="15">
      <c r="B5" s="2" t="s">
        <v>81</v>
      </c>
      <c r="C5" s="35">
        <f>SUM(C6:C9)</f>
        <v>4750</v>
      </c>
      <c r="D5" s="3"/>
      <c r="E5" s="60">
        <f>SUM(E6:E9)</f>
        <v>237.5</v>
      </c>
      <c r="H5" s="14"/>
      <c r="I5" s="15" t="s">
        <v>92</v>
      </c>
      <c r="J5" s="15" t="s">
        <v>335</v>
      </c>
      <c r="K5" s="15" t="s">
        <v>336</v>
      </c>
    </row>
    <row r="6" spans="2:11" ht="15">
      <c r="B6" s="3" t="s">
        <v>36</v>
      </c>
      <c r="C6" s="10">
        <v>650</v>
      </c>
      <c r="D6" s="5">
        <v>20</v>
      </c>
      <c r="E6" s="4">
        <f>C6/D6</f>
        <v>32.5</v>
      </c>
      <c r="F6" s="36">
        <f>C6-E6</f>
        <v>617.5</v>
      </c>
      <c r="H6" s="16" t="s">
        <v>94</v>
      </c>
      <c r="I6" s="17"/>
      <c r="J6" s="18"/>
      <c r="K6" s="18"/>
    </row>
    <row r="7" spans="2:11" ht="15">
      <c r="B7" s="3" t="s">
        <v>37</v>
      </c>
      <c r="C7" s="10">
        <v>400</v>
      </c>
      <c r="D7" s="5">
        <v>20</v>
      </c>
      <c r="E7" s="4">
        <f>C7/D7</f>
        <v>20</v>
      </c>
      <c r="F7" s="36">
        <f>C7-E7</f>
        <v>380</v>
      </c>
      <c r="H7" s="20" t="s">
        <v>300</v>
      </c>
      <c r="I7" s="17">
        <v>1</v>
      </c>
      <c r="J7" s="18">
        <v>220</v>
      </c>
      <c r="K7" s="18">
        <f>J7*I7</f>
        <v>220</v>
      </c>
    </row>
    <row r="8" spans="2:11" ht="15">
      <c r="B8" s="3" t="s">
        <v>337</v>
      </c>
      <c r="C8" s="10">
        <v>1200</v>
      </c>
      <c r="D8" s="5">
        <v>20</v>
      </c>
      <c r="E8" s="4">
        <f>C8/D8</f>
        <v>60</v>
      </c>
      <c r="F8" s="36">
        <f>C8-E8</f>
        <v>1140</v>
      </c>
      <c r="H8" s="16" t="s">
        <v>261</v>
      </c>
      <c r="I8" s="17"/>
      <c r="J8" s="18"/>
      <c r="K8" s="18"/>
    </row>
    <row r="9" spans="2:11" ht="15.75" thickBot="1">
      <c r="B9" s="3" t="s">
        <v>82</v>
      </c>
      <c r="C9" s="10">
        <v>2500</v>
      </c>
      <c r="D9" s="5">
        <v>20</v>
      </c>
      <c r="E9" s="4">
        <f>C9/D9</f>
        <v>125</v>
      </c>
      <c r="F9" s="36">
        <f>C9-E9</f>
        <v>2375</v>
      </c>
      <c r="H9" s="20" t="s">
        <v>95</v>
      </c>
      <c r="I9" s="17">
        <v>1</v>
      </c>
      <c r="J9" s="18">
        <v>300</v>
      </c>
      <c r="K9" s="18">
        <f>J9*I9</f>
        <v>300</v>
      </c>
    </row>
    <row r="10" spans="2:11" ht="18.75" thickBot="1">
      <c r="B10" s="2" t="s">
        <v>63</v>
      </c>
      <c r="C10" s="35">
        <f>SUM(C11:C14)</f>
        <v>630</v>
      </c>
      <c r="D10" s="3"/>
      <c r="E10" s="60">
        <f>SUM(E11:E14)</f>
        <v>126</v>
      </c>
      <c r="F10" s="36"/>
      <c r="H10" s="21" t="s">
        <v>93</v>
      </c>
      <c r="I10" s="22">
        <f>SUM(I6:I9)</f>
        <v>2</v>
      </c>
      <c r="J10" s="7"/>
      <c r="K10" s="23">
        <f>SUM(K7:K9)</f>
        <v>520</v>
      </c>
    </row>
    <row r="11" spans="2:11" ht="15">
      <c r="B11" s="3" t="s">
        <v>83</v>
      </c>
      <c r="C11" s="10">
        <v>100</v>
      </c>
      <c r="D11" s="5">
        <v>5</v>
      </c>
      <c r="E11" s="4">
        <f>C11/D11</f>
        <v>20</v>
      </c>
      <c r="F11" s="36">
        <f>C11-E11</f>
        <v>80</v>
      </c>
      <c r="H11" s="6" t="s">
        <v>80</v>
      </c>
      <c r="I11" s="7"/>
      <c r="J11" s="7"/>
      <c r="K11" s="7"/>
    </row>
    <row r="12" spans="2:6" ht="15">
      <c r="B12" s="3" t="s">
        <v>54</v>
      </c>
      <c r="C12" s="10">
        <v>80</v>
      </c>
      <c r="D12" s="5">
        <v>5</v>
      </c>
      <c r="E12" s="4">
        <f>C12/D12</f>
        <v>16</v>
      </c>
      <c r="F12" s="36">
        <f>C12-E12</f>
        <v>64</v>
      </c>
    </row>
    <row r="13" spans="2:11" ht="15">
      <c r="B13" s="3" t="s">
        <v>49</v>
      </c>
      <c r="C13" s="10">
        <v>350</v>
      </c>
      <c r="D13" s="5">
        <v>5</v>
      </c>
      <c r="E13" s="4">
        <f>C13/D13</f>
        <v>70</v>
      </c>
      <c r="F13" s="36">
        <f>C13-E13</f>
        <v>280</v>
      </c>
      <c r="H13" s="7"/>
      <c r="I13" s="7"/>
      <c r="J13" s="7"/>
      <c r="K13" s="7"/>
    </row>
    <row r="14" spans="2:11" ht="15">
      <c r="B14" s="3" t="s">
        <v>64</v>
      </c>
      <c r="C14" s="10">
        <v>100</v>
      </c>
      <c r="D14" s="5">
        <v>5</v>
      </c>
      <c r="E14" s="4">
        <f>C14/D14</f>
        <v>20</v>
      </c>
      <c r="F14" s="36">
        <f>C14-E14</f>
        <v>80</v>
      </c>
      <c r="H14" s="3"/>
      <c r="I14" s="7"/>
      <c r="J14" s="7"/>
      <c r="K14" s="7"/>
    </row>
    <row r="15" spans="2:11" ht="15.75">
      <c r="B15" s="2" t="s">
        <v>65</v>
      </c>
      <c r="C15" s="35">
        <f>SUM(C16:C18)</f>
        <v>310</v>
      </c>
      <c r="D15" s="3"/>
      <c r="E15" s="60">
        <f>SUM(E16:E18)</f>
        <v>31</v>
      </c>
      <c r="F15" s="36">
        <f>C14-E14</f>
        <v>80</v>
      </c>
      <c r="H15" s="250"/>
      <c r="I15" s="250"/>
      <c r="J15" s="250"/>
      <c r="K15" s="250"/>
    </row>
    <row r="16" spans="2:11" ht="15.75">
      <c r="B16" s="3" t="s">
        <v>66</v>
      </c>
      <c r="C16" s="10">
        <v>100</v>
      </c>
      <c r="D16" s="5">
        <v>10</v>
      </c>
      <c r="E16" s="4">
        <f>C16/D16</f>
        <v>10</v>
      </c>
      <c r="F16" s="36">
        <f>C16-E16</f>
        <v>90</v>
      </c>
      <c r="H16" s="24"/>
      <c r="I16" s="37"/>
      <c r="J16" s="37"/>
      <c r="K16" s="37"/>
    </row>
    <row r="17" spans="2:11" ht="15">
      <c r="B17" s="3" t="s">
        <v>67</v>
      </c>
      <c r="C17" s="10">
        <v>80</v>
      </c>
      <c r="D17" s="5">
        <v>10</v>
      </c>
      <c r="E17" s="4">
        <f>C17/D17</f>
        <v>8</v>
      </c>
      <c r="F17" s="36">
        <f>C17-E17</f>
        <v>72</v>
      </c>
      <c r="H17" s="38"/>
      <c r="I17" s="39"/>
      <c r="J17" s="40"/>
      <c r="K17" s="40"/>
    </row>
    <row r="18" spans="2:11" ht="18">
      <c r="B18" s="3" t="s">
        <v>68</v>
      </c>
      <c r="C18" s="10">
        <v>130</v>
      </c>
      <c r="D18" s="5">
        <v>10</v>
      </c>
      <c r="E18" s="4">
        <f>C18/D18</f>
        <v>13</v>
      </c>
      <c r="F18" s="36">
        <f>C18-E18</f>
        <v>117</v>
      </c>
      <c r="H18" s="41"/>
      <c r="I18" s="37"/>
      <c r="J18" s="13"/>
      <c r="K18" s="42"/>
    </row>
    <row r="19" spans="2:11" ht="15">
      <c r="B19" s="2" t="s">
        <v>69</v>
      </c>
      <c r="C19" s="35">
        <f>SUM(C20:C26)</f>
        <v>4550</v>
      </c>
      <c r="D19" s="3"/>
      <c r="E19" s="60">
        <f>SUM(E20:E26)</f>
        <v>455</v>
      </c>
      <c r="F19" s="36">
        <f>C18-E18</f>
        <v>117</v>
      </c>
      <c r="H19" s="43"/>
      <c r="I19" s="13"/>
      <c r="J19" s="13"/>
      <c r="K19" s="13"/>
    </row>
    <row r="20" spans="2:11" ht="15">
      <c r="B20" s="3" t="s">
        <v>447</v>
      </c>
      <c r="C20" s="10">
        <f>150*2</f>
        <v>300</v>
      </c>
      <c r="D20" s="5">
        <v>10</v>
      </c>
      <c r="E20" s="4">
        <f aca="true" t="shared" si="0" ref="E20:E26">C20/D20</f>
        <v>30</v>
      </c>
      <c r="F20" s="36">
        <f aca="true" t="shared" si="1" ref="F20:F26">C20-E20</f>
        <v>270</v>
      </c>
      <c r="H20" s="44"/>
      <c r="I20" s="44"/>
      <c r="J20" s="44"/>
      <c r="K20" s="44"/>
    </row>
    <row r="21" spans="2:11" ht="15">
      <c r="B21" s="3" t="s">
        <v>434</v>
      </c>
      <c r="C21" s="10">
        <v>300</v>
      </c>
      <c r="D21" s="5">
        <v>10</v>
      </c>
      <c r="E21" s="4">
        <f t="shared" si="0"/>
        <v>30</v>
      </c>
      <c r="F21" s="36">
        <f t="shared" si="1"/>
        <v>270</v>
      </c>
      <c r="H21" s="44"/>
      <c r="I21" s="44"/>
      <c r="J21" s="44"/>
      <c r="K21" s="45"/>
    </row>
    <row r="22" spans="2:11" ht="15">
      <c r="B22" s="3" t="s">
        <v>384</v>
      </c>
      <c r="C22" s="10">
        <v>650</v>
      </c>
      <c r="D22" s="5">
        <v>10</v>
      </c>
      <c r="E22" s="4">
        <f t="shared" si="0"/>
        <v>65</v>
      </c>
      <c r="F22" s="36">
        <f t="shared" si="1"/>
        <v>585</v>
      </c>
      <c r="H22" s="44"/>
      <c r="I22" s="44"/>
      <c r="J22" s="44"/>
      <c r="K22" s="45"/>
    </row>
    <row r="23" spans="2:11" ht="15">
      <c r="B23" s="3" t="s">
        <v>70</v>
      </c>
      <c r="C23" s="10">
        <v>950</v>
      </c>
      <c r="D23" s="5">
        <v>10</v>
      </c>
      <c r="E23" s="4">
        <f t="shared" si="0"/>
        <v>95</v>
      </c>
      <c r="F23" s="36">
        <f t="shared" si="1"/>
        <v>855</v>
      </c>
      <c r="H23" s="44"/>
      <c r="I23" s="44"/>
      <c r="J23" s="44"/>
      <c r="K23" s="45"/>
    </row>
    <row r="24" spans="2:11" ht="15">
      <c r="B24" s="3" t="s">
        <v>71</v>
      </c>
      <c r="C24" s="10">
        <v>350</v>
      </c>
      <c r="D24" s="5">
        <v>10</v>
      </c>
      <c r="E24" s="4">
        <f t="shared" si="0"/>
        <v>35</v>
      </c>
      <c r="F24" s="36">
        <f t="shared" si="1"/>
        <v>315</v>
      </c>
      <c r="H24" s="44"/>
      <c r="I24" s="44"/>
      <c r="J24" s="44"/>
      <c r="K24" s="44"/>
    </row>
    <row r="25" spans="2:6" ht="15">
      <c r="B25" s="3" t="s">
        <v>72</v>
      </c>
      <c r="C25" s="10">
        <v>1100</v>
      </c>
      <c r="D25" s="5">
        <v>10</v>
      </c>
      <c r="E25" s="4">
        <f t="shared" si="0"/>
        <v>110</v>
      </c>
      <c r="F25" s="36">
        <f t="shared" si="1"/>
        <v>990</v>
      </c>
    </row>
    <row r="26" spans="2:6" ht="15.75" thickBot="1">
      <c r="B26" s="3" t="s">
        <v>73</v>
      </c>
      <c r="C26" s="10">
        <v>900</v>
      </c>
      <c r="D26" s="5">
        <v>10</v>
      </c>
      <c r="E26" s="4">
        <f t="shared" si="0"/>
        <v>90</v>
      </c>
      <c r="F26" s="36">
        <f t="shared" si="1"/>
        <v>810</v>
      </c>
    </row>
    <row r="27" spans="2:6" ht="15.75" thickBot="1">
      <c r="B27" s="6" t="s">
        <v>80</v>
      </c>
      <c r="C27" s="7"/>
      <c r="D27" s="3"/>
      <c r="E27" s="8">
        <f>E19+E15+E10+E5</f>
        <v>849.5</v>
      </c>
      <c r="F27" s="36"/>
    </row>
    <row r="28" spans="2:6" ht="15">
      <c r="B28" s="7"/>
      <c r="C28" s="7"/>
      <c r="D28" s="3"/>
      <c r="E28" s="4"/>
      <c r="F28" s="36"/>
    </row>
    <row r="29" spans="2:6" ht="15">
      <c r="B29" s="2" t="s">
        <v>74</v>
      </c>
      <c r="C29" s="4"/>
      <c r="D29" s="3"/>
      <c r="E29" s="4"/>
      <c r="F29" s="36"/>
    </row>
    <row r="30" spans="2:6" ht="15">
      <c r="B30" s="3" t="s">
        <v>75</v>
      </c>
      <c r="C30" s="10">
        <v>10</v>
      </c>
      <c r="D30" s="3"/>
      <c r="E30" s="4"/>
      <c r="F30" s="36"/>
    </row>
    <row r="31" spans="2:6" ht="15">
      <c r="B31" s="3" t="s">
        <v>76</v>
      </c>
      <c r="C31" s="10">
        <v>150</v>
      </c>
      <c r="D31" s="3"/>
      <c r="E31" s="9"/>
      <c r="F31" s="36"/>
    </row>
    <row r="32" spans="2:6" ht="15">
      <c r="B32" s="3" t="s">
        <v>77</v>
      </c>
      <c r="C32" s="10">
        <v>100</v>
      </c>
      <c r="D32" s="3"/>
      <c r="E32" s="9"/>
      <c r="F32" s="36"/>
    </row>
    <row r="33" spans="2:6" ht="15">
      <c r="B33" s="2" t="s">
        <v>78</v>
      </c>
      <c r="C33" s="10">
        <f>C5+C10+C15+C19+C30+C31+C32</f>
        <v>10500</v>
      </c>
      <c r="D33" s="3"/>
      <c r="E33" s="3"/>
      <c r="F33" s="36">
        <f>SUM(F6:F26)</f>
        <v>9587.5</v>
      </c>
    </row>
    <row r="34" spans="2:6" ht="15">
      <c r="B34" s="2" t="s">
        <v>79</v>
      </c>
      <c r="C34" s="10">
        <f>C33-SUM(C30:C32)</f>
        <v>10240</v>
      </c>
      <c r="D34" s="7"/>
      <c r="E34" s="7"/>
      <c r="F34" s="76"/>
    </row>
    <row r="35" ht="15">
      <c r="B35" s="6" t="s">
        <v>80</v>
      </c>
    </row>
  </sheetData>
  <sheetProtection/>
  <mergeCells count="3">
    <mergeCell ref="B2:E2"/>
    <mergeCell ref="H4:K4"/>
    <mergeCell ref="H15:K15"/>
  </mergeCells>
  <printOptions/>
  <pageMargins left="0.7" right="0.7" top="0.75" bottom="0.75" header="0.3" footer="0.3"/>
  <pageSetup horizontalDpi="120" verticalDpi="120" orientation="portrait" paperSize="9" r:id="rId1"/>
  <ignoredErrors>
    <ignoredError sqref="E10 E15:F15 E19:F1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W93"/>
  <sheetViews>
    <sheetView zoomScale="66" zoomScaleNormal="66" zoomScalePageLayoutView="0" workbookViewId="0" topLeftCell="A18">
      <selection activeCell="K29" sqref="K29"/>
    </sheetView>
  </sheetViews>
  <sheetFormatPr defaultColWidth="11.421875" defaultRowHeight="15"/>
  <cols>
    <col min="1" max="1" width="4.7109375" style="7" customWidth="1"/>
    <col min="2" max="2" width="23.57421875" style="7" bestFit="1" customWidth="1"/>
    <col min="3" max="8" width="17.00390625" style="7" customWidth="1"/>
    <col min="9" max="9" width="3.7109375" style="7" customWidth="1"/>
    <col min="10" max="10" width="10.8515625" style="7" customWidth="1"/>
    <col min="11" max="11" width="17.57421875" style="7" bestFit="1" customWidth="1"/>
    <col min="12" max="12" width="22.57421875" style="7" bestFit="1" customWidth="1"/>
    <col min="13" max="13" width="13.7109375" style="7" bestFit="1" customWidth="1"/>
    <col min="14" max="14" width="11.421875" style="7" customWidth="1"/>
    <col min="15" max="15" width="18.00390625" style="7" customWidth="1"/>
    <col min="16" max="16" width="11.00390625" style="7" customWidth="1"/>
    <col min="17" max="17" width="11.421875" style="7" customWidth="1"/>
    <col min="18" max="18" width="12.57421875" style="7" customWidth="1"/>
    <col min="19" max="19" width="11.421875" style="7" customWidth="1"/>
    <col min="20" max="23" width="12.140625" style="7" customWidth="1"/>
    <col min="24" max="16384" width="11.421875" style="7" customWidth="1"/>
  </cols>
  <sheetData>
    <row r="1" ht="14.25" customHeight="1" thickBot="1"/>
    <row r="2" spans="5:23" ht="14.25" customHeight="1" thickBot="1">
      <c r="E2" s="7" t="s">
        <v>103</v>
      </c>
      <c r="J2" s="251" t="s">
        <v>282</v>
      </c>
      <c r="K2" s="252"/>
      <c r="L2" s="252"/>
      <c r="M2" s="253"/>
      <c r="O2" s="251" t="s">
        <v>367</v>
      </c>
      <c r="P2" s="252"/>
      <c r="Q2" s="252"/>
      <c r="R2" s="253"/>
      <c r="T2" s="251" t="s">
        <v>368</v>
      </c>
      <c r="U2" s="252"/>
      <c r="V2" s="252"/>
      <c r="W2" s="253"/>
    </row>
    <row r="3" spans="5:23" ht="14.25" customHeight="1">
      <c r="E3" s="19" t="s">
        <v>107</v>
      </c>
      <c r="F3" s="19"/>
      <c r="J3" s="19" t="s">
        <v>283</v>
      </c>
      <c r="K3" s="19" t="s">
        <v>279</v>
      </c>
      <c r="L3" s="19" t="s">
        <v>281</v>
      </c>
      <c r="M3" s="49" t="s">
        <v>286</v>
      </c>
      <c r="O3" s="257" t="s">
        <v>426</v>
      </c>
      <c r="P3" s="64" t="s">
        <v>359</v>
      </c>
      <c r="Q3" s="65">
        <v>40</v>
      </c>
      <c r="R3" s="66" t="s">
        <v>277</v>
      </c>
      <c r="T3" s="19" t="s">
        <v>369</v>
      </c>
      <c r="U3" s="19"/>
      <c r="V3" s="19"/>
      <c r="W3" s="49"/>
    </row>
    <row r="4" spans="5:23" ht="14.25" customHeight="1">
      <c r="E4" s="19">
        <v>19800</v>
      </c>
      <c r="F4" s="19" t="s">
        <v>104</v>
      </c>
      <c r="J4" s="19" t="s">
        <v>284</v>
      </c>
      <c r="K4" s="19" t="s">
        <v>279</v>
      </c>
      <c r="L4" s="19" t="s">
        <v>278</v>
      </c>
      <c r="M4" s="49" t="s">
        <v>287</v>
      </c>
      <c r="O4" s="258"/>
      <c r="P4" s="13" t="s">
        <v>360</v>
      </c>
      <c r="Q4" s="38">
        <v>40</v>
      </c>
      <c r="R4" s="67" t="s">
        <v>277</v>
      </c>
      <c r="T4" s="19" t="s">
        <v>370</v>
      </c>
      <c r="U4" s="19"/>
      <c r="V4" s="19"/>
      <c r="W4" s="49"/>
    </row>
    <row r="5" spans="5:23" ht="14.25" customHeight="1" thickBot="1">
      <c r="E5" s="19"/>
      <c r="F5" s="19"/>
      <c r="J5" s="19" t="s">
        <v>285</v>
      </c>
      <c r="K5" s="19" t="s">
        <v>279</v>
      </c>
      <c r="L5" s="19" t="s">
        <v>277</v>
      </c>
      <c r="M5" s="49" t="s">
        <v>288</v>
      </c>
      <c r="O5" s="259"/>
      <c r="P5" s="68" t="s">
        <v>361</v>
      </c>
      <c r="Q5" s="69">
        <v>50</v>
      </c>
      <c r="R5" s="70" t="s">
        <v>277</v>
      </c>
      <c r="T5" s="19" t="s">
        <v>391</v>
      </c>
      <c r="U5" s="19"/>
      <c r="V5" s="19"/>
      <c r="W5" s="49"/>
    </row>
    <row r="6" spans="5:23" ht="14.25" customHeight="1" thickBot="1">
      <c r="E6" s="19" t="s">
        <v>340</v>
      </c>
      <c r="F6" s="19"/>
      <c r="J6" s="19" t="s">
        <v>289</v>
      </c>
      <c r="K6" s="19" t="s">
        <v>280</v>
      </c>
      <c r="L6" s="19" t="s">
        <v>307</v>
      </c>
      <c r="M6" s="19"/>
      <c r="O6" s="71"/>
      <c r="P6" s="13"/>
      <c r="Q6" s="13"/>
      <c r="R6" s="67"/>
      <c r="T6" s="19" t="s">
        <v>371</v>
      </c>
      <c r="U6" s="19"/>
      <c r="V6" s="19"/>
      <c r="W6" s="19"/>
    </row>
    <row r="7" spans="5:23" ht="14.25" customHeight="1">
      <c r="E7" s="19" t="s">
        <v>295</v>
      </c>
      <c r="F7" s="19"/>
      <c r="J7" s="19"/>
      <c r="K7" s="19"/>
      <c r="L7" s="19"/>
      <c r="M7" s="19"/>
      <c r="O7" s="257" t="s">
        <v>427</v>
      </c>
      <c r="P7" s="64" t="s">
        <v>359</v>
      </c>
      <c r="Q7" s="65">
        <v>20</v>
      </c>
      <c r="R7" s="66" t="s">
        <v>277</v>
      </c>
      <c r="T7" s="19" t="s">
        <v>373</v>
      </c>
      <c r="U7" s="19"/>
      <c r="V7" s="50"/>
      <c r="W7" s="49"/>
    </row>
    <row r="8" spans="5:23" ht="14.25" customHeight="1">
      <c r="E8" s="19"/>
      <c r="F8" s="19"/>
      <c r="J8" s="19" t="s">
        <v>284</v>
      </c>
      <c r="K8" s="19" t="s">
        <v>280</v>
      </c>
      <c r="L8" s="50">
        <f>(100*100)/100</f>
        <v>100</v>
      </c>
      <c r="M8" s="49" t="s">
        <v>290</v>
      </c>
      <c r="O8" s="258"/>
      <c r="P8" s="13" t="s">
        <v>360</v>
      </c>
      <c r="Q8" s="38">
        <v>120</v>
      </c>
      <c r="R8" s="67" t="s">
        <v>277</v>
      </c>
      <c r="V8" s="74" t="s">
        <v>374</v>
      </c>
      <c r="W8" s="31" t="s">
        <v>375</v>
      </c>
    </row>
    <row r="9" spans="5:23" ht="14.25" customHeight="1" thickBot="1">
      <c r="E9" s="19" t="s">
        <v>299</v>
      </c>
      <c r="F9" s="19"/>
      <c r="J9" s="19" t="s">
        <v>283</v>
      </c>
      <c r="K9" s="19" t="s">
        <v>280</v>
      </c>
      <c r="L9" s="51">
        <f>L8*(L8-1)</f>
        <v>9900</v>
      </c>
      <c r="M9" s="49" t="s">
        <v>290</v>
      </c>
      <c r="O9" s="259"/>
      <c r="P9" s="68" t="s">
        <v>361</v>
      </c>
      <c r="Q9" s="69">
        <v>150</v>
      </c>
      <c r="R9" s="70" t="s">
        <v>277</v>
      </c>
      <c r="T9" s="19" t="s">
        <v>372</v>
      </c>
      <c r="U9" s="19"/>
      <c r="V9" s="51" t="s">
        <v>378</v>
      </c>
      <c r="W9" s="49" t="s">
        <v>379</v>
      </c>
    </row>
    <row r="10" spans="5:23" ht="14.25" customHeight="1" thickBot="1">
      <c r="E10" s="19" t="s">
        <v>105</v>
      </c>
      <c r="F10" s="19"/>
      <c r="J10" s="19" t="s">
        <v>298</v>
      </c>
      <c r="K10" s="19" t="s">
        <v>280</v>
      </c>
      <c r="L10" s="51">
        <f>L9*2</f>
        <v>19800</v>
      </c>
      <c r="M10" s="49" t="s">
        <v>290</v>
      </c>
      <c r="O10" s="71"/>
      <c r="P10" s="13"/>
      <c r="Q10" s="13"/>
      <c r="R10" s="67"/>
      <c r="T10" s="19" t="s">
        <v>428</v>
      </c>
      <c r="V10" s="51" t="s">
        <v>376</v>
      </c>
      <c r="W10" s="49" t="s">
        <v>377</v>
      </c>
    </row>
    <row r="11" spans="5:23" ht="14.25" customHeight="1">
      <c r="E11" s="19" t="s">
        <v>106</v>
      </c>
      <c r="F11" s="19"/>
      <c r="J11" s="19"/>
      <c r="K11" s="19"/>
      <c r="L11" s="19"/>
      <c r="M11" s="19"/>
      <c r="O11" s="257" t="s">
        <v>362</v>
      </c>
      <c r="P11" s="64" t="s">
        <v>363</v>
      </c>
      <c r="Q11" s="64"/>
      <c r="R11" s="66"/>
      <c r="T11" s="19" t="s">
        <v>390</v>
      </c>
      <c r="V11" s="72">
        <v>9</v>
      </c>
      <c r="W11" s="72">
        <v>4</v>
      </c>
    </row>
    <row r="12" spans="5:23" ht="14.25" customHeight="1">
      <c r="E12" s="19"/>
      <c r="F12" s="19"/>
      <c r="J12" s="19" t="s">
        <v>289</v>
      </c>
      <c r="K12" s="19" t="s">
        <v>291</v>
      </c>
      <c r="L12" s="61">
        <v>1.05</v>
      </c>
      <c r="M12" s="49" t="s">
        <v>338</v>
      </c>
      <c r="O12" s="258"/>
      <c r="P12" s="13" t="s">
        <v>366</v>
      </c>
      <c r="Q12" s="13"/>
      <c r="R12" s="67"/>
      <c r="T12" s="19" t="s">
        <v>380</v>
      </c>
      <c r="U12" s="19"/>
      <c r="V12" s="61"/>
      <c r="W12" s="49">
        <f>W11*V11</f>
        <v>36</v>
      </c>
    </row>
    <row r="13" spans="5:23" ht="14.25" customHeight="1" thickBot="1">
      <c r="E13" s="19" t="s">
        <v>339</v>
      </c>
      <c r="F13" s="19"/>
      <c r="J13" s="19">
        <v>12200</v>
      </c>
      <c r="K13" s="19" t="s">
        <v>294</v>
      </c>
      <c r="L13" s="19">
        <f>J13*1.05</f>
        <v>12810</v>
      </c>
      <c r="M13" s="49" t="s">
        <v>338</v>
      </c>
      <c r="O13" s="259"/>
      <c r="P13" s="68" t="s">
        <v>364</v>
      </c>
      <c r="Q13" s="68"/>
      <c r="R13" s="70"/>
      <c r="T13" s="19" t="s">
        <v>381</v>
      </c>
      <c r="U13" s="19"/>
      <c r="V13" s="19"/>
      <c r="W13" s="73">
        <f>'Produccion Proyectada'!G15</f>
        <v>33</v>
      </c>
    </row>
    <row r="14" spans="5:23" ht="14.25" customHeight="1">
      <c r="E14" s="19" t="s">
        <v>108</v>
      </c>
      <c r="F14" s="19"/>
      <c r="J14" s="19">
        <v>12200</v>
      </c>
      <c r="K14" s="19" t="s">
        <v>294</v>
      </c>
      <c r="L14" s="52">
        <f>L13/2.2</f>
        <v>5822.727272727272</v>
      </c>
      <c r="M14" s="49" t="s">
        <v>292</v>
      </c>
      <c r="O14" s="19" t="s">
        <v>389</v>
      </c>
      <c r="T14" s="19" t="s">
        <v>80</v>
      </c>
      <c r="U14" s="19"/>
      <c r="V14" s="52"/>
      <c r="W14" s="49"/>
    </row>
    <row r="15" spans="5:23" ht="14.25" customHeight="1">
      <c r="E15" s="19" t="s">
        <v>421</v>
      </c>
      <c r="F15" s="19"/>
      <c r="J15" s="19">
        <v>12200</v>
      </c>
      <c r="K15" s="19" t="s">
        <v>294</v>
      </c>
      <c r="L15" s="53">
        <f>L14/907</f>
        <v>6.419765460559286</v>
      </c>
      <c r="M15" s="49" t="s">
        <v>293</v>
      </c>
      <c r="T15" s="19"/>
      <c r="U15" s="19"/>
      <c r="V15" s="53"/>
      <c r="W15" s="49"/>
    </row>
    <row r="16" spans="10:20" ht="14.25">
      <c r="J16" s="19" t="s">
        <v>296</v>
      </c>
      <c r="T16" s="19"/>
    </row>
    <row r="18" spans="1:9" ht="15" thickBot="1">
      <c r="A18" s="75"/>
      <c r="B18" s="75"/>
      <c r="C18" s="75"/>
      <c r="D18" s="75"/>
      <c r="E18" s="75"/>
      <c r="F18" s="75"/>
      <c r="G18" s="75"/>
      <c r="H18" s="75"/>
      <c r="I18" s="75"/>
    </row>
    <row r="19" spans="1:17" ht="15.75" customHeight="1" thickBot="1">
      <c r="A19" s="75"/>
      <c r="B19" s="254" t="s">
        <v>406</v>
      </c>
      <c r="C19" s="255"/>
      <c r="D19" s="255"/>
      <c r="E19" s="255"/>
      <c r="F19" s="255"/>
      <c r="G19" s="255"/>
      <c r="H19" s="256"/>
      <c r="I19" s="75"/>
      <c r="K19" s="254" t="s">
        <v>412</v>
      </c>
      <c r="L19" s="255"/>
      <c r="M19" s="255"/>
      <c r="N19" s="255"/>
      <c r="O19" s="256"/>
      <c r="P19" s="87"/>
      <c r="Q19" s="87"/>
    </row>
    <row r="20" spans="1:15" ht="15.75" customHeight="1">
      <c r="A20" s="75"/>
      <c r="B20" s="75" t="s">
        <v>395</v>
      </c>
      <c r="C20" s="78">
        <v>0</v>
      </c>
      <c r="D20" s="78">
        <v>1</v>
      </c>
      <c r="E20" s="78">
        <v>2</v>
      </c>
      <c r="F20" s="78">
        <v>3</v>
      </c>
      <c r="G20" s="78">
        <v>4</v>
      </c>
      <c r="H20" s="78">
        <v>5</v>
      </c>
      <c r="I20" s="75"/>
      <c r="K20" s="7" t="s">
        <v>413</v>
      </c>
      <c r="L20" s="7" t="s">
        <v>417</v>
      </c>
      <c r="M20" s="7" t="s">
        <v>418</v>
      </c>
      <c r="N20" s="7" t="s">
        <v>419</v>
      </c>
      <c r="O20" s="7" t="s">
        <v>420</v>
      </c>
    </row>
    <row r="21" spans="1:15" ht="15.75" customHeight="1">
      <c r="A21" s="75"/>
      <c r="B21" s="75" t="s">
        <v>393</v>
      </c>
      <c r="C21" s="79">
        <f>'Produccion Proyectada'!C16/50*2.2</f>
        <v>1.1</v>
      </c>
      <c r="D21" s="79">
        <f>C21</f>
        <v>1.1</v>
      </c>
      <c r="E21" s="79">
        <f>D21</f>
        <v>1.1</v>
      </c>
      <c r="F21" s="79">
        <f>E21</f>
        <v>1.1</v>
      </c>
      <c r="G21" s="79">
        <f>F21</f>
        <v>1.1</v>
      </c>
      <c r="H21" s="79">
        <f>G21</f>
        <v>1.1</v>
      </c>
      <c r="I21" s="75"/>
      <c r="K21" s="7" t="s">
        <v>414</v>
      </c>
      <c r="L21" s="7">
        <v>13</v>
      </c>
      <c r="M21" s="77">
        <f>SUM(C27:C31)</f>
        <v>10240</v>
      </c>
      <c r="N21" s="7">
        <f>0.53+0.11</f>
        <v>0.64</v>
      </c>
      <c r="O21" s="7">
        <v>2</v>
      </c>
    </row>
    <row r="22" spans="1:15" ht="14.25">
      <c r="A22" s="75"/>
      <c r="B22" s="75" t="s">
        <v>394</v>
      </c>
      <c r="C22" s="75"/>
      <c r="D22" s="80">
        <f>13*907</f>
        <v>11791</v>
      </c>
      <c r="E22" s="80">
        <f>D22*1.2</f>
        <v>14149.199999999999</v>
      </c>
      <c r="F22" s="80">
        <f>E22*1.2</f>
        <v>16979.039999999997</v>
      </c>
      <c r="G22" s="80">
        <f>F22*1.2</f>
        <v>20374.847999999994</v>
      </c>
      <c r="H22" s="80">
        <f>G22*1.2</f>
        <v>24449.81759999999</v>
      </c>
      <c r="I22" s="75"/>
      <c r="K22" s="7" t="s">
        <v>415</v>
      </c>
      <c r="L22" s="7">
        <v>6.5</v>
      </c>
      <c r="M22" s="77">
        <f>SUM(C51:C55)</f>
        <v>10440</v>
      </c>
      <c r="N22" s="7">
        <f>0.53+0.11</f>
        <v>0.64</v>
      </c>
      <c r="O22" s="7">
        <v>1</v>
      </c>
    </row>
    <row r="23" spans="1:15" ht="14.25">
      <c r="A23" s="75"/>
      <c r="B23" s="75" t="s">
        <v>400</v>
      </c>
      <c r="C23" s="75"/>
      <c r="D23" s="80">
        <f>D22/907</f>
        <v>13</v>
      </c>
      <c r="E23" s="80">
        <f>E22/907</f>
        <v>15.6</v>
      </c>
      <c r="F23" s="80">
        <f>F22/907</f>
        <v>18.719999999999995</v>
      </c>
      <c r="G23" s="80">
        <f>G22/907</f>
        <v>22.463999999999995</v>
      </c>
      <c r="H23" s="80">
        <f>H22/907</f>
        <v>26.95679999999999</v>
      </c>
      <c r="I23" s="75"/>
      <c r="K23" s="7" t="s">
        <v>416</v>
      </c>
      <c r="L23" s="7">
        <v>19.5</v>
      </c>
      <c r="M23" s="77">
        <f>SUM(C75:C79)</f>
        <v>16040</v>
      </c>
      <c r="N23" s="7">
        <f>0.65+0.11</f>
        <v>0.76</v>
      </c>
      <c r="O23" s="7">
        <v>2.2</v>
      </c>
    </row>
    <row r="24" spans="1:13" ht="14.25">
      <c r="A24" s="75"/>
      <c r="B24" s="75" t="s">
        <v>401</v>
      </c>
      <c r="C24" s="75"/>
      <c r="D24" s="80">
        <v>2</v>
      </c>
      <c r="E24" s="80">
        <f>D24*1.1</f>
        <v>2.2</v>
      </c>
      <c r="F24" s="80">
        <f>E24*1.1</f>
        <v>2.4200000000000004</v>
      </c>
      <c r="G24" s="80">
        <f>F24*1.1</f>
        <v>2.662000000000001</v>
      </c>
      <c r="H24" s="80">
        <f>G24*1.1</f>
        <v>2.9282000000000012</v>
      </c>
      <c r="I24" s="75"/>
      <c r="K24" s="19" t="s">
        <v>80</v>
      </c>
      <c r="M24" s="77"/>
    </row>
    <row r="25" spans="1:13" ht="15">
      <c r="A25" s="75"/>
      <c r="B25" s="81" t="s">
        <v>396</v>
      </c>
      <c r="C25" s="82"/>
      <c r="D25" s="83">
        <f>D21*D22</f>
        <v>12970.1</v>
      </c>
      <c r="E25" s="83">
        <f>E21*E22</f>
        <v>15564.12</v>
      </c>
      <c r="F25" s="83">
        <f>F21*F22</f>
        <v>18676.944</v>
      </c>
      <c r="G25" s="83">
        <f>G21*G22</f>
        <v>22412.332799999996</v>
      </c>
      <c r="H25" s="83">
        <f>H21*H22</f>
        <v>26894.799359999994</v>
      </c>
      <c r="I25" s="75"/>
      <c r="M25" s="77"/>
    </row>
    <row r="26" spans="1:13" ht="14.25">
      <c r="A26" s="75"/>
      <c r="B26" s="75"/>
      <c r="C26" s="75"/>
      <c r="D26" s="75"/>
      <c r="E26" s="75"/>
      <c r="F26" s="75"/>
      <c r="G26" s="75"/>
      <c r="H26" s="75"/>
      <c r="I26" s="75"/>
      <c r="M26" s="77"/>
    </row>
    <row r="27" spans="1:13" ht="14.25">
      <c r="A27" s="75"/>
      <c r="B27" s="75" t="s">
        <v>402</v>
      </c>
      <c r="C27" s="79">
        <f>'Inversion Inicial'!D11</f>
        <v>4550</v>
      </c>
      <c r="D27" s="75"/>
      <c r="E27" s="75"/>
      <c r="F27" s="75"/>
      <c r="G27" s="75"/>
      <c r="H27" s="75"/>
      <c r="I27" s="75"/>
      <c r="M27" s="77"/>
    </row>
    <row r="28" spans="1:13" ht="14.25">
      <c r="A28" s="75"/>
      <c r="B28" s="75" t="s">
        <v>257</v>
      </c>
      <c r="C28" s="79">
        <f>'Inversion Inicial'!D12</f>
        <v>310</v>
      </c>
      <c r="D28" s="75"/>
      <c r="E28" s="75"/>
      <c r="F28" s="75"/>
      <c r="G28" s="75"/>
      <c r="H28" s="75"/>
      <c r="I28" s="75"/>
      <c r="M28" s="77"/>
    </row>
    <row r="29" spans="1:13" ht="14.25">
      <c r="A29" s="75"/>
      <c r="B29" s="75" t="s">
        <v>403</v>
      </c>
      <c r="C29" s="79">
        <f>'Inversion Inicial'!D13</f>
        <v>630</v>
      </c>
      <c r="D29" s="75"/>
      <c r="E29" s="75"/>
      <c r="F29" s="75"/>
      <c r="G29" s="75"/>
      <c r="H29" s="75"/>
      <c r="I29" s="75"/>
      <c r="M29" s="77"/>
    </row>
    <row r="30" spans="1:13" ht="14.25">
      <c r="A30" s="75"/>
      <c r="B30" s="75" t="s">
        <v>410</v>
      </c>
      <c r="C30" s="79">
        <v>0</v>
      </c>
      <c r="D30" s="75"/>
      <c r="E30" s="75"/>
      <c r="F30" s="75"/>
      <c r="G30" s="75"/>
      <c r="H30" s="75"/>
      <c r="I30" s="75"/>
      <c r="M30" s="77"/>
    </row>
    <row r="31" spans="1:13" ht="14.25">
      <c r="A31" s="75"/>
      <c r="B31" s="75" t="s">
        <v>404</v>
      </c>
      <c r="C31" s="79">
        <f>'Inversion Inicial'!D14</f>
        <v>4750</v>
      </c>
      <c r="D31" s="75"/>
      <c r="E31" s="75"/>
      <c r="F31" s="75"/>
      <c r="G31" s="75"/>
      <c r="H31" s="75"/>
      <c r="I31" s="75"/>
      <c r="M31" s="77"/>
    </row>
    <row r="32" spans="1:13" ht="14.25">
      <c r="A32" s="75"/>
      <c r="B32" s="75"/>
      <c r="C32" s="75"/>
      <c r="D32" s="75"/>
      <c r="E32" s="75"/>
      <c r="F32" s="75"/>
      <c r="G32" s="75"/>
      <c r="H32" s="75"/>
      <c r="I32" s="75"/>
      <c r="M32" s="77"/>
    </row>
    <row r="33" spans="1:9" ht="14.25">
      <c r="A33" s="75"/>
      <c r="B33" s="75" t="s">
        <v>397</v>
      </c>
      <c r="C33" s="84"/>
      <c r="D33" s="82">
        <f>D22*0.53</f>
        <v>6249.2300000000005</v>
      </c>
      <c r="E33" s="82">
        <f>E22*0.53</f>
        <v>7499.076</v>
      </c>
      <c r="F33" s="82">
        <f>F22*0.53</f>
        <v>8998.891199999998</v>
      </c>
      <c r="G33" s="82">
        <f>G22*0.53</f>
        <v>10798.669439999998</v>
      </c>
      <c r="H33" s="82">
        <f>H22*0.53</f>
        <v>12958.403327999997</v>
      </c>
      <c r="I33" s="75"/>
    </row>
    <row r="34" spans="1:9" ht="14.25">
      <c r="A34" s="75"/>
      <c r="B34" s="75" t="s">
        <v>398</v>
      </c>
      <c r="C34" s="75"/>
      <c r="D34" s="82">
        <f>D22*0.11</f>
        <v>1297.01</v>
      </c>
      <c r="E34" s="82">
        <f>E22*0.11</f>
        <v>1556.4119999999998</v>
      </c>
      <c r="F34" s="82">
        <f>F22*0.11</f>
        <v>1867.6943999999996</v>
      </c>
      <c r="G34" s="82">
        <f>G22*0.11</f>
        <v>2241.2332799999995</v>
      </c>
      <c r="H34" s="82">
        <f>H22*0.11</f>
        <v>2689.4799359999993</v>
      </c>
      <c r="I34" s="75"/>
    </row>
    <row r="35" spans="1:9" ht="15">
      <c r="A35" s="75"/>
      <c r="B35" s="81" t="s">
        <v>399</v>
      </c>
      <c r="C35" s="85">
        <f>SUM(C27:C31)</f>
        <v>10240</v>
      </c>
      <c r="D35" s="85">
        <f>D33+D34</f>
        <v>7546.240000000001</v>
      </c>
      <c r="E35" s="85">
        <f>E33+E34</f>
        <v>9055.488</v>
      </c>
      <c r="F35" s="85">
        <f>F33+F34</f>
        <v>10866.585599999999</v>
      </c>
      <c r="G35" s="85">
        <f>G33+G34</f>
        <v>13039.902719999998</v>
      </c>
      <c r="H35" s="85">
        <f>H33+H34</f>
        <v>15647.883263999996</v>
      </c>
      <c r="I35" s="75"/>
    </row>
    <row r="36" spans="1:9" ht="14.25">
      <c r="A36" s="75"/>
      <c r="B36" s="75"/>
      <c r="C36" s="75"/>
      <c r="D36" s="75"/>
      <c r="E36" s="75"/>
      <c r="F36" s="75"/>
      <c r="G36" s="75"/>
      <c r="H36" s="75"/>
      <c r="I36" s="75"/>
    </row>
    <row r="37" spans="1:9" ht="15">
      <c r="A37" s="75"/>
      <c r="B37" s="81" t="s">
        <v>405</v>
      </c>
      <c r="C37" s="79">
        <f aca="true" t="shared" si="0" ref="C37:H37">C25-C35</f>
        <v>-10240</v>
      </c>
      <c r="D37" s="79">
        <f t="shared" si="0"/>
        <v>5423.86</v>
      </c>
      <c r="E37" s="79">
        <f t="shared" si="0"/>
        <v>6508.632000000001</v>
      </c>
      <c r="F37" s="79">
        <f t="shared" si="0"/>
        <v>7810.358400000001</v>
      </c>
      <c r="G37" s="79">
        <f t="shared" si="0"/>
        <v>9372.430079999998</v>
      </c>
      <c r="H37" s="79">
        <f t="shared" si="0"/>
        <v>11246.916095999997</v>
      </c>
      <c r="I37" s="75"/>
    </row>
    <row r="38" spans="1:9" ht="15">
      <c r="A38" s="75"/>
      <c r="B38" s="81" t="s">
        <v>407</v>
      </c>
      <c r="C38" s="86">
        <v>0.13</v>
      </c>
      <c r="D38" s="75"/>
      <c r="E38" s="75"/>
      <c r="F38" s="75"/>
      <c r="G38" s="75"/>
      <c r="H38" s="75"/>
      <c r="I38" s="75"/>
    </row>
    <row r="39" spans="1:9" ht="15">
      <c r="A39" s="75"/>
      <c r="B39" s="81" t="s">
        <v>193</v>
      </c>
      <c r="C39" s="79">
        <f>NPV(C38,D37:H37)+C37</f>
        <v>16922.72217924786</v>
      </c>
      <c r="D39" s="75"/>
      <c r="E39" s="75"/>
      <c r="F39" s="75"/>
      <c r="G39" s="75"/>
      <c r="H39" s="75"/>
      <c r="I39" s="75"/>
    </row>
    <row r="40" spans="1:9" ht="14.25">
      <c r="A40" s="75"/>
      <c r="B40" s="26" t="s">
        <v>80</v>
      </c>
      <c r="C40" s="75"/>
      <c r="D40" s="75"/>
      <c r="E40" s="75"/>
      <c r="F40" s="75"/>
      <c r="G40" s="75"/>
      <c r="H40" s="75"/>
      <c r="I40" s="75"/>
    </row>
    <row r="41" spans="1:9" ht="14.25">
      <c r="A41" s="75"/>
      <c r="B41" s="26" t="s">
        <v>529</v>
      </c>
      <c r="C41" s="75"/>
      <c r="D41" s="75"/>
      <c r="E41" s="75"/>
      <c r="F41" s="75"/>
      <c r="G41" s="75"/>
      <c r="H41" s="75"/>
      <c r="I41" s="75"/>
    </row>
    <row r="42" spans="1:9" ht="15" thickBot="1">
      <c r="A42" s="75"/>
      <c r="B42" s="75"/>
      <c r="C42" s="75"/>
      <c r="D42" s="75"/>
      <c r="E42" s="75"/>
      <c r="F42" s="75"/>
      <c r="G42" s="75"/>
      <c r="H42" s="75"/>
      <c r="I42" s="75"/>
    </row>
    <row r="43" spans="1:9" ht="15.75" thickBot="1">
      <c r="A43" s="75"/>
      <c r="B43" s="254" t="s">
        <v>408</v>
      </c>
      <c r="C43" s="255"/>
      <c r="D43" s="255"/>
      <c r="E43" s="255"/>
      <c r="F43" s="255"/>
      <c r="G43" s="255"/>
      <c r="H43" s="256"/>
      <c r="I43" s="75"/>
    </row>
    <row r="44" spans="1:9" ht="14.25">
      <c r="A44" s="75"/>
      <c r="B44" s="75" t="s">
        <v>395</v>
      </c>
      <c r="C44" s="78">
        <v>0</v>
      </c>
      <c r="D44" s="78">
        <v>1</v>
      </c>
      <c r="E44" s="78">
        <v>2</v>
      </c>
      <c r="F44" s="78">
        <v>3</v>
      </c>
      <c r="G44" s="78">
        <v>4</v>
      </c>
      <c r="H44" s="78">
        <v>5</v>
      </c>
      <c r="I44" s="75"/>
    </row>
    <row r="45" spans="1:9" ht="14.25">
      <c r="A45" s="75"/>
      <c r="B45" s="75" t="s">
        <v>393</v>
      </c>
      <c r="C45" s="79">
        <v>1.06</v>
      </c>
      <c r="D45" s="79">
        <f>C45</f>
        <v>1.06</v>
      </c>
      <c r="E45" s="79">
        <f>D45</f>
        <v>1.06</v>
      </c>
      <c r="F45" s="79">
        <f>E45</f>
        <v>1.06</v>
      </c>
      <c r="G45" s="79">
        <f>F45</f>
        <v>1.06</v>
      </c>
      <c r="H45" s="79">
        <f>G45</f>
        <v>1.06</v>
      </c>
      <c r="I45" s="75"/>
    </row>
    <row r="46" spans="1:9" ht="14.25">
      <c r="A46" s="75"/>
      <c r="B46" s="75" t="s">
        <v>394</v>
      </c>
      <c r="C46" s="75"/>
      <c r="D46" s="80">
        <f>6.5*907</f>
        <v>5895.5</v>
      </c>
      <c r="E46" s="80">
        <f>D46*1.2</f>
        <v>7074.599999999999</v>
      </c>
      <c r="F46" s="80">
        <f>E46*1.2</f>
        <v>8489.519999999999</v>
      </c>
      <c r="G46" s="80">
        <f>F46*1.2</f>
        <v>10187.423999999997</v>
      </c>
      <c r="H46" s="80">
        <f>G46*1.2</f>
        <v>12224.908799999996</v>
      </c>
      <c r="I46" s="75"/>
    </row>
    <row r="47" spans="1:9" ht="14.25">
      <c r="A47" s="75"/>
      <c r="B47" s="75" t="s">
        <v>400</v>
      </c>
      <c r="C47" s="75"/>
      <c r="D47" s="80">
        <f>D46/907</f>
        <v>6.5</v>
      </c>
      <c r="E47" s="80">
        <f>E46/907</f>
        <v>7.8</v>
      </c>
      <c r="F47" s="80">
        <f>F46/907</f>
        <v>9.359999999999998</v>
      </c>
      <c r="G47" s="80">
        <f>G46/907</f>
        <v>11.231999999999998</v>
      </c>
      <c r="H47" s="80">
        <f>H46/907</f>
        <v>13.478399999999995</v>
      </c>
      <c r="I47" s="75"/>
    </row>
    <row r="48" spans="1:9" ht="14.25">
      <c r="A48" s="75"/>
      <c r="B48" s="75" t="s">
        <v>401</v>
      </c>
      <c r="C48" s="75"/>
      <c r="D48" s="80">
        <v>1</v>
      </c>
      <c r="E48" s="80">
        <f>D48*1.1</f>
        <v>1.1</v>
      </c>
      <c r="F48" s="80">
        <f>E48*1.1</f>
        <v>1.2100000000000002</v>
      </c>
      <c r="G48" s="80">
        <f>F48*1.1</f>
        <v>1.3310000000000004</v>
      </c>
      <c r="H48" s="80">
        <f>G48*1.1</f>
        <v>1.4641000000000006</v>
      </c>
      <c r="I48" s="75"/>
    </row>
    <row r="49" spans="1:9" ht="15">
      <c r="A49" s="75"/>
      <c r="B49" s="81" t="s">
        <v>396</v>
      </c>
      <c r="C49" s="82"/>
      <c r="D49" s="83">
        <f>D45*D46</f>
        <v>6249.2300000000005</v>
      </c>
      <c r="E49" s="83">
        <f>E45*E46</f>
        <v>7499.076</v>
      </c>
      <c r="F49" s="83">
        <f>F45*F46</f>
        <v>8998.891199999998</v>
      </c>
      <c r="G49" s="83">
        <f>G45*G46</f>
        <v>10798.669439999998</v>
      </c>
      <c r="H49" s="83">
        <f>H45*H46</f>
        <v>12958.403327999997</v>
      </c>
      <c r="I49" s="75"/>
    </row>
    <row r="50" spans="1:9" ht="14.25">
      <c r="A50" s="75"/>
      <c r="B50" s="75"/>
      <c r="C50" s="75"/>
      <c r="D50" s="75"/>
      <c r="E50" s="75"/>
      <c r="F50" s="75"/>
      <c r="G50" s="75"/>
      <c r="H50" s="75"/>
      <c r="I50" s="75"/>
    </row>
    <row r="51" spans="1:9" ht="14.25">
      <c r="A51" s="75"/>
      <c r="B51" s="75" t="s">
        <v>402</v>
      </c>
      <c r="C51" s="79">
        <v>4700</v>
      </c>
      <c r="D51" s="75"/>
      <c r="E51" s="75"/>
      <c r="F51" s="75"/>
      <c r="G51" s="75"/>
      <c r="H51" s="75"/>
      <c r="I51" s="75"/>
    </row>
    <row r="52" spans="1:9" ht="14.25">
      <c r="A52" s="75"/>
      <c r="B52" s="75" t="s">
        <v>257</v>
      </c>
      <c r="C52" s="79">
        <v>310</v>
      </c>
      <c r="D52" s="75"/>
      <c r="E52" s="75"/>
      <c r="F52" s="75"/>
      <c r="G52" s="75"/>
      <c r="H52" s="75"/>
      <c r="I52" s="75"/>
    </row>
    <row r="53" spans="1:9" ht="14.25">
      <c r="A53" s="75"/>
      <c r="B53" s="75" t="s">
        <v>403</v>
      </c>
      <c r="C53" s="79">
        <v>1080</v>
      </c>
      <c r="D53" s="75"/>
      <c r="E53" s="75"/>
      <c r="F53" s="75"/>
      <c r="G53" s="75"/>
      <c r="H53" s="75"/>
      <c r="I53" s="75"/>
    </row>
    <row r="54" spans="1:9" ht="14.25">
      <c r="A54" s="75"/>
      <c r="B54" s="75" t="s">
        <v>410</v>
      </c>
      <c r="C54" s="79">
        <v>0</v>
      </c>
      <c r="D54" s="75"/>
      <c r="E54" s="75"/>
      <c r="F54" s="75"/>
      <c r="G54" s="75"/>
      <c r="H54" s="75"/>
      <c r="I54" s="75"/>
    </row>
    <row r="55" spans="1:9" ht="14.25">
      <c r="A55" s="75"/>
      <c r="B55" s="75" t="s">
        <v>404</v>
      </c>
      <c r="C55" s="79">
        <f>4750-400</f>
        <v>4350</v>
      </c>
      <c r="D55" s="75"/>
      <c r="E55" s="75"/>
      <c r="F55" s="75"/>
      <c r="G55" s="75"/>
      <c r="H55" s="75"/>
      <c r="I55" s="75"/>
    </row>
    <row r="56" spans="1:9" ht="14.25">
      <c r="A56" s="75"/>
      <c r="B56" s="75"/>
      <c r="C56" s="75"/>
      <c r="D56" s="75"/>
      <c r="E56" s="75"/>
      <c r="F56" s="75"/>
      <c r="G56" s="75"/>
      <c r="H56" s="75"/>
      <c r="I56" s="75"/>
    </row>
    <row r="57" spans="1:9" ht="14.25">
      <c r="A57" s="75"/>
      <c r="B57" s="75" t="s">
        <v>397</v>
      </c>
      <c r="C57" s="84"/>
      <c r="D57" s="82">
        <f>D46*0.53</f>
        <v>3124.6150000000002</v>
      </c>
      <c r="E57" s="82">
        <f>E46*0.53</f>
        <v>3749.538</v>
      </c>
      <c r="F57" s="82">
        <f>F46*0.53</f>
        <v>4499.445599999999</v>
      </c>
      <c r="G57" s="82">
        <f>G46*0.53</f>
        <v>5399.334719999999</v>
      </c>
      <c r="H57" s="82">
        <f>H46*0.53</f>
        <v>6479.201663999998</v>
      </c>
      <c r="I57" s="75"/>
    </row>
    <row r="58" spans="1:9" ht="14.25">
      <c r="A58" s="75"/>
      <c r="B58" s="75" t="s">
        <v>398</v>
      </c>
      <c r="C58" s="75"/>
      <c r="D58" s="82">
        <f>D46*0.11</f>
        <v>648.505</v>
      </c>
      <c r="E58" s="82">
        <f>E46*0.11</f>
        <v>778.2059999999999</v>
      </c>
      <c r="F58" s="82">
        <f>F46*0.11</f>
        <v>933.8471999999998</v>
      </c>
      <c r="G58" s="82">
        <f>G46*0.11</f>
        <v>1120.6166399999997</v>
      </c>
      <c r="H58" s="82">
        <f>H46*0.11</f>
        <v>1344.7399679999996</v>
      </c>
      <c r="I58" s="75"/>
    </row>
    <row r="59" spans="1:9" ht="15">
      <c r="A59" s="75"/>
      <c r="B59" s="81" t="s">
        <v>399</v>
      </c>
      <c r="C59" s="85">
        <f>SUM(C51:C55)</f>
        <v>10440</v>
      </c>
      <c r="D59" s="85">
        <f>D57+D58</f>
        <v>3773.1200000000003</v>
      </c>
      <c r="E59" s="85">
        <f>E57+E58</f>
        <v>4527.744</v>
      </c>
      <c r="F59" s="85">
        <f>F57+F58</f>
        <v>5433.292799999999</v>
      </c>
      <c r="G59" s="85">
        <f>G57+G58</f>
        <v>6519.951359999999</v>
      </c>
      <c r="H59" s="85">
        <f>H57+H58</f>
        <v>7823.941631999998</v>
      </c>
      <c r="I59" s="75"/>
    </row>
    <row r="60" spans="1:9" ht="14.25">
      <c r="A60" s="75"/>
      <c r="B60" s="75"/>
      <c r="C60" s="75"/>
      <c r="D60" s="75"/>
      <c r="E60" s="75"/>
      <c r="F60" s="75"/>
      <c r="G60" s="75"/>
      <c r="H60" s="75"/>
      <c r="I60" s="75"/>
    </row>
    <row r="61" spans="1:9" ht="15">
      <c r="A61" s="75"/>
      <c r="B61" s="81" t="s">
        <v>405</v>
      </c>
      <c r="C61" s="79">
        <f aca="true" t="shared" si="1" ref="C61:H61">C49-C59</f>
        <v>-10440</v>
      </c>
      <c r="D61" s="79">
        <f t="shared" si="1"/>
        <v>2476.11</v>
      </c>
      <c r="E61" s="79">
        <f t="shared" si="1"/>
        <v>2971.3320000000003</v>
      </c>
      <c r="F61" s="79">
        <f t="shared" si="1"/>
        <v>3565.598399999999</v>
      </c>
      <c r="G61" s="79">
        <f t="shared" si="1"/>
        <v>4278.718079999999</v>
      </c>
      <c r="H61" s="79">
        <f t="shared" si="1"/>
        <v>5134.4616959999985</v>
      </c>
      <c r="I61" s="75"/>
    </row>
    <row r="62" spans="1:9" ht="15">
      <c r="A62" s="75"/>
      <c r="B62" s="81" t="s">
        <v>407</v>
      </c>
      <c r="C62" s="86">
        <v>0.13</v>
      </c>
      <c r="D62" s="75"/>
      <c r="E62" s="75"/>
      <c r="F62" s="75"/>
      <c r="G62" s="75"/>
      <c r="H62" s="75"/>
      <c r="I62" s="75"/>
    </row>
    <row r="63" spans="1:9" ht="15">
      <c r="A63" s="75"/>
      <c r="B63" s="81" t="s">
        <v>193</v>
      </c>
      <c r="C63" s="79">
        <f>NPV(C62,D61:H61)+C61</f>
        <v>1960.373168787064</v>
      </c>
      <c r="D63" s="75"/>
      <c r="E63" s="75"/>
      <c r="F63" s="75"/>
      <c r="G63" s="75"/>
      <c r="H63" s="75"/>
      <c r="I63" s="75"/>
    </row>
    <row r="64" spans="1:9" ht="14.25">
      <c r="A64" s="75"/>
      <c r="B64" s="26" t="s">
        <v>80</v>
      </c>
      <c r="C64" s="75"/>
      <c r="D64" s="75"/>
      <c r="E64" s="75"/>
      <c r="F64" s="75"/>
      <c r="G64" s="75"/>
      <c r="H64" s="75"/>
      <c r="I64" s="75"/>
    </row>
    <row r="65" spans="1:9" ht="14.25">
      <c r="A65" s="75"/>
      <c r="B65" s="130" t="s">
        <v>530</v>
      </c>
      <c r="C65" s="75"/>
      <c r="D65" s="75"/>
      <c r="E65" s="75"/>
      <c r="F65" s="75"/>
      <c r="G65" s="75"/>
      <c r="H65" s="75"/>
      <c r="I65" s="75"/>
    </row>
    <row r="66" spans="1:9" ht="15" thickBot="1">
      <c r="A66" s="75"/>
      <c r="B66" s="75"/>
      <c r="C66" s="75"/>
      <c r="D66" s="75"/>
      <c r="E66" s="75"/>
      <c r="F66" s="75"/>
      <c r="G66" s="75"/>
      <c r="H66" s="75"/>
      <c r="I66" s="75"/>
    </row>
    <row r="67" spans="1:9" ht="15.75" thickBot="1">
      <c r="A67" s="75"/>
      <c r="B67" s="254" t="s">
        <v>409</v>
      </c>
      <c r="C67" s="255"/>
      <c r="D67" s="255"/>
      <c r="E67" s="255"/>
      <c r="F67" s="255"/>
      <c r="G67" s="255"/>
      <c r="H67" s="256"/>
      <c r="I67" s="75"/>
    </row>
    <row r="68" spans="1:9" ht="14.25">
      <c r="A68" s="75"/>
      <c r="B68" s="75" t="s">
        <v>395</v>
      </c>
      <c r="C68" s="75">
        <v>0</v>
      </c>
      <c r="D68" s="75">
        <v>1</v>
      </c>
      <c r="E68" s="75">
        <v>2</v>
      </c>
      <c r="F68" s="75">
        <v>3</v>
      </c>
      <c r="G68" s="75">
        <v>4</v>
      </c>
      <c r="H68" s="75">
        <v>5</v>
      </c>
      <c r="I68" s="75"/>
    </row>
    <row r="69" spans="1:9" ht="14.25">
      <c r="A69" s="75"/>
      <c r="B69" s="75" t="s">
        <v>393</v>
      </c>
      <c r="C69" s="79">
        <v>1.06</v>
      </c>
      <c r="D69" s="79">
        <f>C69</f>
        <v>1.06</v>
      </c>
      <c r="E69" s="79">
        <f>D69</f>
        <v>1.06</v>
      </c>
      <c r="F69" s="79">
        <f>E69</f>
        <v>1.06</v>
      </c>
      <c r="G69" s="79">
        <f>F69</f>
        <v>1.06</v>
      </c>
      <c r="H69" s="79">
        <f>G69</f>
        <v>1.06</v>
      </c>
      <c r="I69" s="75"/>
    </row>
    <row r="70" spans="1:9" ht="14.25">
      <c r="A70" s="75"/>
      <c r="B70" s="75" t="s">
        <v>394</v>
      </c>
      <c r="C70" s="75"/>
      <c r="D70" s="80">
        <f>14.3*907</f>
        <v>12970.1</v>
      </c>
      <c r="E70" s="80">
        <f>D70*1.2</f>
        <v>15564.119999999999</v>
      </c>
      <c r="F70" s="80">
        <f>E70*1.2</f>
        <v>18676.944</v>
      </c>
      <c r="G70" s="80">
        <f>F70*1.2</f>
        <v>22412.3328</v>
      </c>
      <c r="H70" s="80">
        <f>G70*1.2</f>
        <v>26894.79936</v>
      </c>
      <c r="I70" s="75"/>
    </row>
    <row r="71" spans="1:9" ht="14.25">
      <c r="A71" s="75"/>
      <c r="B71" s="75" t="s">
        <v>400</v>
      </c>
      <c r="C71" s="75"/>
      <c r="D71" s="80">
        <v>14.3</v>
      </c>
      <c r="E71" s="80">
        <f>E70/907</f>
        <v>17.16</v>
      </c>
      <c r="F71" s="80">
        <f>F70/907</f>
        <v>20.592</v>
      </c>
      <c r="G71" s="80">
        <f>G70/907</f>
        <v>24.7104</v>
      </c>
      <c r="H71" s="80">
        <f>H70/907</f>
        <v>29.65248</v>
      </c>
      <c r="I71" s="75"/>
    </row>
    <row r="72" spans="1:9" ht="14.25">
      <c r="A72" s="75"/>
      <c r="B72" s="75" t="s">
        <v>401</v>
      </c>
      <c r="C72" s="75"/>
      <c r="D72" s="80">
        <v>2.2</v>
      </c>
      <c r="E72" s="80">
        <f>D72*1.1</f>
        <v>2.4200000000000004</v>
      </c>
      <c r="F72" s="80">
        <f>E72*1.1</f>
        <v>2.662000000000001</v>
      </c>
      <c r="G72" s="80">
        <f>F72*1.1</f>
        <v>2.9282000000000012</v>
      </c>
      <c r="H72" s="80">
        <f>G72*1.1</f>
        <v>3.2210200000000015</v>
      </c>
      <c r="I72" s="75"/>
    </row>
    <row r="73" spans="1:9" ht="15">
      <c r="A73" s="75"/>
      <c r="B73" s="81" t="s">
        <v>396</v>
      </c>
      <c r="C73" s="82"/>
      <c r="D73" s="83">
        <f>D69*D70</f>
        <v>13748.306</v>
      </c>
      <c r="E73" s="83">
        <f>E69*E70</f>
        <v>16497.9672</v>
      </c>
      <c r="F73" s="83">
        <f>F69*F70</f>
        <v>19797.56064</v>
      </c>
      <c r="G73" s="83">
        <f>G69*G70</f>
        <v>23757.072768</v>
      </c>
      <c r="H73" s="83">
        <f>H69*H70</f>
        <v>28508.4873216</v>
      </c>
      <c r="I73" s="75"/>
    </row>
    <row r="74" spans="1:9" ht="14.25">
      <c r="A74" s="75"/>
      <c r="B74" s="75"/>
      <c r="C74" s="75"/>
      <c r="D74" s="75"/>
      <c r="E74" s="75"/>
      <c r="F74" s="75"/>
      <c r="G74" s="75"/>
      <c r="H74" s="75"/>
      <c r="I74" s="75"/>
    </row>
    <row r="75" spans="1:9" ht="14.25">
      <c r="A75" s="75"/>
      <c r="B75" s="75" t="s">
        <v>402</v>
      </c>
      <c r="C75" s="79">
        <f>4700+2000</f>
        <v>6700</v>
      </c>
      <c r="D75" s="75"/>
      <c r="E75" s="75"/>
      <c r="F75" s="75"/>
      <c r="G75" s="75"/>
      <c r="H75" s="75"/>
      <c r="I75" s="75"/>
    </row>
    <row r="76" spans="1:9" ht="14.25">
      <c r="A76" s="75"/>
      <c r="B76" s="75" t="s">
        <v>257</v>
      </c>
      <c r="C76" s="79">
        <v>310</v>
      </c>
      <c r="D76" s="75"/>
      <c r="E76" s="75"/>
      <c r="F76" s="75"/>
      <c r="G76" s="75"/>
      <c r="H76" s="75"/>
      <c r="I76" s="75"/>
    </row>
    <row r="77" spans="1:9" ht="14.25">
      <c r="A77" s="75"/>
      <c r="B77" s="75" t="s">
        <v>403</v>
      </c>
      <c r="C77" s="79">
        <v>1080</v>
      </c>
      <c r="D77" s="75"/>
      <c r="E77" s="75"/>
      <c r="F77" s="75"/>
      <c r="G77" s="75"/>
      <c r="H77" s="75"/>
      <c r="I77" s="75"/>
    </row>
    <row r="78" spans="1:9" ht="14.25">
      <c r="A78" s="75"/>
      <c r="B78" s="75" t="s">
        <v>410</v>
      </c>
      <c r="C78" s="79">
        <f>800*3</f>
        <v>2400</v>
      </c>
      <c r="D78" s="75"/>
      <c r="E78" s="75"/>
      <c r="F78" s="75"/>
      <c r="G78" s="75"/>
      <c r="H78" s="75"/>
      <c r="I78" s="75"/>
    </row>
    <row r="79" spans="1:9" ht="14.25">
      <c r="A79" s="75"/>
      <c r="B79" s="75" t="s">
        <v>404</v>
      </c>
      <c r="C79" s="79">
        <f>4750+800</f>
        <v>5550</v>
      </c>
      <c r="D79" s="75"/>
      <c r="E79" s="75"/>
      <c r="F79" s="75"/>
      <c r="G79" s="75"/>
      <c r="H79" s="75"/>
      <c r="I79" s="75"/>
    </row>
    <row r="80" spans="1:9" ht="14.25">
      <c r="A80" s="75"/>
      <c r="B80" s="75"/>
      <c r="C80" s="79"/>
      <c r="D80" s="75"/>
      <c r="E80" s="75"/>
      <c r="F80" s="75"/>
      <c r="G80" s="75"/>
      <c r="H80" s="75"/>
      <c r="I80" s="75"/>
    </row>
    <row r="81" spans="1:9" ht="14.25">
      <c r="A81" s="75"/>
      <c r="B81" s="75" t="s">
        <v>411</v>
      </c>
      <c r="C81" s="84"/>
      <c r="D81" s="82">
        <f>D70*0.65</f>
        <v>8430.565</v>
      </c>
      <c r="E81" s="82">
        <f>E70*0.65</f>
        <v>10116.678</v>
      </c>
      <c r="F81" s="82">
        <f>F70*0.65</f>
        <v>12140.0136</v>
      </c>
      <c r="G81" s="82">
        <f>G70*0.65</f>
        <v>14568.01632</v>
      </c>
      <c r="H81" s="82">
        <f>H70*0.65</f>
        <v>17481.619584</v>
      </c>
      <c r="I81" s="75"/>
    </row>
    <row r="82" spans="1:9" ht="14.25">
      <c r="A82" s="75"/>
      <c r="B82" s="75" t="s">
        <v>398</v>
      </c>
      <c r="C82" s="75"/>
      <c r="D82" s="82">
        <f>D70*0.11</f>
        <v>1426.711</v>
      </c>
      <c r="E82" s="82">
        <f>E70*0.11</f>
        <v>1712.0531999999998</v>
      </c>
      <c r="F82" s="82">
        <f>F70*0.11</f>
        <v>2054.46384</v>
      </c>
      <c r="G82" s="82">
        <f>G70*0.11</f>
        <v>2465.356608</v>
      </c>
      <c r="H82" s="82">
        <f>H70*0.11</f>
        <v>2958.4279296</v>
      </c>
      <c r="I82" s="75"/>
    </row>
    <row r="83" spans="1:9" ht="15">
      <c r="A83" s="75"/>
      <c r="B83" s="81" t="s">
        <v>399</v>
      </c>
      <c r="C83" s="85">
        <f>SUM(C75:C79)</f>
        <v>16040</v>
      </c>
      <c r="D83" s="85">
        <f>D81+D82</f>
        <v>9857.276</v>
      </c>
      <c r="E83" s="85">
        <f>E81+E82</f>
        <v>11828.7312</v>
      </c>
      <c r="F83" s="85">
        <f>F81+F82</f>
        <v>14194.47744</v>
      </c>
      <c r="G83" s="85">
        <f>G81+G82</f>
        <v>17033.372928</v>
      </c>
      <c r="H83" s="85">
        <f>H81+H82</f>
        <v>20440.0475136</v>
      </c>
      <c r="I83" s="75"/>
    </row>
    <row r="84" spans="1:9" ht="14.25">
      <c r="A84" s="75"/>
      <c r="B84" s="75"/>
      <c r="C84" s="75"/>
      <c r="D84" s="75"/>
      <c r="E84" s="75"/>
      <c r="F84" s="75"/>
      <c r="G84" s="75"/>
      <c r="H84" s="75"/>
      <c r="I84" s="75"/>
    </row>
    <row r="85" spans="1:9" ht="15">
      <c r="A85" s="75"/>
      <c r="B85" s="81" t="s">
        <v>405</v>
      </c>
      <c r="C85" s="79">
        <f aca="true" t="shared" si="2" ref="C85:H85">C73-C83</f>
        <v>-16040</v>
      </c>
      <c r="D85" s="79">
        <f t="shared" si="2"/>
        <v>3891.0300000000007</v>
      </c>
      <c r="E85" s="79">
        <f t="shared" si="2"/>
        <v>4669.235999999999</v>
      </c>
      <c r="F85" s="79">
        <f t="shared" si="2"/>
        <v>5603.083199999999</v>
      </c>
      <c r="G85" s="79">
        <f t="shared" si="2"/>
        <v>6723.699840000001</v>
      </c>
      <c r="H85" s="79">
        <f t="shared" si="2"/>
        <v>8068.439808000003</v>
      </c>
      <c r="I85" s="75"/>
    </row>
    <row r="86" spans="1:9" ht="15">
      <c r="A86" s="75"/>
      <c r="B86" s="81" t="s">
        <v>407</v>
      </c>
      <c r="C86" s="86">
        <v>0.13</v>
      </c>
      <c r="D86" s="75"/>
      <c r="E86" s="75"/>
      <c r="F86" s="75"/>
      <c r="G86" s="75"/>
      <c r="H86" s="75"/>
      <c r="I86" s="75"/>
    </row>
    <row r="87" spans="1:9" ht="15">
      <c r="A87" s="75"/>
      <c r="B87" s="81" t="s">
        <v>193</v>
      </c>
      <c r="C87" s="79">
        <f>NPV(C86,D85:H85)+C85</f>
        <v>3446.300693808247</v>
      </c>
      <c r="D87" s="75"/>
      <c r="E87" s="75"/>
      <c r="F87" s="75"/>
      <c r="G87" s="75"/>
      <c r="H87" s="75"/>
      <c r="I87" s="75"/>
    </row>
    <row r="88" spans="1:9" ht="14.25">
      <c r="A88" s="75"/>
      <c r="B88" s="26" t="s">
        <v>80</v>
      </c>
      <c r="C88" s="75"/>
      <c r="D88" s="75"/>
      <c r="E88" s="75"/>
      <c r="F88" s="75"/>
      <c r="G88" s="75"/>
      <c r="H88" s="75"/>
      <c r="I88" s="75"/>
    </row>
    <row r="89" spans="1:9" ht="15">
      <c r="A89" s="75"/>
      <c r="B89" s="81" t="s">
        <v>531</v>
      </c>
      <c r="C89" s="75"/>
      <c r="D89" s="75"/>
      <c r="E89" s="75"/>
      <c r="F89" s="75"/>
      <c r="G89" s="75"/>
      <c r="H89" s="75"/>
      <c r="I89" s="75"/>
    </row>
    <row r="90" spans="1:9" ht="15">
      <c r="A90" s="75"/>
      <c r="B90" s="81" t="s">
        <v>532</v>
      </c>
      <c r="C90" s="75"/>
      <c r="D90" s="75"/>
      <c r="E90" s="75"/>
      <c r="F90" s="75"/>
      <c r="G90" s="75"/>
      <c r="H90" s="75"/>
      <c r="I90" s="75"/>
    </row>
    <row r="91" spans="1:9" ht="15">
      <c r="A91" s="75"/>
      <c r="B91" s="81" t="s">
        <v>533</v>
      </c>
      <c r="C91" s="75"/>
      <c r="D91" s="75"/>
      <c r="E91" s="75"/>
      <c r="F91" s="75"/>
      <c r="G91" s="75"/>
      <c r="H91" s="75"/>
      <c r="I91" s="75"/>
    </row>
    <row r="92" spans="1:9" ht="15">
      <c r="A92" s="75"/>
      <c r="B92" s="81" t="s">
        <v>534</v>
      </c>
      <c r="C92" s="75"/>
      <c r="D92" s="75"/>
      <c r="E92" s="75"/>
      <c r="F92" s="75"/>
      <c r="G92" s="75"/>
      <c r="H92" s="75"/>
      <c r="I92" s="75"/>
    </row>
    <row r="93" spans="1:9" ht="14.25">
      <c r="A93" s="75"/>
      <c r="B93" s="75"/>
      <c r="C93" s="75"/>
      <c r="D93" s="75"/>
      <c r="E93" s="75"/>
      <c r="F93" s="75"/>
      <c r="G93" s="75"/>
      <c r="H93" s="75"/>
      <c r="I93" s="75"/>
    </row>
  </sheetData>
  <sheetProtection/>
  <mergeCells count="10">
    <mergeCell ref="T2:W2"/>
    <mergeCell ref="B19:H19"/>
    <mergeCell ref="B43:H43"/>
    <mergeCell ref="B67:H67"/>
    <mergeCell ref="K19:O19"/>
    <mergeCell ref="J2:M2"/>
    <mergeCell ref="O3:O5"/>
    <mergeCell ref="O7:O9"/>
    <mergeCell ref="O11:O13"/>
    <mergeCell ref="O2:R2"/>
  </mergeCells>
  <printOptions/>
  <pageMargins left="0.7" right="0.7" top="0.75" bottom="0.75" header="0.3" footer="0.3"/>
  <pageSetup horizontalDpi="120" verticalDpi="12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9"/>
  <sheetViews>
    <sheetView zoomScale="91" zoomScaleNormal="91" zoomScalePageLayoutView="0" workbookViewId="0" topLeftCell="A1">
      <selection activeCell="I17" sqref="I17"/>
    </sheetView>
  </sheetViews>
  <sheetFormatPr defaultColWidth="11.421875" defaultRowHeight="15"/>
  <cols>
    <col min="1" max="1" width="3.00390625" style="7" customWidth="1"/>
    <col min="2" max="2" width="21.8515625" style="7" bestFit="1" customWidth="1"/>
    <col min="3" max="7" width="12.7109375" style="7" customWidth="1"/>
    <col min="8" max="8" width="6.28125" style="7" customWidth="1"/>
    <col min="9" max="9" width="40.8515625" style="7" bestFit="1" customWidth="1"/>
    <col min="10" max="10" width="6.57421875" style="7" customWidth="1"/>
    <col min="11" max="15" width="11.421875" style="7" customWidth="1"/>
    <col min="16" max="16" width="18.28125" style="7" bestFit="1" customWidth="1"/>
    <col min="17" max="16384" width="11.421875" style="7" customWidth="1"/>
  </cols>
  <sheetData>
    <row r="1" spans="1:8" ht="7.5" customHeight="1" thickBot="1">
      <c r="A1" s="75"/>
      <c r="B1" s="75"/>
      <c r="C1" s="75"/>
      <c r="D1" s="75"/>
      <c r="E1" s="75"/>
      <c r="F1" s="75"/>
      <c r="G1" s="75"/>
      <c r="H1" s="75"/>
    </row>
    <row r="2" spans="1:8" ht="15.75" thickBot="1">
      <c r="A2" s="75"/>
      <c r="B2" s="254" t="s">
        <v>238</v>
      </c>
      <c r="C2" s="255"/>
      <c r="D2" s="255"/>
      <c r="E2" s="255"/>
      <c r="F2" s="255"/>
      <c r="G2" s="256"/>
      <c r="H2" s="75"/>
    </row>
    <row r="3" spans="1:8" ht="15.75" thickBot="1">
      <c r="A3" s="75"/>
      <c r="B3" s="197"/>
      <c r="C3" s="94">
        <v>2009</v>
      </c>
      <c r="D3" s="94">
        <v>2010</v>
      </c>
      <c r="E3" s="94">
        <v>2011</v>
      </c>
      <c r="F3" s="94">
        <v>2012</v>
      </c>
      <c r="G3" s="94">
        <v>2013</v>
      </c>
      <c r="H3" s="75"/>
    </row>
    <row r="4" spans="1:10" ht="15.75" thickBot="1">
      <c r="A4" s="75"/>
      <c r="B4" s="198" t="s">
        <v>345</v>
      </c>
      <c r="C4" s="199">
        <f>+Q</f>
        <v>13</v>
      </c>
      <c r="D4" s="200">
        <f>C4*(1+$J$5)</f>
        <v>16.900000000000002</v>
      </c>
      <c r="E4" s="200">
        <f>D4*(1+$J$5)</f>
        <v>21.970000000000002</v>
      </c>
      <c r="F4" s="201">
        <f>E4*(1+$J$5)</f>
        <v>28.561000000000003</v>
      </c>
      <c r="G4" s="202">
        <f>F4*(1+$J$5)</f>
        <v>37.12930000000001</v>
      </c>
      <c r="H4" s="75"/>
      <c r="I4" s="27" t="s">
        <v>237</v>
      </c>
      <c r="J4" s="54">
        <v>0.04</v>
      </c>
    </row>
    <row r="5" spans="1:10" ht="15.75" thickBot="1">
      <c r="A5" s="75"/>
      <c r="B5" s="203" t="s">
        <v>148</v>
      </c>
      <c r="C5" s="204">
        <v>2</v>
      </c>
      <c r="D5" s="205">
        <f>C5*1.1</f>
        <v>2.2</v>
      </c>
      <c r="E5" s="205">
        <f>D5*1.1</f>
        <v>2.4200000000000004</v>
      </c>
      <c r="F5" s="205">
        <f>E5*1.1</f>
        <v>2.662000000000001</v>
      </c>
      <c r="G5" s="206">
        <f>F5*1.1</f>
        <v>2.9282000000000012</v>
      </c>
      <c r="H5" s="75"/>
      <c r="I5" s="27" t="s">
        <v>451</v>
      </c>
      <c r="J5" s="54">
        <v>0.3</v>
      </c>
    </row>
    <row r="6" spans="1:8" ht="15" thickBot="1">
      <c r="A6" s="75"/>
      <c r="B6" s="1" t="s">
        <v>112</v>
      </c>
      <c r="C6" s="207"/>
      <c r="D6" s="208"/>
      <c r="E6" s="208"/>
      <c r="F6" s="208"/>
      <c r="G6" s="209"/>
      <c r="H6" s="75"/>
    </row>
    <row r="7" spans="1:15" ht="14.25">
      <c r="A7" s="75"/>
      <c r="B7" s="210" t="s">
        <v>149</v>
      </c>
      <c r="C7" s="211">
        <v>19800</v>
      </c>
      <c r="D7" s="212">
        <f>C7*1.15</f>
        <v>22770</v>
      </c>
      <c r="E7" s="212">
        <f>D7*1.15</f>
        <v>26185.499999999996</v>
      </c>
      <c r="F7" s="212">
        <f>E7*1.15</f>
        <v>30113.324999999993</v>
      </c>
      <c r="G7" s="213">
        <f>F7*1.15</f>
        <v>34630.32374999999</v>
      </c>
      <c r="H7" s="75"/>
      <c r="O7" s="47"/>
    </row>
    <row r="8" spans="1:15" ht="14.25">
      <c r="A8" s="75"/>
      <c r="B8" s="210" t="s">
        <v>341</v>
      </c>
      <c r="C8" s="214">
        <v>198</v>
      </c>
      <c r="D8" s="215">
        <f>ROUNDDOWN(((D7-C7)/100+C8),0)</f>
        <v>227</v>
      </c>
      <c r="E8" s="215">
        <f>ROUNDDOWN(((E7-D7)/100+D8),0)</f>
        <v>261</v>
      </c>
      <c r="F8" s="215">
        <f>ROUNDDOWN(((F7-E7)/100+E8),0)</f>
        <v>300</v>
      </c>
      <c r="G8" s="216">
        <f>ROUNDDOWN(((G7-F7)/100+F8),0)</f>
        <v>345</v>
      </c>
      <c r="H8" s="75"/>
      <c r="O8" s="48"/>
    </row>
    <row r="9" spans="1:15" ht="14.25">
      <c r="A9" s="75"/>
      <c r="B9" s="210" t="s">
        <v>150</v>
      </c>
      <c r="C9" s="214">
        <v>8</v>
      </c>
      <c r="D9" s="215">
        <v>9</v>
      </c>
      <c r="E9" s="215">
        <v>9</v>
      </c>
      <c r="F9" s="215">
        <v>10</v>
      </c>
      <c r="G9" s="216">
        <v>10</v>
      </c>
      <c r="H9" s="75"/>
      <c r="O9" s="48"/>
    </row>
    <row r="10" spans="1:8" ht="14.25">
      <c r="A10" s="75"/>
      <c r="B10" s="210" t="s">
        <v>151</v>
      </c>
      <c r="C10" s="214">
        <v>8</v>
      </c>
      <c r="D10" s="215">
        <v>9</v>
      </c>
      <c r="E10" s="215">
        <v>9</v>
      </c>
      <c r="F10" s="215">
        <v>10</v>
      </c>
      <c r="G10" s="216">
        <v>10</v>
      </c>
      <c r="H10" s="75"/>
    </row>
    <row r="11" spans="1:9" ht="14.25">
      <c r="A11" s="75"/>
      <c r="B11" s="210" t="s">
        <v>342</v>
      </c>
      <c r="C11" s="214">
        <v>29</v>
      </c>
      <c r="D11" s="215">
        <f>ROUNDDOWN((((D7-C7)/700)+C11),0)</f>
        <v>33</v>
      </c>
      <c r="E11" s="215">
        <f>ROUNDDOWN((((E7-D7)/700)+D11),0)</f>
        <v>37</v>
      </c>
      <c r="F11" s="215">
        <f>ROUNDDOWN((((F7-E7)/700)+E11),0)</f>
        <v>42</v>
      </c>
      <c r="G11" s="216">
        <f>ROUNDDOWN((((G7-F7)/700)+F11),0)</f>
        <v>48</v>
      </c>
      <c r="H11" s="75"/>
      <c r="I11" s="55"/>
    </row>
    <row r="12" spans="1:8" ht="15" thickBot="1">
      <c r="A12" s="75"/>
      <c r="B12" s="203" t="s">
        <v>343</v>
      </c>
      <c r="C12" s="217">
        <f>C4*907*2.2</f>
        <v>25940.2</v>
      </c>
      <c r="D12" s="218">
        <f>D4*907*2.2</f>
        <v>33722.26</v>
      </c>
      <c r="E12" s="218">
        <f>E4*907*2.2</f>
        <v>43838.938</v>
      </c>
      <c r="F12" s="218">
        <f>F4*907*2.2</f>
        <v>56990.61940000002</v>
      </c>
      <c r="G12" s="219">
        <f>G4*907*2.2</f>
        <v>74087.80522000002</v>
      </c>
      <c r="H12" s="75"/>
    </row>
    <row r="13" spans="1:8" ht="15" thickBot="1">
      <c r="A13" s="75"/>
      <c r="B13" s="203" t="s">
        <v>429</v>
      </c>
      <c r="C13" s="217">
        <f>C12/2.2</f>
        <v>11791</v>
      </c>
      <c r="D13" s="217">
        <f>D12/2.2</f>
        <v>15328.3</v>
      </c>
      <c r="E13" s="217">
        <f>E12/2.2</f>
        <v>19926.79</v>
      </c>
      <c r="F13" s="217">
        <f>F12/2.2</f>
        <v>25904.827000000005</v>
      </c>
      <c r="G13" s="220">
        <f>G12/2.2</f>
        <v>33676.275100000006</v>
      </c>
      <c r="H13" s="75"/>
    </row>
    <row r="14" spans="1:8" ht="15" thickBot="1">
      <c r="A14" s="75"/>
      <c r="B14" s="221" t="s">
        <v>143</v>
      </c>
      <c r="C14" s="222">
        <v>519</v>
      </c>
      <c r="D14" s="222">
        <v>674</v>
      </c>
      <c r="E14" s="222">
        <v>877</v>
      </c>
      <c r="F14" s="222">
        <v>1140</v>
      </c>
      <c r="G14" s="223">
        <v>1482</v>
      </c>
      <c r="H14" s="75"/>
    </row>
    <row r="15" spans="1:8" ht="15" thickBot="1">
      <c r="A15" s="75"/>
      <c r="B15" s="221" t="s">
        <v>365</v>
      </c>
      <c r="C15" s="222">
        <v>12</v>
      </c>
      <c r="D15" s="222">
        <v>15</v>
      </c>
      <c r="E15" s="222">
        <v>19</v>
      </c>
      <c r="F15" s="222">
        <v>25</v>
      </c>
      <c r="G15" s="223">
        <v>33</v>
      </c>
      <c r="H15" s="75"/>
    </row>
    <row r="16" spans="1:8" ht="15" thickBot="1">
      <c r="A16" s="75"/>
      <c r="B16" s="221" t="s">
        <v>344</v>
      </c>
      <c r="C16" s="224">
        <f>+P</f>
        <v>25</v>
      </c>
      <c r="D16" s="224">
        <f>C16*(1+$J$4)</f>
        <v>26</v>
      </c>
      <c r="E16" s="224">
        <f>D16*(1+$J$4)</f>
        <v>27.04</v>
      </c>
      <c r="F16" s="224">
        <f>E16*(1+$J$4)</f>
        <v>28.1216</v>
      </c>
      <c r="G16" s="225">
        <f>F16*(1+$J$4)</f>
        <v>29.246464000000003</v>
      </c>
      <c r="H16" s="75"/>
    </row>
    <row r="17" spans="1:8" ht="15" thickBot="1">
      <c r="A17" s="75"/>
      <c r="B17" s="221" t="s">
        <v>156</v>
      </c>
      <c r="C17" s="226">
        <f>C14*C16</f>
        <v>12975</v>
      </c>
      <c r="D17" s="227">
        <f>D14*D16</f>
        <v>17524</v>
      </c>
      <c r="E17" s="227">
        <f>E14*E16</f>
        <v>23714.079999999998</v>
      </c>
      <c r="F17" s="227">
        <f>F14*F16</f>
        <v>32058.624</v>
      </c>
      <c r="G17" s="228">
        <f>G14*G16</f>
        <v>43343.25964800001</v>
      </c>
      <c r="H17" s="75"/>
    </row>
    <row r="18" spans="1:8" ht="14.25">
      <c r="A18" s="75"/>
      <c r="B18" s="100" t="s">
        <v>80</v>
      </c>
      <c r="C18" s="75"/>
      <c r="D18" s="75"/>
      <c r="E18" s="75"/>
      <c r="F18" s="75"/>
      <c r="G18" s="75"/>
      <c r="H18" s="75"/>
    </row>
    <row r="19" spans="1:8" ht="14.25">
      <c r="A19" s="75"/>
      <c r="B19" s="75"/>
      <c r="C19" s="75"/>
      <c r="D19" s="75"/>
      <c r="E19" s="75"/>
      <c r="F19" s="75"/>
      <c r="G19" s="75"/>
      <c r="H19" s="75"/>
    </row>
  </sheetData>
  <sheetProtection/>
  <mergeCells count="1">
    <mergeCell ref="B2:G2"/>
  </mergeCells>
  <printOptions/>
  <pageMargins left="0.7" right="0.7" top="0.75" bottom="0.75" header="0.3" footer="0.3"/>
  <pageSetup horizontalDpi="120" verticalDpi="12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2"/>
  <sheetViews>
    <sheetView zoomScale="84" zoomScaleNormal="84" zoomScalePageLayoutView="0" workbookViewId="0" topLeftCell="A1">
      <selection activeCell="I11" sqref="I11"/>
    </sheetView>
  </sheetViews>
  <sheetFormatPr defaultColWidth="11.421875" defaultRowHeight="15"/>
  <cols>
    <col min="1" max="1" width="4.7109375" style="0" customWidth="1"/>
    <col min="2" max="2" width="24.7109375" style="0" bestFit="1" customWidth="1"/>
    <col min="3" max="5" width="11.57421875" style="0" bestFit="1" customWidth="1"/>
    <col min="6" max="7" width="12.00390625" style="0" bestFit="1" customWidth="1"/>
    <col min="8" max="8" width="7.140625" style="0" customWidth="1"/>
    <col min="9" max="9" width="33.7109375" style="0" customWidth="1"/>
    <col min="10" max="10" width="6.421875" style="0" customWidth="1"/>
    <col min="13" max="13" width="30.140625" style="0" bestFit="1" customWidth="1"/>
    <col min="14" max="16" width="14.140625" style="0" customWidth="1"/>
    <col min="18" max="18" width="17.57421875" style="0" bestFit="1" customWidth="1"/>
  </cols>
  <sheetData>
    <row r="1" spans="1:11" ht="8.25" customHeight="1" thickBo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24" ht="15.75" thickBot="1">
      <c r="A2" s="88"/>
      <c r="B2" s="263" t="s">
        <v>84</v>
      </c>
      <c r="C2" s="264"/>
      <c r="D2" s="264"/>
      <c r="E2" s="264"/>
      <c r="F2" s="264"/>
      <c r="G2" s="265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</row>
    <row r="3" spans="1:24" ht="18.75" thickBot="1">
      <c r="A3" s="88"/>
      <c r="B3" s="100"/>
      <c r="C3" s="107">
        <v>2009</v>
      </c>
      <c r="D3" s="107">
        <v>2010</v>
      </c>
      <c r="E3" s="107">
        <v>2011</v>
      </c>
      <c r="F3" s="107">
        <v>2012</v>
      </c>
      <c r="G3" s="107">
        <v>2013</v>
      </c>
      <c r="H3" s="88"/>
      <c r="I3" s="27" t="s">
        <v>243</v>
      </c>
      <c r="J3" s="28">
        <f>+CM</f>
        <v>0.04</v>
      </c>
      <c r="K3" s="88"/>
      <c r="L3" s="88"/>
      <c r="M3" s="260" t="s">
        <v>119</v>
      </c>
      <c r="N3" s="261"/>
      <c r="O3" s="261"/>
      <c r="P3" s="262"/>
      <c r="Q3" s="88"/>
      <c r="R3" s="266" t="s">
        <v>157</v>
      </c>
      <c r="S3" s="267"/>
      <c r="T3" s="267"/>
      <c r="U3" s="267"/>
      <c r="V3" s="267"/>
      <c r="W3" s="268"/>
      <c r="X3" s="88"/>
    </row>
    <row r="4" spans="1:24" ht="15.75" thickBot="1">
      <c r="A4" s="88"/>
      <c r="B4" s="108" t="s">
        <v>85</v>
      </c>
      <c r="C4" s="230">
        <f>SUM(C5:C9)</f>
        <v>688</v>
      </c>
      <c r="D4" s="230">
        <f>SUM(D5:D9)</f>
        <v>369.48080000000004</v>
      </c>
      <c r="E4" s="230">
        <f>SUM(E5:E9)</f>
        <v>427.97343680000006</v>
      </c>
      <c r="F4" s="230">
        <f>SUM(F5:F9)</f>
        <v>506.31627521280006</v>
      </c>
      <c r="G4" s="230">
        <f>SUM(G5:G9)</f>
        <v>593.2707502745089</v>
      </c>
      <c r="H4" s="88"/>
      <c r="I4" s="27" t="s">
        <v>236</v>
      </c>
      <c r="J4" s="28">
        <f>+GYS</f>
        <v>0.02</v>
      </c>
      <c r="K4" s="88"/>
      <c r="L4" s="88"/>
      <c r="M4" s="94" t="s">
        <v>58</v>
      </c>
      <c r="N4" s="94" t="s">
        <v>115</v>
      </c>
      <c r="O4" s="94" t="s">
        <v>116</v>
      </c>
      <c r="P4" s="94" t="s">
        <v>117</v>
      </c>
      <c r="Q4" s="88"/>
      <c r="R4" s="88"/>
      <c r="S4" s="106">
        <v>2009</v>
      </c>
      <c r="T4" s="106">
        <v>2010</v>
      </c>
      <c r="U4" s="106">
        <v>2011</v>
      </c>
      <c r="V4" s="106">
        <v>2012</v>
      </c>
      <c r="W4" s="106">
        <v>2013</v>
      </c>
      <c r="X4" s="88"/>
    </row>
    <row r="5" spans="1:24" ht="15">
      <c r="A5" s="88"/>
      <c r="B5" s="100" t="s">
        <v>96</v>
      </c>
      <c r="C5" s="229">
        <f>'Produccion Proyectada'!C7*'Costos y Gastos'!S5</f>
        <v>396</v>
      </c>
      <c r="D5" s="229">
        <f>('Produccion Proyectada'!D7*'Costos y Gastos'!T5)*0.05</f>
        <v>23.680800000000005</v>
      </c>
      <c r="E5" s="229">
        <f>('Produccion Proyectada'!E7*'Costos y Gastos'!U5)*0.05</f>
        <v>28.3222368</v>
      </c>
      <c r="F5" s="229">
        <f>('Produccion Proyectada'!F7*'Costos y Gastos'!V5)*0.05</f>
        <v>33.8733952128</v>
      </c>
      <c r="G5" s="229">
        <f>('Produccion Proyectada'!G7*'Costos y Gastos'!W5)*0.05</f>
        <v>40.5125806745088</v>
      </c>
      <c r="H5" s="88"/>
      <c r="I5" s="88"/>
      <c r="J5" s="88"/>
      <c r="K5" s="88"/>
      <c r="L5" s="88"/>
      <c r="M5" s="26" t="s">
        <v>88</v>
      </c>
      <c r="N5" s="101">
        <v>12</v>
      </c>
      <c r="O5" s="96">
        <v>18</v>
      </c>
      <c r="P5" s="96">
        <f>N5*O5</f>
        <v>216</v>
      </c>
      <c r="Q5" s="88"/>
      <c r="R5" s="88" t="s">
        <v>96</v>
      </c>
      <c r="S5" s="93">
        <v>0.02</v>
      </c>
      <c r="T5" s="93">
        <f aca="true" t="shared" si="0" ref="T5:W9">S5*(1+$J$3)</f>
        <v>0.020800000000000003</v>
      </c>
      <c r="U5" s="93">
        <f t="shared" si="0"/>
        <v>0.021632000000000002</v>
      </c>
      <c r="V5" s="93">
        <f t="shared" si="0"/>
        <v>0.02249728</v>
      </c>
      <c r="W5" s="93">
        <f t="shared" si="0"/>
        <v>0.023397171200000004</v>
      </c>
      <c r="X5" s="88"/>
    </row>
    <row r="6" spans="1:24" ht="15">
      <c r="A6" s="88"/>
      <c r="B6" s="100" t="s">
        <v>329</v>
      </c>
      <c r="C6" s="229">
        <f>'Produccion Proyectada'!C8*'Costos y Gastos'!S6</f>
        <v>99</v>
      </c>
      <c r="D6" s="229">
        <f>'Produccion Proyectada'!D8*'Costos y Gastos'!T6</f>
        <v>118.04</v>
      </c>
      <c r="E6" s="229">
        <f>'Produccion Proyectada'!E8*'Costos y Gastos'!U6</f>
        <v>141.14880000000002</v>
      </c>
      <c r="F6" s="229">
        <f>'Produccion Proyectada'!F8*'Costos y Gastos'!V6</f>
        <v>168.7296</v>
      </c>
      <c r="G6" s="229">
        <f>'Produccion Proyectada'!G8*'Costos y Gastos'!W6</f>
        <v>201.80060160000005</v>
      </c>
      <c r="H6" s="88"/>
      <c r="I6" s="88"/>
      <c r="J6" s="88"/>
      <c r="K6" s="88"/>
      <c r="L6" s="88"/>
      <c r="M6" s="26" t="s">
        <v>347</v>
      </c>
      <c r="N6" s="101">
        <v>12</v>
      </c>
      <c r="O6" s="96">
        <v>15</v>
      </c>
      <c r="P6" s="96">
        <f>N6*O6</f>
        <v>180</v>
      </c>
      <c r="Q6" s="88"/>
      <c r="R6" s="88" t="s">
        <v>329</v>
      </c>
      <c r="S6" s="93">
        <v>0.5</v>
      </c>
      <c r="T6" s="93">
        <f t="shared" si="0"/>
        <v>0.52</v>
      </c>
      <c r="U6" s="93">
        <f t="shared" si="0"/>
        <v>0.5408000000000001</v>
      </c>
      <c r="V6" s="93">
        <f t="shared" si="0"/>
        <v>0.562432</v>
      </c>
      <c r="W6" s="93">
        <f t="shared" si="0"/>
        <v>0.5849292800000001</v>
      </c>
      <c r="X6" s="88"/>
    </row>
    <row r="7" spans="1:24" ht="15">
      <c r="A7" s="88"/>
      <c r="B7" s="100" t="s">
        <v>97</v>
      </c>
      <c r="C7" s="229">
        <f>'Produccion Proyectada'!C9*'Costos y Gastos'!S7</f>
        <v>24</v>
      </c>
      <c r="D7" s="229">
        <f>'Produccion Proyectada'!D9*'Costos y Gastos'!T7</f>
        <v>28.080000000000002</v>
      </c>
      <c r="E7" s="229">
        <f>'Produccion Proyectada'!E9*'Costos y Gastos'!U7</f>
        <v>29.203200000000002</v>
      </c>
      <c r="F7" s="229">
        <f>'Produccion Proyectada'!F9*'Costos y Gastos'!V7</f>
        <v>33.745920000000005</v>
      </c>
      <c r="G7" s="229">
        <f>'Produccion Proyectada'!G9*'Costos y Gastos'!W7</f>
        <v>35.095756800000004</v>
      </c>
      <c r="H7" s="88"/>
      <c r="I7" s="88"/>
      <c r="J7" s="88"/>
      <c r="K7" s="88"/>
      <c r="L7" s="88"/>
      <c r="M7" s="26" t="s">
        <v>153</v>
      </c>
      <c r="N7" s="101">
        <v>12</v>
      </c>
      <c r="O7" s="96">
        <v>25</v>
      </c>
      <c r="P7" s="96">
        <f>N7*O7</f>
        <v>300</v>
      </c>
      <c r="Q7" s="88"/>
      <c r="R7" s="88" t="s">
        <v>97</v>
      </c>
      <c r="S7" s="93">
        <v>3</v>
      </c>
      <c r="T7" s="93">
        <f t="shared" si="0"/>
        <v>3.12</v>
      </c>
      <c r="U7" s="93">
        <f t="shared" si="0"/>
        <v>3.2448</v>
      </c>
      <c r="V7" s="93">
        <f t="shared" si="0"/>
        <v>3.3745920000000003</v>
      </c>
      <c r="W7" s="93">
        <f t="shared" si="0"/>
        <v>3.50957568</v>
      </c>
      <c r="X7" s="88"/>
    </row>
    <row r="8" spans="1:24" ht="15.75" thickBot="1">
      <c r="A8" s="88"/>
      <c r="B8" s="100" t="s">
        <v>98</v>
      </c>
      <c r="C8" s="229">
        <f>'Produccion Proyectada'!C10*'Costos y Gastos'!S8</f>
        <v>24</v>
      </c>
      <c r="D8" s="229">
        <f>'Produccion Proyectada'!D10*'Costos y Gastos'!T8</f>
        <v>28.080000000000002</v>
      </c>
      <c r="E8" s="229">
        <f>'Produccion Proyectada'!E10*'Costos y Gastos'!U8</f>
        <v>29.203200000000002</v>
      </c>
      <c r="F8" s="229">
        <f>'Produccion Proyectada'!F10*'Costos y Gastos'!V8</f>
        <v>33.745920000000005</v>
      </c>
      <c r="G8" s="229">
        <f>'Produccion Proyectada'!G10*'Costos y Gastos'!W8</f>
        <v>35.095756800000004</v>
      </c>
      <c r="H8" s="88"/>
      <c r="I8" s="109"/>
      <c r="J8" s="88"/>
      <c r="K8" s="88"/>
      <c r="L8" s="88"/>
      <c r="M8" s="26" t="s">
        <v>89</v>
      </c>
      <c r="N8" s="101">
        <v>1000</v>
      </c>
      <c r="O8" s="96">
        <v>0.225</v>
      </c>
      <c r="P8" s="96">
        <f>N8*O8</f>
        <v>225</v>
      </c>
      <c r="Q8" s="102"/>
      <c r="R8" s="88" t="s">
        <v>98</v>
      </c>
      <c r="S8" s="93">
        <v>3</v>
      </c>
      <c r="T8" s="93">
        <f t="shared" si="0"/>
        <v>3.12</v>
      </c>
      <c r="U8" s="93">
        <f t="shared" si="0"/>
        <v>3.2448</v>
      </c>
      <c r="V8" s="93">
        <f t="shared" si="0"/>
        <v>3.3745920000000003</v>
      </c>
      <c r="W8" s="93">
        <f t="shared" si="0"/>
        <v>3.50957568</v>
      </c>
      <c r="X8" s="88"/>
    </row>
    <row r="9" spans="1:24" ht="15.75" thickBot="1">
      <c r="A9" s="88"/>
      <c r="B9" s="100" t="s">
        <v>332</v>
      </c>
      <c r="C9" s="229">
        <f>'Produccion Proyectada'!C11*'Costos y Gastos'!S9</f>
        <v>145</v>
      </c>
      <c r="D9" s="229">
        <f>'Produccion Proyectada'!D11*'Costos y Gastos'!T9</f>
        <v>171.6</v>
      </c>
      <c r="E9" s="229">
        <f>'Produccion Proyectada'!E11*'Costos y Gastos'!U9</f>
        <v>200.096</v>
      </c>
      <c r="F9" s="229">
        <f>'Produccion Proyectada'!F11*'Costos y Gastos'!V9</f>
        <v>236.22144000000003</v>
      </c>
      <c r="G9" s="229">
        <f>'Produccion Proyectada'!G11*'Costos y Gastos'!W9</f>
        <v>280.7660544000001</v>
      </c>
      <c r="H9" s="88"/>
      <c r="I9" s="110"/>
      <c r="J9" s="88"/>
      <c r="K9" s="88"/>
      <c r="L9" s="88"/>
      <c r="M9" s="81" t="s">
        <v>118</v>
      </c>
      <c r="N9" s="75"/>
      <c r="O9" s="103"/>
      <c r="P9" s="99">
        <f>SUM(P5:P8)</f>
        <v>921</v>
      </c>
      <c r="Q9" s="88"/>
      <c r="R9" s="88" t="s">
        <v>332</v>
      </c>
      <c r="S9" s="93">
        <v>5</v>
      </c>
      <c r="T9" s="93">
        <f t="shared" si="0"/>
        <v>5.2</v>
      </c>
      <c r="U9" s="93">
        <f t="shared" si="0"/>
        <v>5.408</v>
      </c>
      <c r="V9" s="93">
        <f t="shared" si="0"/>
        <v>5.624320000000001</v>
      </c>
      <c r="W9" s="93">
        <f t="shared" si="0"/>
        <v>5.8492928000000015</v>
      </c>
      <c r="X9" s="88"/>
    </row>
    <row r="10" spans="1:24" ht="15">
      <c r="A10" s="88"/>
      <c r="B10" s="100"/>
      <c r="C10" s="229"/>
      <c r="D10" s="229"/>
      <c r="E10" s="229"/>
      <c r="F10" s="229"/>
      <c r="G10" s="229"/>
      <c r="H10" s="88"/>
      <c r="I10" s="88"/>
      <c r="J10" s="88"/>
      <c r="K10" s="88"/>
      <c r="L10" s="88"/>
      <c r="M10" s="100" t="s">
        <v>80</v>
      </c>
      <c r="N10" s="75"/>
      <c r="O10" s="103"/>
      <c r="P10" s="104"/>
      <c r="Q10" s="88"/>
      <c r="R10" s="88" t="s">
        <v>431</v>
      </c>
      <c r="S10" s="93"/>
      <c r="T10" s="93"/>
      <c r="U10" s="93"/>
      <c r="V10" s="93"/>
      <c r="W10" s="93"/>
      <c r="X10" s="88"/>
    </row>
    <row r="11" spans="1:24" ht="15.75" thickBot="1">
      <c r="A11" s="88"/>
      <c r="B11" s="108" t="s">
        <v>87</v>
      </c>
      <c r="C11" s="230">
        <f>SUM(C12:C16)</f>
        <v>623.9</v>
      </c>
      <c r="D11" s="230">
        <f>SUM(D12:D16)</f>
        <v>728.576</v>
      </c>
      <c r="E11" s="230">
        <f>SUM(E12:E16)</f>
        <v>862.7390399999999</v>
      </c>
      <c r="F11" s="230">
        <f>SUM(F12:F16)</f>
        <v>1037.4086016</v>
      </c>
      <c r="G11" s="230">
        <f>SUM(G12:G16)</f>
        <v>1262.104945664</v>
      </c>
      <c r="H11" s="88"/>
      <c r="I11" s="88"/>
      <c r="J11" s="88"/>
      <c r="K11" s="88"/>
      <c r="L11" s="88"/>
      <c r="M11" s="88"/>
      <c r="N11" s="75"/>
      <c r="O11" s="75"/>
      <c r="P11" s="75"/>
      <c r="Q11" s="88"/>
      <c r="R11" s="88"/>
      <c r="S11" s="88"/>
      <c r="T11" s="88"/>
      <c r="U11" s="88"/>
      <c r="V11" s="88"/>
      <c r="W11" s="88"/>
      <c r="X11" s="88"/>
    </row>
    <row r="12" spans="1:17" ht="18.75" thickBot="1">
      <c r="A12" s="88"/>
      <c r="B12" s="100" t="s">
        <v>121</v>
      </c>
      <c r="C12" s="229">
        <f>P14</f>
        <v>44.4</v>
      </c>
      <c r="D12" s="229">
        <f>C12*(1+$J$3)</f>
        <v>46.176</v>
      </c>
      <c r="E12" s="229">
        <f>D12*(1+$J$3)</f>
        <v>48.02304</v>
      </c>
      <c r="F12" s="229">
        <f>E12*(1+$J$3)</f>
        <v>49.9439616</v>
      </c>
      <c r="G12" s="229">
        <f>F12*(1+$J$3)</f>
        <v>51.941720064</v>
      </c>
      <c r="H12" s="88"/>
      <c r="I12" s="88"/>
      <c r="J12" s="88"/>
      <c r="K12" s="88"/>
      <c r="L12" s="88"/>
      <c r="M12" s="260" t="s">
        <v>114</v>
      </c>
      <c r="N12" s="261"/>
      <c r="O12" s="261"/>
      <c r="P12" s="262"/>
      <c r="Q12" s="88"/>
    </row>
    <row r="13" spans="1:17" ht="15.75" thickBot="1">
      <c r="A13" s="88"/>
      <c r="B13" s="100" t="s">
        <v>382</v>
      </c>
      <c r="C13" s="229">
        <f>'Produccion Proyectada'!C14*0.5</f>
        <v>259.5</v>
      </c>
      <c r="D13" s="229">
        <f>'Produccion Proyectada'!D14*0.5</f>
        <v>337</v>
      </c>
      <c r="E13" s="229">
        <f>'Produccion Proyectada'!E14*0.5</f>
        <v>438.5</v>
      </c>
      <c r="F13" s="229">
        <f>'Produccion Proyectada'!F14*0.5</f>
        <v>570</v>
      </c>
      <c r="G13" s="229">
        <f>'Produccion Proyectada'!G14*0.5</f>
        <v>741</v>
      </c>
      <c r="H13" s="88"/>
      <c r="I13" s="88"/>
      <c r="J13" s="88"/>
      <c r="K13" s="88"/>
      <c r="L13" s="88"/>
      <c r="M13" s="94" t="s">
        <v>58</v>
      </c>
      <c r="N13" s="94" t="s">
        <v>115</v>
      </c>
      <c r="O13" s="94" t="s">
        <v>116</v>
      </c>
      <c r="P13" s="94" t="s">
        <v>117</v>
      </c>
      <c r="Q13" s="88"/>
    </row>
    <row r="14" spans="1:17" ht="15">
      <c r="A14" s="88"/>
      <c r="B14" s="100" t="s">
        <v>385</v>
      </c>
      <c r="C14" s="229">
        <v>60</v>
      </c>
      <c r="D14" s="229">
        <f aca="true" t="shared" si="1" ref="D14:G16">C14*(1+$J$3)</f>
        <v>62.400000000000006</v>
      </c>
      <c r="E14" s="229">
        <f t="shared" si="1"/>
        <v>64.89600000000002</v>
      </c>
      <c r="F14" s="229">
        <f t="shared" si="1"/>
        <v>67.49184000000002</v>
      </c>
      <c r="G14" s="229">
        <f t="shared" si="1"/>
        <v>70.19151360000002</v>
      </c>
      <c r="H14" s="88"/>
      <c r="I14" s="88"/>
      <c r="J14" s="88"/>
      <c r="K14" s="88"/>
      <c r="L14" s="88"/>
      <c r="M14" s="26" t="s">
        <v>121</v>
      </c>
      <c r="N14" s="95">
        <v>30</v>
      </c>
      <c r="O14" s="96">
        <v>1.48</v>
      </c>
      <c r="P14" s="96">
        <f>N14*O14</f>
        <v>44.4</v>
      </c>
      <c r="Q14" s="88"/>
    </row>
    <row r="15" spans="1:17" ht="15">
      <c r="A15" s="88"/>
      <c r="B15" s="100" t="s">
        <v>386</v>
      </c>
      <c r="C15" s="229">
        <f>'Produccion Proyectada'!C15*5</f>
        <v>60</v>
      </c>
      <c r="D15" s="229">
        <f>'Produccion Proyectada'!D15*5</f>
        <v>75</v>
      </c>
      <c r="E15" s="229">
        <f>'Produccion Proyectada'!E15*5</f>
        <v>95</v>
      </c>
      <c r="F15" s="229">
        <f>'Produccion Proyectada'!F15*5</f>
        <v>125</v>
      </c>
      <c r="G15" s="229">
        <f>'Produccion Proyectada'!G15*5</f>
        <v>165</v>
      </c>
      <c r="H15" s="88"/>
      <c r="I15" s="88"/>
      <c r="J15" s="88"/>
      <c r="K15" s="88"/>
      <c r="L15" s="88"/>
      <c r="M15" s="26" t="s">
        <v>382</v>
      </c>
      <c r="N15" s="95">
        <v>519</v>
      </c>
      <c r="O15" s="96">
        <v>0.5</v>
      </c>
      <c r="P15" s="96">
        <f>N15*O15</f>
        <v>259.5</v>
      </c>
      <c r="Q15" s="88"/>
    </row>
    <row r="16" spans="1:17" ht="15">
      <c r="A16" s="88"/>
      <c r="B16" s="100" t="s">
        <v>383</v>
      </c>
      <c r="C16" s="229">
        <v>200</v>
      </c>
      <c r="D16" s="229">
        <f t="shared" si="1"/>
        <v>208</v>
      </c>
      <c r="E16" s="229">
        <f t="shared" si="1"/>
        <v>216.32</v>
      </c>
      <c r="F16" s="229">
        <f t="shared" si="1"/>
        <v>224.9728</v>
      </c>
      <c r="G16" s="229">
        <f t="shared" si="1"/>
        <v>233.97171200000003</v>
      </c>
      <c r="H16" s="88"/>
      <c r="I16" s="88"/>
      <c r="J16" s="88"/>
      <c r="K16" s="88"/>
      <c r="L16" s="88"/>
      <c r="M16" s="26" t="s">
        <v>385</v>
      </c>
      <c r="N16" s="95">
        <v>15</v>
      </c>
      <c r="O16" s="96">
        <v>4</v>
      </c>
      <c r="P16" s="96">
        <f>N16*O16</f>
        <v>60</v>
      </c>
      <c r="Q16" s="88"/>
    </row>
    <row r="17" spans="1:17" ht="15">
      <c r="A17" s="88"/>
      <c r="B17" s="108" t="s">
        <v>154</v>
      </c>
      <c r="C17" s="230">
        <f>C4+C11</f>
        <v>1311.9</v>
      </c>
      <c r="D17" s="230">
        <f>D4+D11</f>
        <v>1098.0568</v>
      </c>
      <c r="E17" s="230">
        <f>E4+E11</f>
        <v>1290.7124767999999</v>
      </c>
      <c r="F17" s="230">
        <f>F4+F11</f>
        <v>1543.7248768128002</v>
      </c>
      <c r="G17" s="230">
        <f>G4+G11</f>
        <v>1855.3756959385091</v>
      </c>
      <c r="H17" s="88"/>
      <c r="I17" s="88"/>
      <c r="J17" s="88"/>
      <c r="K17" s="88"/>
      <c r="L17" s="88"/>
      <c r="M17" s="26" t="s">
        <v>386</v>
      </c>
      <c r="N17" s="97">
        <v>12</v>
      </c>
      <c r="O17" s="96">
        <v>5</v>
      </c>
      <c r="P17" s="96">
        <f>N17*O17</f>
        <v>60</v>
      </c>
      <c r="Q17" s="88"/>
    </row>
    <row r="18" spans="1:17" ht="15.75" thickBot="1">
      <c r="A18" s="88"/>
      <c r="B18" s="100" t="s">
        <v>80</v>
      </c>
      <c r="C18" s="100"/>
      <c r="D18" s="100"/>
      <c r="E18" s="100"/>
      <c r="F18" s="100"/>
      <c r="G18" s="100"/>
      <c r="H18" s="88"/>
      <c r="I18" s="110"/>
      <c r="J18" s="88"/>
      <c r="K18" s="88"/>
      <c r="L18" s="88"/>
      <c r="M18" s="26" t="s">
        <v>387</v>
      </c>
      <c r="N18" s="97">
        <v>8</v>
      </c>
      <c r="O18" s="98">
        <v>25</v>
      </c>
      <c r="P18" s="98">
        <f>N18*O18</f>
        <v>200</v>
      </c>
      <c r="Q18" s="88"/>
    </row>
    <row r="19" spans="1:17" ht="15.75" thickBot="1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1" t="s">
        <v>118</v>
      </c>
      <c r="N19" s="75"/>
      <c r="O19" s="75"/>
      <c r="P19" s="99">
        <f>SUM(P14:P18)</f>
        <v>623.9</v>
      </c>
      <c r="Q19" s="88"/>
    </row>
    <row r="20" spans="1:17" ht="15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100" t="s">
        <v>80</v>
      </c>
      <c r="N20" s="75"/>
      <c r="O20" s="75"/>
      <c r="P20" s="75"/>
      <c r="Q20" s="88"/>
    </row>
    <row r="21" spans="1:17" ht="15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1:17" ht="15.75" thickBot="1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1:17" ht="18.75" thickBot="1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260" t="s">
        <v>388</v>
      </c>
      <c r="N23" s="261"/>
      <c r="O23" s="261"/>
      <c r="P23" s="262"/>
      <c r="Q23" s="88"/>
    </row>
    <row r="24" spans="1:17" ht="15.75" thickBot="1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94" t="s">
        <v>58</v>
      </c>
      <c r="N24" s="94" t="s">
        <v>115</v>
      </c>
      <c r="O24" s="94" t="s">
        <v>116</v>
      </c>
      <c r="P24" s="94" t="s">
        <v>117</v>
      </c>
      <c r="Q24" s="88"/>
    </row>
    <row r="25" spans="1:17" ht="15.75" thickBot="1">
      <c r="A25" s="88"/>
      <c r="B25" s="111"/>
      <c r="C25" s="112"/>
      <c r="D25" s="112"/>
      <c r="E25" s="112"/>
      <c r="F25" s="112"/>
      <c r="G25" s="112"/>
      <c r="H25" s="88"/>
      <c r="I25" s="88"/>
      <c r="J25" s="88"/>
      <c r="K25" s="88"/>
      <c r="L25" s="88"/>
      <c r="M25" s="26" t="s">
        <v>346</v>
      </c>
      <c r="N25" s="95">
        <v>2</v>
      </c>
      <c r="O25" s="105">
        <v>200</v>
      </c>
      <c r="P25" s="96">
        <f>N25*O25</f>
        <v>400</v>
      </c>
      <c r="Q25" s="88"/>
    </row>
    <row r="26" spans="1:17" ht="15.75" thickBot="1">
      <c r="A26" s="88"/>
      <c r="B26" s="263" t="s">
        <v>155</v>
      </c>
      <c r="C26" s="264"/>
      <c r="D26" s="264"/>
      <c r="E26" s="264"/>
      <c r="F26" s="264"/>
      <c r="G26" s="265"/>
      <c r="H26" s="88"/>
      <c r="I26" s="88"/>
      <c r="J26" s="88"/>
      <c r="K26" s="88"/>
      <c r="L26" s="88"/>
      <c r="M26" s="26" t="s">
        <v>120</v>
      </c>
      <c r="N26" s="95">
        <v>1</v>
      </c>
      <c r="O26" s="96">
        <v>300</v>
      </c>
      <c r="P26" s="96">
        <f>N26*O26</f>
        <v>300</v>
      </c>
      <c r="Q26" s="88"/>
    </row>
    <row r="27" spans="1:17" ht="15.75" thickBot="1">
      <c r="A27" s="88"/>
      <c r="B27" s="88"/>
      <c r="C27" s="107">
        <v>2009</v>
      </c>
      <c r="D27" s="107">
        <v>2010</v>
      </c>
      <c r="E27" s="107">
        <v>2011</v>
      </c>
      <c r="F27" s="107">
        <v>2012</v>
      </c>
      <c r="G27" s="107">
        <v>2013</v>
      </c>
      <c r="H27" s="88"/>
      <c r="I27" s="88"/>
      <c r="J27" s="88"/>
      <c r="K27" s="88"/>
      <c r="L27" s="88"/>
      <c r="M27" s="26" t="s">
        <v>442</v>
      </c>
      <c r="N27" s="95">
        <v>1</v>
      </c>
      <c r="O27" s="96">
        <v>900</v>
      </c>
      <c r="P27" s="96">
        <f>N27*O27</f>
        <v>900</v>
      </c>
      <c r="Q27" s="88"/>
    </row>
    <row r="28" spans="1:17" ht="15.75" thickBot="1">
      <c r="A28" s="88"/>
      <c r="B28" s="100" t="s">
        <v>88</v>
      </c>
      <c r="C28" s="229">
        <f>P5</f>
        <v>216</v>
      </c>
      <c r="D28" s="229">
        <f aca="true" t="shared" si="2" ref="D28:G31">C28*(1+$J$4)</f>
        <v>220.32</v>
      </c>
      <c r="E28" s="229">
        <f t="shared" si="2"/>
        <v>224.72639999999998</v>
      </c>
      <c r="F28" s="229">
        <f t="shared" si="2"/>
        <v>229.220928</v>
      </c>
      <c r="G28" s="229">
        <f t="shared" si="2"/>
        <v>233.80534656</v>
      </c>
      <c r="H28" s="88"/>
      <c r="I28" s="88"/>
      <c r="J28" s="88"/>
      <c r="K28" s="88"/>
      <c r="L28" s="88"/>
      <c r="M28" s="81" t="s">
        <v>118</v>
      </c>
      <c r="N28" s="75"/>
      <c r="O28" s="75"/>
      <c r="P28" s="99">
        <f>SUM(P25:P27)</f>
        <v>1600</v>
      </c>
      <c r="Q28" s="88"/>
    </row>
    <row r="29" spans="1:17" ht="15">
      <c r="A29" s="88"/>
      <c r="B29" s="100" t="s">
        <v>347</v>
      </c>
      <c r="C29" s="229">
        <f>P6</f>
        <v>180</v>
      </c>
      <c r="D29" s="229">
        <f t="shared" si="2"/>
        <v>183.6</v>
      </c>
      <c r="E29" s="229">
        <f t="shared" si="2"/>
        <v>187.272</v>
      </c>
      <c r="F29" s="229">
        <f t="shared" si="2"/>
        <v>191.01744</v>
      </c>
      <c r="G29" s="229">
        <f t="shared" si="2"/>
        <v>194.8377888</v>
      </c>
      <c r="H29" s="88"/>
      <c r="I29" s="88"/>
      <c r="J29" s="88"/>
      <c r="K29" s="88"/>
      <c r="L29" s="88"/>
      <c r="M29" s="100" t="s">
        <v>80</v>
      </c>
      <c r="N29" s="75"/>
      <c r="O29" s="75"/>
      <c r="P29" s="75"/>
      <c r="Q29" s="88"/>
    </row>
    <row r="30" spans="1:17" ht="15">
      <c r="A30" s="88"/>
      <c r="B30" s="100" t="s">
        <v>153</v>
      </c>
      <c r="C30" s="229">
        <f>P7</f>
        <v>300</v>
      </c>
      <c r="D30" s="229">
        <f t="shared" si="2"/>
        <v>306</v>
      </c>
      <c r="E30" s="229">
        <f t="shared" si="2"/>
        <v>312.12</v>
      </c>
      <c r="F30" s="229">
        <f t="shared" si="2"/>
        <v>318.36240000000004</v>
      </c>
      <c r="G30" s="229">
        <f t="shared" si="2"/>
        <v>324.72964800000005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1:17" ht="15.75" thickBot="1">
      <c r="A31" s="88"/>
      <c r="B31" s="100" t="s">
        <v>89</v>
      </c>
      <c r="C31" s="229">
        <f>P8</f>
        <v>225</v>
      </c>
      <c r="D31" s="229">
        <f t="shared" si="2"/>
        <v>229.5</v>
      </c>
      <c r="E31" s="229">
        <f t="shared" si="2"/>
        <v>234.09</v>
      </c>
      <c r="F31" s="229">
        <f t="shared" si="2"/>
        <v>238.7718</v>
      </c>
      <c r="G31" s="229">
        <f t="shared" si="2"/>
        <v>243.54723600000003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1:17" ht="18.75" thickBot="1">
      <c r="A32" s="88"/>
      <c r="B32" s="100" t="s">
        <v>113</v>
      </c>
      <c r="C32" s="229">
        <f>'Balance Maquinarias y Personas'!J7*12</f>
        <v>2640</v>
      </c>
      <c r="D32" s="229">
        <f aca="true" t="shared" si="3" ref="D32:G33">C32*(1+$J$3)</f>
        <v>2745.6</v>
      </c>
      <c r="E32" s="229">
        <f t="shared" si="3"/>
        <v>2855.424</v>
      </c>
      <c r="F32" s="229">
        <f t="shared" si="3"/>
        <v>2969.64096</v>
      </c>
      <c r="G32" s="229">
        <f t="shared" si="3"/>
        <v>3088.4265984000003</v>
      </c>
      <c r="H32" s="88"/>
      <c r="I32" s="88"/>
      <c r="J32" s="88"/>
      <c r="K32" s="88"/>
      <c r="L32" s="88"/>
      <c r="M32" s="260" t="s">
        <v>302</v>
      </c>
      <c r="N32" s="261"/>
      <c r="O32" s="261"/>
      <c r="P32" s="262"/>
      <c r="Q32" s="88"/>
    </row>
    <row r="33" spans="1:17" ht="15.75" thickBot="1">
      <c r="A33" s="88"/>
      <c r="B33" s="100" t="s">
        <v>95</v>
      </c>
      <c r="C33" s="229">
        <f>'Balance Maquinarias y Personas'!J9*12</f>
        <v>3600</v>
      </c>
      <c r="D33" s="229">
        <f t="shared" si="3"/>
        <v>3744</v>
      </c>
      <c r="E33" s="229">
        <f t="shared" si="3"/>
        <v>3893.76</v>
      </c>
      <c r="F33" s="229">
        <f t="shared" si="3"/>
        <v>4049.5104000000006</v>
      </c>
      <c r="G33" s="229">
        <f t="shared" si="3"/>
        <v>4211.490816</v>
      </c>
      <c r="H33" s="88"/>
      <c r="I33" s="109"/>
      <c r="J33" s="88"/>
      <c r="K33" s="88"/>
      <c r="L33" s="88"/>
      <c r="M33" s="94" t="s">
        <v>58</v>
      </c>
      <c r="N33" s="94" t="s">
        <v>115</v>
      </c>
      <c r="O33" s="94" t="s">
        <v>116</v>
      </c>
      <c r="P33" s="94" t="s">
        <v>117</v>
      </c>
      <c r="Q33" s="88"/>
    </row>
    <row r="34" spans="1:17" ht="15">
      <c r="A34" s="88"/>
      <c r="B34" s="100" t="s">
        <v>346</v>
      </c>
      <c r="C34" s="229">
        <f>P25</f>
        <v>400</v>
      </c>
      <c r="D34" s="229">
        <f aca="true" t="shared" si="4" ref="D34:G37">C34*(1+$J$4)</f>
        <v>408</v>
      </c>
      <c r="E34" s="229">
        <f t="shared" si="4"/>
        <v>416.16</v>
      </c>
      <c r="F34" s="229">
        <f t="shared" si="4"/>
        <v>424.4832</v>
      </c>
      <c r="G34" s="229">
        <f t="shared" si="4"/>
        <v>432.972864</v>
      </c>
      <c r="H34" s="88"/>
      <c r="I34" s="88"/>
      <c r="J34" s="88"/>
      <c r="K34" s="88"/>
      <c r="L34" s="88"/>
      <c r="M34" s="26" t="s">
        <v>301</v>
      </c>
      <c r="N34" s="95">
        <v>12</v>
      </c>
      <c r="O34" s="105">
        <v>80</v>
      </c>
      <c r="P34" s="96">
        <f>N34*O34</f>
        <v>960</v>
      </c>
      <c r="Q34" s="88"/>
    </row>
    <row r="35" spans="1:17" ht="15.75" thickBot="1">
      <c r="A35" s="88"/>
      <c r="B35" s="100" t="s">
        <v>440</v>
      </c>
      <c r="C35" s="229">
        <v>900</v>
      </c>
      <c r="D35" s="229">
        <f t="shared" si="4"/>
        <v>918</v>
      </c>
      <c r="E35" s="229">
        <f t="shared" si="4"/>
        <v>936.36</v>
      </c>
      <c r="F35" s="229">
        <f t="shared" si="4"/>
        <v>955.0872</v>
      </c>
      <c r="G35" s="229">
        <f t="shared" si="4"/>
        <v>974.1889440000001</v>
      </c>
      <c r="H35" s="88"/>
      <c r="I35" s="88"/>
      <c r="J35" s="88"/>
      <c r="K35" s="88"/>
      <c r="L35" s="88"/>
      <c r="M35" s="26" t="s">
        <v>348</v>
      </c>
      <c r="N35" s="95">
        <v>1</v>
      </c>
      <c r="O35" s="96">
        <f>('Produccion Proyectada'!C12/2.2*0.04)+('Produccion Proyectada'!C17*0.005)</f>
        <v>536.515</v>
      </c>
      <c r="P35" s="96">
        <f>N35*O35</f>
        <v>536.515</v>
      </c>
      <c r="Q35" s="88"/>
    </row>
    <row r="36" spans="1:17" ht="15.75" thickBot="1">
      <c r="A36" s="88"/>
      <c r="B36" s="100" t="s">
        <v>252</v>
      </c>
      <c r="C36" s="229">
        <v>150</v>
      </c>
      <c r="D36" s="229">
        <f t="shared" si="4"/>
        <v>153</v>
      </c>
      <c r="E36" s="229">
        <f t="shared" si="4"/>
        <v>156.06</v>
      </c>
      <c r="F36" s="229">
        <f t="shared" si="4"/>
        <v>159.18120000000002</v>
      </c>
      <c r="G36" s="229">
        <f t="shared" si="4"/>
        <v>162.36482400000003</v>
      </c>
      <c r="H36" s="88"/>
      <c r="I36" s="88"/>
      <c r="J36" s="88"/>
      <c r="K36" s="88"/>
      <c r="L36" s="88"/>
      <c r="M36" s="81" t="s">
        <v>118</v>
      </c>
      <c r="N36" s="75"/>
      <c r="O36" s="75"/>
      <c r="P36" s="99">
        <f>SUM(P34:P35)</f>
        <v>1496.5149999999999</v>
      </c>
      <c r="Q36" s="88"/>
    </row>
    <row r="37" spans="1:17" ht="15">
      <c r="A37" s="88"/>
      <c r="B37" s="100" t="s">
        <v>253</v>
      </c>
      <c r="C37" s="229">
        <v>100</v>
      </c>
      <c r="D37" s="229">
        <f t="shared" si="4"/>
        <v>102</v>
      </c>
      <c r="E37" s="229">
        <f t="shared" si="4"/>
        <v>104.04</v>
      </c>
      <c r="F37" s="229">
        <f t="shared" si="4"/>
        <v>106.1208</v>
      </c>
      <c r="G37" s="229">
        <f t="shared" si="4"/>
        <v>108.243216</v>
      </c>
      <c r="H37" s="88"/>
      <c r="I37" s="88"/>
      <c r="J37" s="88"/>
      <c r="K37" s="88"/>
      <c r="L37" s="88"/>
      <c r="M37" s="100" t="s">
        <v>448</v>
      </c>
      <c r="N37" s="75"/>
      <c r="O37" s="75"/>
      <c r="P37" s="75"/>
      <c r="Q37" s="88"/>
    </row>
    <row r="38" spans="1:17" ht="15">
      <c r="A38" s="88"/>
      <c r="B38" s="100" t="s">
        <v>165</v>
      </c>
      <c r="C38" s="229">
        <v>27</v>
      </c>
      <c r="D38" s="229">
        <f aca="true" t="shared" si="5" ref="D38:G39">C38</f>
        <v>27</v>
      </c>
      <c r="E38" s="229">
        <f t="shared" si="5"/>
        <v>27</v>
      </c>
      <c r="F38" s="229">
        <f t="shared" si="5"/>
        <v>27</v>
      </c>
      <c r="G38" s="229">
        <f t="shared" si="5"/>
        <v>27</v>
      </c>
      <c r="H38" s="88"/>
      <c r="I38" s="88"/>
      <c r="J38" s="88"/>
      <c r="K38" s="88"/>
      <c r="L38" s="88"/>
      <c r="M38" s="100" t="s">
        <v>349</v>
      </c>
      <c r="N38" s="88"/>
      <c r="O38" s="88"/>
      <c r="P38" s="88"/>
      <c r="Q38" s="88"/>
    </row>
    <row r="39" spans="1:11" ht="15">
      <c r="A39" s="88"/>
      <c r="B39" s="100" t="s">
        <v>166</v>
      </c>
      <c r="C39" s="229">
        <v>20</v>
      </c>
      <c r="D39" s="229">
        <f t="shared" si="5"/>
        <v>20</v>
      </c>
      <c r="E39" s="229">
        <f t="shared" si="5"/>
        <v>20</v>
      </c>
      <c r="F39" s="229">
        <f t="shared" si="5"/>
        <v>20</v>
      </c>
      <c r="G39" s="229">
        <f t="shared" si="5"/>
        <v>20</v>
      </c>
      <c r="H39" s="88"/>
      <c r="I39" s="88"/>
      <c r="J39" s="88"/>
      <c r="K39" s="88"/>
    </row>
    <row r="40" spans="1:11" ht="15">
      <c r="A40" s="88"/>
      <c r="B40" s="100" t="s">
        <v>120</v>
      </c>
      <c r="C40" s="229">
        <f>P26</f>
        <v>300</v>
      </c>
      <c r="D40" s="229">
        <f>C40*(1+$J$4)</f>
        <v>306</v>
      </c>
      <c r="E40" s="229">
        <f>D40*(1+$J$4)</f>
        <v>312.12</v>
      </c>
      <c r="F40" s="229">
        <f>E40*(1+$J$4)</f>
        <v>318.36240000000004</v>
      </c>
      <c r="G40" s="229">
        <f>F40*(1+$J$4)</f>
        <v>324.72964800000005</v>
      </c>
      <c r="H40" s="88"/>
      <c r="I40" s="88"/>
      <c r="J40" s="88"/>
      <c r="K40" s="88"/>
    </row>
    <row r="41" spans="1:11" ht="15">
      <c r="A41" s="88"/>
      <c r="B41" s="108" t="s">
        <v>264</v>
      </c>
      <c r="C41" s="230">
        <f>SUM(C28:C40)</f>
        <v>9058</v>
      </c>
      <c r="D41" s="230">
        <f>SUM(D28:D40)</f>
        <v>9363.02</v>
      </c>
      <c r="E41" s="230">
        <f>SUM(E28:E40)</f>
        <v>9679.132400000002</v>
      </c>
      <c r="F41" s="230">
        <f>SUM(F28:F40)</f>
        <v>10006.758728000003</v>
      </c>
      <c r="G41" s="230">
        <f>SUM(G28:G40)</f>
        <v>10346.33692976</v>
      </c>
      <c r="H41" s="88"/>
      <c r="I41" s="88"/>
      <c r="J41" s="88"/>
      <c r="K41" s="88"/>
    </row>
    <row r="42" spans="1:11" ht="15">
      <c r="A42" s="88"/>
      <c r="B42" s="100" t="s">
        <v>80</v>
      </c>
      <c r="C42" s="100"/>
      <c r="D42" s="100"/>
      <c r="E42" s="100"/>
      <c r="F42" s="100"/>
      <c r="G42" s="100"/>
      <c r="H42" s="88"/>
      <c r="I42" s="88"/>
      <c r="J42" s="88"/>
      <c r="K42" s="88"/>
    </row>
  </sheetData>
  <sheetProtection/>
  <mergeCells count="7">
    <mergeCell ref="M32:P32"/>
    <mergeCell ref="B2:G2"/>
    <mergeCell ref="B26:G26"/>
    <mergeCell ref="R3:W3"/>
    <mergeCell ref="M12:P12"/>
    <mergeCell ref="M3:P3"/>
    <mergeCell ref="M23:P23"/>
  </mergeCells>
  <printOptions/>
  <pageMargins left="0.7" right="0.7" top="0.75" bottom="0.75" header="0.3" footer="0.3"/>
  <pageSetup horizontalDpi="120" verticalDpi="120" orientation="portrait" paperSize="9" r:id="rId1"/>
  <ignoredErrors>
    <ignoredError sqref="D13 E13:G13 D15:G1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B3:F10"/>
  <sheetViews>
    <sheetView zoomScalePageLayoutView="0" workbookViewId="0" topLeftCell="A1">
      <selection activeCell="B3" sqref="B3:F10"/>
    </sheetView>
  </sheetViews>
  <sheetFormatPr defaultColWidth="11.421875" defaultRowHeight="15"/>
  <cols>
    <col min="3" max="4" width="14.00390625" style="0" customWidth="1"/>
    <col min="6" max="6" width="12.7109375" style="0" bestFit="1" customWidth="1"/>
  </cols>
  <sheetData>
    <row r="2" ht="15.75" thickBot="1"/>
    <row r="3" spans="2:6" ht="15.75" thickBot="1">
      <c r="B3" s="251" t="s">
        <v>433</v>
      </c>
      <c r="C3" s="252"/>
      <c r="D3" s="252"/>
      <c r="E3" s="252"/>
      <c r="F3" s="253"/>
    </row>
    <row r="4" spans="2:6" ht="15">
      <c r="B4" s="7" t="s">
        <v>432</v>
      </c>
      <c r="C4" s="269" t="s">
        <v>422</v>
      </c>
      <c r="D4" s="269"/>
      <c r="E4" s="7"/>
      <c r="F4" s="7"/>
    </row>
    <row r="5" spans="2:6" ht="15">
      <c r="B5" s="7"/>
      <c r="C5" s="7" t="s">
        <v>423</v>
      </c>
      <c r="D5" s="7"/>
      <c r="E5" s="7"/>
      <c r="F5" s="7"/>
    </row>
    <row r="6" spans="2:6" ht="15">
      <c r="B6" s="7"/>
      <c r="C6" s="7"/>
      <c r="D6" s="7"/>
      <c r="E6" s="7"/>
      <c r="F6" s="7"/>
    </row>
    <row r="7" spans="2:6" ht="15">
      <c r="B7" s="7"/>
      <c r="C7" s="7"/>
      <c r="D7" s="7"/>
      <c r="E7" s="7"/>
      <c r="F7" s="7"/>
    </row>
    <row r="8" spans="2:6" ht="15">
      <c r="B8" s="7" t="s">
        <v>425</v>
      </c>
      <c r="C8" s="113">
        <f>'Costos y Gastos'!C41</f>
        <v>9058</v>
      </c>
      <c r="D8" s="114"/>
      <c r="E8" s="47">
        <f>C8/(C9-D9)</f>
        <v>9161.180799780412</v>
      </c>
      <c r="F8" s="7" t="s">
        <v>424</v>
      </c>
    </row>
    <row r="9" spans="2:6" ht="15">
      <c r="B9" s="7"/>
      <c r="C9" s="115">
        <f>'Produccion Proyectada'!C16/50*2.2</f>
        <v>1.1</v>
      </c>
      <c r="D9" s="77">
        <f>('Costos y Gastos'!C17/('Produccion Proyectada'!C12/2.2))</f>
        <v>0.11126282758035791</v>
      </c>
      <c r="E9" s="7"/>
      <c r="F9" s="7"/>
    </row>
    <row r="10" spans="2:6" ht="15">
      <c r="B10" s="29" t="s">
        <v>80</v>
      </c>
      <c r="C10" s="7"/>
      <c r="D10" s="7"/>
      <c r="E10" s="7"/>
      <c r="F10" s="7"/>
    </row>
  </sheetData>
  <sheetProtection/>
  <mergeCells count="2">
    <mergeCell ref="C4:D4"/>
    <mergeCell ref="B3:F3"/>
  </mergeCells>
  <printOptions/>
  <pageMargins left="0.7" right="0.7" top="0.75" bottom="0.75" header="0.3" footer="0.3"/>
  <pageSetup horizontalDpi="120" verticalDpi="12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H15" sqref="H15"/>
    </sheetView>
  </sheetViews>
  <sheetFormatPr defaultColWidth="11.421875" defaultRowHeight="15"/>
  <cols>
    <col min="1" max="1" width="11.421875" style="19" customWidth="1"/>
    <col min="2" max="2" width="39.28125" style="19" bestFit="1" customWidth="1"/>
    <col min="3" max="3" width="13.28125" style="19" bestFit="1" customWidth="1"/>
    <col min="4" max="4" width="16.140625" style="19" customWidth="1"/>
    <col min="5" max="16384" width="11.421875" style="19" customWidth="1"/>
  </cols>
  <sheetData>
    <row r="1" spans="1:5" ht="13.5" thickBot="1">
      <c r="A1" s="26"/>
      <c r="B1" s="26"/>
      <c r="C1" s="26"/>
      <c r="D1" s="26"/>
      <c r="E1" s="26"/>
    </row>
    <row r="2" spans="1:5" ht="13.5" thickBot="1">
      <c r="A2" s="26"/>
      <c r="B2" s="270" t="s">
        <v>244</v>
      </c>
      <c r="C2" s="271"/>
      <c r="D2" s="272"/>
      <c r="E2" s="26"/>
    </row>
    <row r="3" spans="1:5" ht="13.5" thickBot="1">
      <c r="A3" s="26"/>
      <c r="B3" s="128" t="s">
        <v>34</v>
      </c>
      <c r="C3" s="128" t="s">
        <v>245</v>
      </c>
      <c r="D3" s="128" t="s">
        <v>118</v>
      </c>
      <c r="E3" s="26"/>
    </row>
    <row r="4" spans="1:5" ht="12.75">
      <c r="A4" s="26"/>
      <c r="B4" s="26" t="s">
        <v>246</v>
      </c>
      <c r="C4" s="129"/>
      <c r="D4" s="129">
        <f>SUM(C5:C9)</f>
        <v>1350</v>
      </c>
      <c r="E4" s="26"/>
    </row>
    <row r="5" spans="1:5" ht="12.75">
      <c r="A5" s="26"/>
      <c r="B5" s="26" t="s">
        <v>247</v>
      </c>
      <c r="C5" s="129">
        <v>300</v>
      </c>
      <c r="D5" s="129"/>
      <c r="E5" s="26"/>
    </row>
    <row r="6" spans="1:5" ht="12.75">
      <c r="A6" s="26"/>
      <c r="B6" s="26" t="s">
        <v>248</v>
      </c>
      <c r="C6" s="129">
        <v>200</v>
      </c>
      <c r="D6" s="129"/>
      <c r="E6" s="26"/>
    </row>
    <row r="7" spans="1:5" ht="12.75">
      <c r="A7" s="26"/>
      <c r="B7" s="26" t="s">
        <v>350</v>
      </c>
      <c r="C7" s="129">
        <v>100</v>
      </c>
      <c r="D7" s="129"/>
      <c r="E7" s="26"/>
    </row>
    <row r="8" spans="1:5" ht="12.75">
      <c r="A8" s="26"/>
      <c r="B8" s="26" t="s">
        <v>249</v>
      </c>
      <c r="C8" s="129">
        <v>600</v>
      </c>
      <c r="D8" s="129"/>
      <c r="E8" s="26"/>
    </row>
    <row r="9" spans="1:5" ht="12.75">
      <c r="A9" s="26"/>
      <c r="B9" s="26" t="s">
        <v>250</v>
      </c>
      <c r="C9" s="129">
        <v>150</v>
      </c>
      <c r="D9" s="129"/>
      <c r="E9" s="26"/>
    </row>
    <row r="10" spans="1:5" ht="12.75">
      <c r="A10" s="26"/>
      <c r="B10" s="26" t="s">
        <v>251</v>
      </c>
      <c r="C10" s="129"/>
      <c r="D10" s="129">
        <v>150</v>
      </c>
      <c r="E10" s="26"/>
    </row>
    <row r="11" spans="1:5" ht="12.75">
      <c r="A11" s="26"/>
      <c r="B11" s="26" t="s">
        <v>256</v>
      </c>
      <c r="C11" s="26"/>
      <c r="D11" s="129">
        <f>'Balance Maquinarias y Personas'!C19</f>
        <v>4550</v>
      </c>
      <c r="E11" s="26"/>
    </row>
    <row r="12" spans="1:5" ht="12.75">
      <c r="A12" s="26"/>
      <c r="B12" s="26" t="s">
        <v>257</v>
      </c>
      <c r="C12" s="26"/>
      <c r="D12" s="129">
        <f>'Balance Maquinarias y Personas'!C15</f>
        <v>310</v>
      </c>
      <c r="E12" s="26"/>
    </row>
    <row r="13" spans="1:5" ht="12.75">
      <c r="A13" s="26"/>
      <c r="B13" s="26" t="s">
        <v>258</v>
      </c>
      <c r="C13" s="26"/>
      <c r="D13" s="129">
        <f>'Balance Maquinarias y Personas'!C10</f>
        <v>630</v>
      </c>
      <c r="E13" s="26"/>
    </row>
    <row r="14" spans="1:5" ht="13.5" thickBot="1">
      <c r="A14" s="26"/>
      <c r="B14" s="26" t="s">
        <v>259</v>
      </c>
      <c r="C14" s="26"/>
      <c r="D14" s="129">
        <f>'Balance Maquinarias y Personas'!C5</f>
        <v>4750</v>
      </c>
      <c r="E14" s="26"/>
    </row>
    <row r="15" spans="1:5" ht="13.5" thickBot="1">
      <c r="A15" s="26"/>
      <c r="B15" s="130" t="s">
        <v>260</v>
      </c>
      <c r="C15" s="26"/>
      <c r="D15" s="131">
        <f>SUM(D4:D14)</f>
        <v>11740</v>
      </c>
      <c r="E15" s="26"/>
    </row>
    <row r="16" spans="1:5" ht="12.75">
      <c r="A16" s="26"/>
      <c r="B16" s="132" t="s">
        <v>80</v>
      </c>
      <c r="C16" s="26"/>
      <c r="D16" s="26"/>
      <c r="E16" s="26"/>
    </row>
    <row r="17" spans="1:5" ht="13.5" thickBot="1">
      <c r="A17" s="26"/>
      <c r="B17" s="26"/>
      <c r="C17" s="26"/>
      <c r="D17" s="26"/>
      <c r="E17" s="26"/>
    </row>
    <row r="18" spans="1:5" ht="13.5" thickBot="1">
      <c r="A18" s="26"/>
      <c r="B18" s="26" t="s">
        <v>437</v>
      </c>
      <c r="C18" s="26"/>
      <c r="D18" s="133">
        <f>-'Capital de trabajo'!J30</f>
        <v>7855.9</v>
      </c>
      <c r="E18" s="26"/>
    </row>
    <row r="19" spans="1:5" ht="13.5" thickBot="1">
      <c r="A19" s="26"/>
      <c r="B19" s="26" t="s">
        <v>438</v>
      </c>
      <c r="C19" s="26"/>
      <c r="D19" s="133">
        <f>D15+D18</f>
        <v>19595.9</v>
      </c>
      <c r="E19" s="26"/>
    </row>
    <row r="20" spans="1:5" ht="12.75">
      <c r="A20" s="26"/>
      <c r="B20" s="26" t="s">
        <v>444</v>
      </c>
      <c r="C20" s="26"/>
      <c r="D20" s="129">
        <f>D19*0.5</f>
        <v>9797.95</v>
      </c>
      <c r="E20" s="26"/>
    </row>
    <row r="21" spans="1:5" ht="12.75">
      <c r="A21" s="26"/>
      <c r="B21" s="26" t="s">
        <v>443</v>
      </c>
      <c r="C21" s="26"/>
      <c r="D21" s="129">
        <f>D19*0.5</f>
        <v>9797.95</v>
      </c>
      <c r="E21" s="26"/>
    </row>
    <row r="22" spans="1:5" ht="12.75">
      <c r="A22" s="26"/>
      <c r="B22" s="26"/>
      <c r="C22" s="26"/>
      <c r="D22" s="26"/>
      <c r="E22" s="26"/>
    </row>
    <row r="23" ht="12.75">
      <c r="D23" s="32"/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3"/>
  <sheetViews>
    <sheetView zoomScale="49" zoomScaleNormal="49" workbookViewId="0" topLeftCell="A1">
      <selection activeCell="A1" sqref="A1"/>
    </sheetView>
  </sheetViews>
  <sheetFormatPr defaultColWidth="11.421875" defaultRowHeight="15"/>
  <cols>
    <col min="1" max="1" width="6.140625" style="0" customWidth="1"/>
    <col min="2" max="2" width="45.28125" style="0" bestFit="1" customWidth="1"/>
    <col min="3" max="3" width="14.421875" style="0" bestFit="1" customWidth="1"/>
    <col min="4" max="4" width="15.8515625" style="0" bestFit="1" customWidth="1"/>
    <col min="5" max="5" width="14.421875" style="0" bestFit="1" customWidth="1"/>
    <col min="6" max="6" width="15.57421875" style="0" bestFit="1" customWidth="1"/>
    <col min="7" max="7" width="14.421875" style="0" bestFit="1" customWidth="1"/>
    <col min="8" max="8" width="15.57421875" style="0" bestFit="1" customWidth="1"/>
    <col min="9" max="9" width="14.421875" style="0" bestFit="1" customWidth="1"/>
    <col min="10" max="10" width="17.28125" style="0" bestFit="1" customWidth="1"/>
    <col min="11" max="11" width="20.8515625" style="0" bestFit="1" customWidth="1"/>
    <col min="12" max="12" width="16.140625" style="0" bestFit="1" customWidth="1"/>
    <col min="13" max="13" width="20.00390625" style="0" bestFit="1" customWidth="1"/>
    <col min="14" max="14" width="18.57421875" style="0" bestFit="1" customWidth="1"/>
    <col min="15" max="15" width="17.57421875" style="0" bestFit="1" customWidth="1"/>
  </cols>
  <sheetData>
    <row r="1" spans="1:16" ht="16.5" thickBot="1">
      <c r="A1" s="88"/>
      <c r="B1" s="273" t="s">
        <v>232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5"/>
      <c r="O1" s="156"/>
      <c r="P1" s="88"/>
    </row>
    <row r="2" spans="1:16" ht="15.75">
      <c r="A2" s="88"/>
      <c r="B2" s="157"/>
      <c r="C2" s="158" t="s">
        <v>12</v>
      </c>
      <c r="D2" s="158" t="s">
        <v>13</v>
      </c>
      <c r="E2" s="158" t="s">
        <v>14</v>
      </c>
      <c r="F2" s="158" t="s">
        <v>15</v>
      </c>
      <c r="G2" s="158" t="s">
        <v>16</v>
      </c>
      <c r="H2" s="158" t="s">
        <v>17</v>
      </c>
      <c r="I2" s="158" t="s">
        <v>18</v>
      </c>
      <c r="J2" s="158" t="s">
        <v>19</v>
      </c>
      <c r="K2" s="158" t="s">
        <v>20</v>
      </c>
      <c r="L2" s="158" t="s">
        <v>21</v>
      </c>
      <c r="M2" s="158" t="s">
        <v>22</v>
      </c>
      <c r="N2" s="158" t="s">
        <v>23</v>
      </c>
      <c r="O2" s="156"/>
      <c r="P2" s="88"/>
    </row>
    <row r="3" spans="1:16" ht="15.75">
      <c r="A3" s="88"/>
      <c r="B3" s="158" t="s">
        <v>158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6"/>
      <c r="P3" s="88"/>
    </row>
    <row r="4" spans="1:16" ht="15.75">
      <c r="A4" s="88"/>
      <c r="B4" s="157" t="s">
        <v>223</v>
      </c>
      <c r="C4" s="157">
        <v>0</v>
      </c>
      <c r="D4" s="157">
        <v>0</v>
      </c>
      <c r="E4" s="157">
        <v>0</v>
      </c>
      <c r="F4" s="157">
        <v>0</v>
      </c>
      <c r="G4" s="157">
        <v>0</v>
      </c>
      <c r="H4" s="157">
        <v>0</v>
      </c>
      <c r="I4" s="157">
        <v>0</v>
      </c>
      <c r="J4" s="157">
        <v>0</v>
      </c>
      <c r="K4" s="159">
        <v>13</v>
      </c>
      <c r="L4" s="157">
        <v>0</v>
      </c>
      <c r="M4" s="157">
        <v>0</v>
      </c>
      <c r="N4" s="157">
        <v>0</v>
      </c>
      <c r="O4" s="156"/>
      <c r="P4" s="88"/>
    </row>
    <row r="5" spans="1:16" ht="15.75">
      <c r="A5" s="88"/>
      <c r="B5" s="157" t="s">
        <v>225</v>
      </c>
      <c r="C5" s="157">
        <v>0</v>
      </c>
      <c r="D5" s="157">
        <v>0</v>
      </c>
      <c r="E5" s="157">
        <v>0</v>
      </c>
      <c r="F5" s="157">
        <v>0</v>
      </c>
      <c r="G5" s="157">
        <v>0</v>
      </c>
      <c r="H5" s="157">
        <v>0</v>
      </c>
      <c r="I5" s="157">
        <v>0</v>
      </c>
      <c r="J5" s="157">
        <v>0</v>
      </c>
      <c r="K5" s="159">
        <v>519</v>
      </c>
      <c r="L5" s="157">
        <v>0</v>
      </c>
      <c r="M5" s="157">
        <v>0</v>
      </c>
      <c r="N5" s="157">
        <v>0</v>
      </c>
      <c r="O5" s="156"/>
      <c r="P5" s="88"/>
    </row>
    <row r="6" spans="1:16" ht="16.5" thickBot="1">
      <c r="A6" s="88"/>
      <c r="B6" s="157" t="s">
        <v>224</v>
      </c>
      <c r="C6" s="160">
        <v>25</v>
      </c>
      <c r="D6" s="160">
        <v>25</v>
      </c>
      <c r="E6" s="160">
        <v>25</v>
      </c>
      <c r="F6" s="160">
        <v>25</v>
      </c>
      <c r="G6" s="160">
        <v>25</v>
      </c>
      <c r="H6" s="160">
        <v>25</v>
      </c>
      <c r="I6" s="160">
        <v>25</v>
      </c>
      <c r="J6" s="160">
        <v>25</v>
      </c>
      <c r="K6" s="160">
        <v>25</v>
      </c>
      <c r="L6" s="160">
        <v>25</v>
      </c>
      <c r="M6" s="160">
        <v>25</v>
      </c>
      <c r="N6" s="160">
        <v>25</v>
      </c>
      <c r="O6" s="161"/>
      <c r="P6" s="88"/>
    </row>
    <row r="7" spans="1:16" ht="16.5" thickBot="1">
      <c r="A7" s="88"/>
      <c r="B7" s="158" t="s">
        <v>435</v>
      </c>
      <c r="C7" s="160">
        <f aca="true" t="shared" si="0" ref="C7:J7">C5*C6</f>
        <v>0</v>
      </c>
      <c r="D7" s="160">
        <f t="shared" si="0"/>
        <v>0</v>
      </c>
      <c r="E7" s="160">
        <f t="shared" si="0"/>
        <v>0</v>
      </c>
      <c r="F7" s="160">
        <f t="shared" si="0"/>
        <v>0</v>
      </c>
      <c r="G7" s="160">
        <f t="shared" si="0"/>
        <v>0</v>
      </c>
      <c r="H7" s="160">
        <f t="shared" si="0"/>
        <v>0</v>
      </c>
      <c r="I7" s="160">
        <f t="shared" si="0"/>
        <v>0</v>
      </c>
      <c r="J7" s="160">
        <f t="shared" si="0"/>
        <v>0</v>
      </c>
      <c r="K7" s="160">
        <f>K5*K6</f>
        <v>12975</v>
      </c>
      <c r="L7" s="160">
        <f>L5*L6</f>
        <v>0</v>
      </c>
      <c r="M7" s="160">
        <f>M5*M6</f>
        <v>0</v>
      </c>
      <c r="N7" s="160">
        <f>N5*N6</f>
        <v>0</v>
      </c>
      <c r="O7" s="162">
        <f>SUM(C7:N7)</f>
        <v>12975</v>
      </c>
      <c r="P7" s="88"/>
    </row>
    <row r="8" spans="1:16" ht="15.75">
      <c r="A8" s="88"/>
      <c r="B8" s="158" t="s">
        <v>159</v>
      </c>
      <c r="C8" s="157"/>
      <c r="D8" s="157"/>
      <c r="E8" s="157"/>
      <c r="F8" s="157"/>
      <c r="G8" s="157"/>
      <c r="H8" s="156"/>
      <c r="I8" s="156"/>
      <c r="J8" s="156"/>
      <c r="K8" s="156"/>
      <c r="L8" s="156"/>
      <c r="M8" s="156"/>
      <c r="N8" s="156"/>
      <c r="O8" s="156"/>
      <c r="P8" s="88"/>
    </row>
    <row r="9" spans="1:16" ht="15.75">
      <c r="A9" s="88"/>
      <c r="B9" s="157" t="s">
        <v>276</v>
      </c>
      <c r="C9" s="163">
        <f>'Balance Maquinarias y Personas'!K10</f>
        <v>520</v>
      </c>
      <c r="D9" s="163">
        <f>C9</f>
        <v>520</v>
      </c>
      <c r="E9" s="163">
        <f>D9</f>
        <v>520</v>
      </c>
      <c r="F9" s="163">
        <f>E9</f>
        <v>520</v>
      </c>
      <c r="G9" s="163">
        <f>F9</f>
        <v>520</v>
      </c>
      <c r="H9" s="163">
        <f>G9</f>
        <v>520</v>
      </c>
      <c r="I9" s="163">
        <f aca="true" t="shared" si="1" ref="I9:N9">H9</f>
        <v>520</v>
      </c>
      <c r="J9" s="163">
        <f t="shared" si="1"/>
        <v>520</v>
      </c>
      <c r="K9" s="163">
        <f t="shared" si="1"/>
        <v>520</v>
      </c>
      <c r="L9" s="163">
        <f t="shared" si="1"/>
        <v>520</v>
      </c>
      <c r="M9" s="163">
        <f t="shared" si="1"/>
        <v>520</v>
      </c>
      <c r="N9" s="163">
        <f t="shared" si="1"/>
        <v>520</v>
      </c>
      <c r="O9" s="161"/>
      <c r="P9" s="88"/>
    </row>
    <row r="10" spans="1:16" ht="15.75">
      <c r="A10" s="88"/>
      <c r="B10" s="157" t="s">
        <v>160</v>
      </c>
      <c r="C10" s="163">
        <v>0</v>
      </c>
      <c r="D10" s="163">
        <f>'Costos y Gastos'!C4</f>
        <v>688</v>
      </c>
      <c r="E10" s="163">
        <v>0</v>
      </c>
      <c r="F10" s="163">
        <v>0</v>
      </c>
      <c r="G10" s="163">
        <v>0</v>
      </c>
      <c r="H10" s="163">
        <v>0</v>
      </c>
      <c r="I10" s="163">
        <v>0</v>
      </c>
      <c r="J10" s="163">
        <v>0</v>
      </c>
      <c r="K10" s="163">
        <v>0</v>
      </c>
      <c r="L10" s="163">
        <v>0</v>
      </c>
      <c r="M10" s="163">
        <v>0</v>
      </c>
      <c r="N10" s="163">
        <v>0</v>
      </c>
      <c r="O10" s="161"/>
      <c r="P10" s="88"/>
    </row>
    <row r="11" spans="1:16" ht="15.75">
      <c r="A11" s="88"/>
      <c r="B11" s="157" t="s">
        <v>230</v>
      </c>
      <c r="C11" s="163">
        <v>150</v>
      </c>
      <c r="D11" s="163">
        <v>0</v>
      </c>
      <c r="E11" s="163">
        <v>0</v>
      </c>
      <c r="F11" s="163">
        <v>0</v>
      </c>
      <c r="G11" s="163">
        <v>0</v>
      </c>
      <c r="H11" s="163">
        <v>0</v>
      </c>
      <c r="I11" s="163">
        <v>0</v>
      </c>
      <c r="J11" s="163">
        <v>0</v>
      </c>
      <c r="K11" s="163">
        <v>0</v>
      </c>
      <c r="L11" s="163">
        <v>150</v>
      </c>
      <c r="M11" s="163">
        <v>0</v>
      </c>
      <c r="N11" s="163">
        <v>0</v>
      </c>
      <c r="O11" s="161"/>
      <c r="P11" s="88"/>
    </row>
    <row r="12" spans="1:16" ht="15.75">
      <c r="A12" s="88"/>
      <c r="B12" s="157" t="s">
        <v>231</v>
      </c>
      <c r="C12" s="163">
        <f>'Costos y Gastos'!O25</f>
        <v>200</v>
      </c>
      <c r="D12" s="163">
        <v>0</v>
      </c>
      <c r="E12" s="163">
        <v>0</v>
      </c>
      <c r="F12" s="163">
        <v>0</v>
      </c>
      <c r="G12" s="163">
        <v>0</v>
      </c>
      <c r="H12" s="163">
        <v>0</v>
      </c>
      <c r="I12" s="163">
        <v>0</v>
      </c>
      <c r="J12" s="163">
        <v>0</v>
      </c>
      <c r="K12" s="163">
        <f>C12</f>
        <v>200</v>
      </c>
      <c r="L12" s="163">
        <v>0</v>
      </c>
      <c r="M12" s="163">
        <v>0</v>
      </c>
      <c r="N12" s="163">
        <v>0</v>
      </c>
      <c r="O12" s="161"/>
      <c r="P12" s="88"/>
    </row>
    <row r="13" spans="1:16" ht="15.75">
      <c r="A13" s="88"/>
      <c r="B13" s="157" t="s">
        <v>441</v>
      </c>
      <c r="C13" s="163">
        <v>75</v>
      </c>
      <c r="D13" s="163">
        <f aca="true" t="shared" si="2" ref="D13:N13">C13</f>
        <v>75</v>
      </c>
      <c r="E13" s="163">
        <f t="shared" si="2"/>
        <v>75</v>
      </c>
      <c r="F13" s="163">
        <f t="shared" si="2"/>
        <v>75</v>
      </c>
      <c r="G13" s="163">
        <f t="shared" si="2"/>
        <v>75</v>
      </c>
      <c r="H13" s="163">
        <f t="shared" si="2"/>
        <v>75</v>
      </c>
      <c r="I13" s="163">
        <f t="shared" si="2"/>
        <v>75</v>
      </c>
      <c r="J13" s="163">
        <f t="shared" si="2"/>
        <v>75</v>
      </c>
      <c r="K13" s="163">
        <f t="shared" si="2"/>
        <v>75</v>
      </c>
      <c r="L13" s="163">
        <f t="shared" si="2"/>
        <v>75</v>
      </c>
      <c r="M13" s="163">
        <f t="shared" si="2"/>
        <v>75</v>
      </c>
      <c r="N13" s="163">
        <f t="shared" si="2"/>
        <v>75</v>
      </c>
      <c r="O13" s="161"/>
      <c r="P13" s="88"/>
    </row>
    <row r="14" spans="1:16" ht="15.75">
      <c r="A14" s="88"/>
      <c r="B14" s="157" t="s">
        <v>254</v>
      </c>
      <c r="C14" s="163">
        <v>100</v>
      </c>
      <c r="D14" s="163">
        <v>0</v>
      </c>
      <c r="E14" s="163">
        <v>0</v>
      </c>
      <c r="F14" s="163">
        <v>0</v>
      </c>
      <c r="G14" s="163">
        <v>0</v>
      </c>
      <c r="H14" s="163">
        <v>0</v>
      </c>
      <c r="I14" s="163">
        <v>0</v>
      </c>
      <c r="J14" s="163">
        <v>0</v>
      </c>
      <c r="K14" s="163">
        <v>50</v>
      </c>
      <c r="L14" s="163">
        <v>0</v>
      </c>
      <c r="M14" s="163">
        <v>0</v>
      </c>
      <c r="N14" s="163">
        <v>0</v>
      </c>
      <c r="O14" s="161"/>
      <c r="P14" s="88"/>
    </row>
    <row r="15" spans="1:16" ht="15.75">
      <c r="A15" s="88"/>
      <c r="B15" s="157" t="s">
        <v>255</v>
      </c>
      <c r="C15" s="163">
        <v>10</v>
      </c>
      <c r="D15" s="163">
        <v>10</v>
      </c>
      <c r="E15" s="163">
        <v>10</v>
      </c>
      <c r="F15" s="163">
        <v>10</v>
      </c>
      <c r="G15" s="163">
        <v>10</v>
      </c>
      <c r="H15" s="163">
        <v>10</v>
      </c>
      <c r="I15" s="163">
        <v>10</v>
      </c>
      <c r="J15" s="163">
        <v>10</v>
      </c>
      <c r="K15" s="163">
        <v>10</v>
      </c>
      <c r="L15" s="163">
        <v>10</v>
      </c>
      <c r="M15" s="163">
        <v>10</v>
      </c>
      <c r="N15" s="163">
        <v>10</v>
      </c>
      <c r="O15" s="161"/>
      <c r="P15" s="88"/>
    </row>
    <row r="16" spans="1:16" ht="15.75">
      <c r="A16" s="88"/>
      <c r="B16" s="164" t="s">
        <v>233</v>
      </c>
      <c r="C16" s="163">
        <v>0</v>
      </c>
      <c r="D16" s="163">
        <v>0</v>
      </c>
      <c r="E16" s="163">
        <v>0</v>
      </c>
      <c r="F16" s="163">
        <v>0</v>
      </c>
      <c r="G16" s="163">
        <v>0</v>
      </c>
      <c r="H16" s="163">
        <v>0</v>
      </c>
      <c r="I16" s="163">
        <v>0</v>
      </c>
      <c r="J16" s="163">
        <v>0</v>
      </c>
      <c r="K16" s="163">
        <v>20</v>
      </c>
      <c r="L16" s="163">
        <v>0</v>
      </c>
      <c r="M16" s="163">
        <v>0</v>
      </c>
      <c r="N16" s="163">
        <v>0</v>
      </c>
      <c r="O16" s="161"/>
      <c r="P16" s="88"/>
    </row>
    <row r="17" spans="1:16" ht="15.75">
      <c r="A17" s="88"/>
      <c r="B17" s="164" t="s">
        <v>303</v>
      </c>
      <c r="C17" s="163">
        <v>80</v>
      </c>
      <c r="D17" s="163">
        <f>C17</f>
        <v>80</v>
      </c>
      <c r="E17" s="163">
        <f aca="true" t="shared" si="3" ref="E17:N17">D17</f>
        <v>80</v>
      </c>
      <c r="F17" s="163">
        <f t="shared" si="3"/>
        <v>80</v>
      </c>
      <c r="G17" s="163">
        <f t="shared" si="3"/>
        <v>80</v>
      </c>
      <c r="H17" s="163">
        <f t="shared" si="3"/>
        <v>80</v>
      </c>
      <c r="I17" s="163">
        <f t="shared" si="3"/>
        <v>80</v>
      </c>
      <c r="J17" s="163">
        <f t="shared" si="3"/>
        <v>80</v>
      </c>
      <c r="K17" s="163">
        <f t="shared" si="3"/>
        <v>80</v>
      </c>
      <c r="L17" s="163">
        <f t="shared" si="3"/>
        <v>80</v>
      </c>
      <c r="M17" s="163">
        <f t="shared" si="3"/>
        <v>80</v>
      </c>
      <c r="N17" s="163">
        <f t="shared" si="3"/>
        <v>80</v>
      </c>
      <c r="O17" s="161"/>
      <c r="P17" s="88"/>
    </row>
    <row r="18" spans="1:16" ht="15.75">
      <c r="A18" s="88"/>
      <c r="B18" s="164" t="s">
        <v>304</v>
      </c>
      <c r="C18" s="163">
        <v>0</v>
      </c>
      <c r="D18" s="163">
        <v>0</v>
      </c>
      <c r="E18" s="163">
        <v>0</v>
      </c>
      <c r="F18" s="163">
        <v>0</v>
      </c>
      <c r="G18" s="163">
        <v>0</v>
      </c>
      <c r="H18" s="163">
        <v>0</v>
      </c>
      <c r="I18" s="163">
        <v>0</v>
      </c>
      <c r="J18" s="163">
        <v>0</v>
      </c>
      <c r="K18" s="163">
        <v>0</v>
      </c>
      <c r="L18" s="163">
        <f>'Costos y Gastos'!O35</f>
        <v>536.515</v>
      </c>
      <c r="M18" s="163">
        <v>0</v>
      </c>
      <c r="N18" s="163">
        <v>0</v>
      </c>
      <c r="O18" s="161"/>
      <c r="P18" s="88"/>
    </row>
    <row r="19" spans="1:16" ht="15.75">
      <c r="A19" s="88"/>
      <c r="B19" s="164" t="s">
        <v>234</v>
      </c>
      <c r="C19" s="163">
        <v>0</v>
      </c>
      <c r="D19" s="163">
        <v>0</v>
      </c>
      <c r="E19" s="163">
        <v>0</v>
      </c>
      <c r="F19" s="163">
        <v>0</v>
      </c>
      <c r="G19" s="163">
        <v>0</v>
      </c>
      <c r="H19" s="163">
        <v>0</v>
      </c>
      <c r="I19" s="163">
        <v>0</v>
      </c>
      <c r="J19" s="163">
        <v>0</v>
      </c>
      <c r="K19" s="163">
        <v>27</v>
      </c>
      <c r="L19" s="163">
        <v>0</v>
      </c>
      <c r="M19" s="163">
        <v>0</v>
      </c>
      <c r="N19" s="163">
        <v>0</v>
      </c>
      <c r="O19" s="161"/>
      <c r="P19" s="88"/>
    </row>
    <row r="20" spans="1:16" ht="15.75">
      <c r="A20" s="88"/>
      <c r="B20" s="157" t="s">
        <v>226</v>
      </c>
      <c r="C20" s="163">
        <f>'Costos y Gastos'!C11</f>
        <v>623.9</v>
      </c>
      <c r="D20" s="163">
        <v>0</v>
      </c>
      <c r="E20" s="163">
        <v>0</v>
      </c>
      <c r="F20" s="163">
        <v>0</v>
      </c>
      <c r="G20" s="163">
        <v>0</v>
      </c>
      <c r="H20" s="163">
        <v>0</v>
      </c>
      <c r="I20" s="163">
        <v>0</v>
      </c>
      <c r="J20" s="163">
        <v>0</v>
      </c>
      <c r="K20" s="163">
        <v>0</v>
      </c>
      <c r="L20" s="163">
        <v>0</v>
      </c>
      <c r="M20" s="163">
        <v>0</v>
      </c>
      <c r="N20" s="163">
        <v>0</v>
      </c>
      <c r="O20" s="161"/>
      <c r="P20" s="88"/>
    </row>
    <row r="21" spans="1:16" ht="15.75">
      <c r="A21" s="88"/>
      <c r="B21" s="157" t="s">
        <v>161</v>
      </c>
      <c r="C21" s="163">
        <v>18</v>
      </c>
      <c r="D21" s="163">
        <f>C21</f>
        <v>18</v>
      </c>
      <c r="E21" s="163">
        <f aca="true" t="shared" si="4" ref="E21:N21">D21</f>
        <v>18</v>
      </c>
      <c r="F21" s="163">
        <f t="shared" si="4"/>
        <v>18</v>
      </c>
      <c r="G21" s="163">
        <f t="shared" si="4"/>
        <v>18</v>
      </c>
      <c r="H21" s="163">
        <f t="shared" si="4"/>
        <v>18</v>
      </c>
      <c r="I21" s="163">
        <f t="shared" si="4"/>
        <v>18</v>
      </c>
      <c r="J21" s="163">
        <f t="shared" si="4"/>
        <v>18</v>
      </c>
      <c r="K21" s="163">
        <f t="shared" si="4"/>
        <v>18</v>
      </c>
      <c r="L21" s="163">
        <f t="shared" si="4"/>
        <v>18</v>
      </c>
      <c r="M21" s="163">
        <f t="shared" si="4"/>
        <v>18</v>
      </c>
      <c r="N21" s="163">
        <f t="shared" si="4"/>
        <v>18</v>
      </c>
      <c r="O21" s="161"/>
      <c r="P21" s="88"/>
    </row>
    <row r="22" spans="1:16" ht="15.75">
      <c r="A22" s="88"/>
      <c r="B22" s="157" t="s">
        <v>227</v>
      </c>
      <c r="C22" s="163">
        <v>15</v>
      </c>
      <c r="D22" s="163">
        <f>C22</f>
        <v>15</v>
      </c>
      <c r="E22" s="163">
        <f aca="true" t="shared" si="5" ref="E22:N22">D22</f>
        <v>15</v>
      </c>
      <c r="F22" s="163">
        <f t="shared" si="5"/>
        <v>15</v>
      </c>
      <c r="G22" s="163">
        <f t="shared" si="5"/>
        <v>15</v>
      </c>
      <c r="H22" s="163">
        <f t="shared" si="5"/>
        <v>15</v>
      </c>
      <c r="I22" s="163">
        <f t="shared" si="5"/>
        <v>15</v>
      </c>
      <c r="J22" s="163">
        <f t="shared" si="5"/>
        <v>15</v>
      </c>
      <c r="K22" s="163">
        <f t="shared" si="5"/>
        <v>15</v>
      </c>
      <c r="L22" s="163">
        <f t="shared" si="5"/>
        <v>15</v>
      </c>
      <c r="M22" s="163">
        <f t="shared" si="5"/>
        <v>15</v>
      </c>
      <c r="N22" s="163">
        <f t="shared" si="5"/>
        <v>15</v>
      </c>
      <c r="O22" s="161"/>
      <c r="P22" s="88"/>
    </row>
    <row r="23" spans="1:16" ht="15.75">
      <c r="A23" s="88"/>
      <c r="B23" s="157" t="s">
        <v>228</v>
      </c>
      <c r="C23" s="163">
        <v>25</v>
      </c>
      <c r="D23" s="163">
        <f>C23</f>
        <v>25</v>
      </c>
      <c r="E23" s="163">
        <f aca="true" t="shared" si="6" ref="E23:N23">D23</f>
        <v>25</v>
      </c>
      <c r="F23" s="163">
        <f t="shared" si="6"/>
        <v>25</v>
      </c>
      <c r="G23" s="163">
        <f t="shared" si="6"/>
        <v>25</v>
      </c>
      <c r="H23" s="163">
        <f t="shared" si="6"/>
        <v>25</v>
      </c>
      <c r="I23" s="163">
        <f t="shared" si="6"/>
        <v>25</v>
      </c>
      <c r="J23" s="163">
        <f t="shared" si="6"/>
        <v>25</v>
      </c>
      <c r="K23" s="163">
        <f t="shared" si="6"/>
        <v>25</v>
      </c>
      <c r="L23" s="163">
        <f t="shared" si="6"/>
        <v>25</v>
      </c>
      <c r="M23" s="163">
        <f t="shared" si="6"/>
        <v>25</v>
      </c>
      <c r="N23" s="163">
        <f t="shared" si="6"/>
        <v>25</v>
      </c>
      <c r="O23" s="161"/>
      <c r="P23" s="88"/>
    </row>
    <row r="24" spans="1:16" ht="16.5" thickBot="1">
      <c r="A24" s="88"/>
      <c r="B24" s="157" t="s">
        <v>229</v>
      </c>
      <c r="C24" s="163">
        <v>18.75</v>
      </c>
      <c r="D24" s="163">
        <f>C24</f>
        <v>18.75</v>
      </c>
      <c r="E24" s="163">
        <f aca="true" t="shared" si="7" ref="E24:N24">D24</f>
        <v>18.75</v>
      </c>
      <c r="F24" s="163">
        <f t="shared" si="7"/>
        <v>18.75</v>
      </c>
      <c r="G24" s="163">
        <f t="shared" si="7"/>
        <v>18.75</v>
      </c>
      <c r="H24" s="163">
        <f t="shared" si="7"/>
        <v>18.75</v>
      </c>
      <c r="I24" s="163">
        <f t="shared" si="7"/>
        <v>18.75</v>
      </c>
      <c r="J24" s="163">
        <f t="shared" si="7"/>
        <v>18.75</v>
      </c>
      <c r="K24" s="163">
        <f t="shared" si="7"/>
        <v>18.75</v>
      </c>
      <c r="L24" s="163">
        <f t="shared" si="7"/>
        <v>18.75</v>
      </c>
      <c r="M24" s="163">
        <f t="shared" si="7"/>
        <v>18.75</v>
      </c>
      <c r="N24" s="163">
        <f t="shared" si="7"/>
        <v>18.75</v>
      </c>
      <c r="O24" s="161"/>
      <c r="P24" s="88"/>
    </row>
    <row r="25" spans="1:16" ht="16.5" thickBot="1">
      <c r="A25" s="88"/>
      <c r="B25" s="158" t="s">
        <v>436</v>
      </c>
      <c r="C25" s="163">
        <f aca="true" t="shared" si="8" ref="C25:N25">SUM(C9:C24)</f>
        <v>1835.65</v>
      </c>
      <c r="D25" s="163">
        <f t="shared" si="8"/>
        <v>1449.75</v>
      </c>
      <c r="E25" s="163">
        <f t="shared" si="8"/>
        <v>761.75</v>
      </c>
      <c r="F25" s="163">
        <f t="shared" si="8"/>
        <v>761.75</v>
      </c>
      <c r="G25" s="163">
        <f t="shared" si="8"/>
        <v>761.75</v>
      </c>
      <c r="H25" s="163">
        <f t="shared" si="8"/>
        <v>761.75</v>
      </c>
      <c r="I25" s="163">
        <f t="shared" si="8"/>
        <v>761.75</v>
      </c>
      <c r="J25" s="163">
        <f t="shared" si="8"/>
        <v>761.75</v>
      </c>
      <c r="K25" s="163">
        <f t="shared" si="8"/>
        <v>1058.75</v>
      </c>
      <c r="L25" s="163">
        <f t="shared" si="8"/>
        <v>1448.2649999999999</v>
      </c>
      <c r="M25" s="163">
        <f t="shared" si="8"/>
        <v>761.75</v>
      </c>
      <c r="N25" s="163">
        <f t="shared" si="8"/>
        <v>761.75</v>
      </c>
      <c r="O25" s="162">
        <f>SUM(C25:N25)</f>
        <v>11886.414999999999</v>
      </c>
      <c r="P25" s="88"/>
    </row>
    <row r="26" spans="1:16" ht="16.5" thickBot="1">
      <c r="A26" s="88"/>
      <c r="B26" s="158" t="s">
        <v>162</v>
      </c>
      <c r="C26" s="157"/>
      <c r="D26" s="157"/>
      <c r="E26" s="157"/>
      <c r="F26" s="157"/>
      <c r="G26" s="157"/>
      <c r="H26" s="156"/>
      <c r="I26" s="156"/>
      <c r="J26" s="161"/>
      <c r="K26" s="161"/>
      <c r="L26" s="161"/>
      <c r="M26" s="161"/>
      <c r="N26" s="161"/>
      <c r="O26" s="161"/>
      <c r="P26" s="88"/>
    </row>
    <row r="27" spans="1:16" ht="16.5" thickTop="1">
      <c r="A27" s="88"/>
      <c r="B27" s="158" t="s">
        <v>158</v>
      </c>
      <c r="C27" s="165">
        <f>C7</f>
        <v>0</v>
      </c>
      <c r="D27" s="166">
        <f aca="true" t="shared" si="9" ref="D27:N27">D7</f>
        <v>0</v>
      </c>
      <c r="E27" s="166">
        <f t="shared" si="9"/>
        <v>0</v>
      </c>
      <c r="F27" s="166">
        <f t="shared" si="9"/>
        <v>0</v>
      </c>
      <c r="G27" s="166">
        <f t="shared" si="9"/>
        <v>0</v>
      </c>
      <c r="H27" s="166">
        <f t="shared" si="9"/>
        <v>0</v>
      </c>
      <c r="I27" s="166">
        <f t="shared" si="9"/>
        <v>0</v>
      </c>
      <c r="J27" s="167">
        <f t="shared" si="9"/>
        <v>0</v>
      </c>
      <c r="K27" s="167">
        <f t="shared" si="9"/>
        <v>12975</v>
      </c>
      <c r="L27" s="167">
        <f t="shared" si="9"/>
        <v>0</v>
      </c>
      <c r="M27" s="167">
        <f t="shared" si="9"/>
        <v>0</v>
      </c>
      <c r="N27" s="168">
        <f t="shared" si="9"/>
        <v>0</v>
      </c>
      <c r="O27" s="161"/>
      <c r="P27" s="88"/>
    </row>
    <row r="28" spans="1:16" ht="16.5" thickBot="1">
      <c r="A28" s="88"/>
      <c r="B28" s="158" t="s">
        <v>159</v>
      </c>
      <c r="C28" s="169">
        <f>C25</f>
        <v>1835.65</v>
      </c>
      <c r="D28" s="170">
        <f aca="true" t="shared" si="10" ref="D28:N28">D25</f>
        <v>1449.75</v>
      </c>
      <c r="E28" s="170">
        <f t="shared" si="10"/>
        <v>761.75</v>
      </c>
      <c r="F28" s="170">
        <f t="shared" si="10"/>
        <v>761.75</v>
      </c>
      <c r="G28" s="170">
        <f t="shared" si="10"/>
        <v>761.75</v>
      </c>
      <c r="H28" s="170">
        <f t="shared" si="10"/>
        <v>761.75</v>
      </c>
      <c r="I28" s="170">
        <f t="shared" si="10"/>
        <v>761.75</v>
      </c>
      <c r="J28" s="171">
        <f t="shared" si="10"/>
        <v>761.75</v>
      </c>
      <c r="K28" s="171">
        <f t="shared" si="10"/>
        <v>1058.75</v>
      </c>
      <c r="L28" s="171">
        <f t="shared" si="10"/>
        <v>1448.2649999999999</v>
      </c>
      <c r="M28" s="171">
        <f t="shared" si="10"/>
        <v>761.75</v>
      </c>
      <c r="N28" s="172">
        <f t="shared" si="10"/>
        <v>761.75</v>
      </c>
      <c r="O28" s="161"/>
      <c r="P28" s="88"/>
    </row>
    <row r="29" spans="1:16" ht="17.25" thickBot="1" thickTop="1">
      <c r="A29" s="88"/>
      <c r="B29" s="158" t="s">
        <v>163</v>
      </c>
      <c r="C29" s="173">
        <f>C27-C28</f>
        <v>-1835.65</v>
      </c>
      <c r="D29" s="173">
        <f aca="true" t="shared" si="11" ref="D29:N29">D27-D28</f>
        <v>-1449.75</v>
      </c>
      <c r="E29" s="173">
        <f t="shared" si="11"/>
        <v>-761.75</v>
      </c>
      <c r="F29" s="173">
        <f t="shared" si="11"/>
        <v>-761.75</v>
      </c>
      <c r="G29" s="173">
        <f t="shared" si="11"/>
        <v>-761.75</v>
      </c>
      <c r="H29" s="173">
        <f t="shared" si="11"/>
        <v>-761.75</v>
      </c>
      <c r="I29" s="173">
        <f t="shared" si="11"/>
        <v>-761.75</v>
      </c>
      <c r="J29" s="174">
        <f t="shared" si="11"/>
        <v>-761.75</v>
      </c>
      <c r="K29" s="174">
        <f t="shared" si="11"/>
        <v>11916.25</v>
      </c>
      <c r="L29" s="174">
        <f t="shared" si="11"/>
        <v>-1448.2649999999999</v>
      </c>
      <c r="M29" s="174">
        <f t="shared" si="11"/>
        <v>-761.75</v>
      </c>
      <c r="N29" s="174">
        <f t="shared" si="11"/>
        <v>-761.75</v>
      </c>
      <c r="O29" s="161"/>
      <c r="P29" s="88"/>
    </row>
    <row r="30" spans="1:16" ht="17.25" thickBot="1" thickTop="1">
      <c r="A30" s="88"/>
      <c r="B30" s="158" t="s">
        <v>164</v>
      </c>
      <c r="C30" s="173">
        <f>C29</f>
        <v>-1835.65</v>
      </c>
      <c r="D30" s="173">
        <f>C30+D29</f>
        <v>-3285.4</v>
      </c>
      <c r="E30" s="173">
        <f aca="true" t="shared" si="12" ref="E30:N30">D30+E29</f>
        <v>-4047.15</v>
      </c>
      <c r="F30" s="173">
        <f t="shared" si="12"/>
        <v>-4808.9</v>
      </c>
      <c r="G30" s="173">
        <f t="shared" si="12"/>
        <v>-5570.65</v>
      </c>
      <c r="H30" s="173">
        <f t="shared" si="12"/>
        <v>-6332.4</v>
      </c>
      <c r="I30" s="173">
        <f t="shared" si="12"/>
        <v>-7094.15</v>
      </c>
      <c r="J30" s="155">
        <f t="shared" si="12"/>
        <v>-7855.9</v>
      </c>
      <c r="K30" s="174">
        <f t="shared" si="12"/>
        <v>4060.3500000000004</v>
      </c>
      <c r="L30" s="174">
        <f t="shared" si="12"/>
        <v>2612.0850000000005</v>
      </c>
      <c r="M30" s="174">
        <f t="shared" si="12"/>
        <v>1850.3350000000005</v>
      </c>
      <c r="N30" s="174">
        <f t="shared" si="12"/>
        <v>1088.5850000000005</v>
      </c>
      <c r="O30" s="161"/>
      <c r="P30" s="88"/>
    </row>
    <row r="31" spans="1:16" ht="18.75" thickTop="1">
      <c r="A31" s="88"/>
      <c r="B31" s="175" t="s">
        <v>80</v>
      </c>
      <c r="C31" s="176"/>
      <c r="D31" s="176"/>
      <c r="E31" s="176"/>
      <c r="F31" s="176"/>
      <c r="G31" s="176"/>
      <c r="H31" s="177"/>
      <c r="I31" s="177"/>
      <c r="J31" s="177"/>
      <c r="K31" s="177"/>
      <c r="L31" s="177"/>
      <c r="M31" s="177"/>
      <c r="N31" s="177"/>
      <c r="O31" s="177"/>
      <c r="P31" s="88"/>
    </row>
    <row r="32" spans="1:16" ht="1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ht="15">
      <c r="O33" s="134"/>
    </row>
  </sheetData>
  <sheetProtection/>
  <mergeCells count="1">
    <mergeCell ref="B1:N1"/>
  </mergeCells>
  <printOptions/>
  <pageMargins left="0.7" right="0.7" top="0.75" bottom="0.75" header="0.3" footer="0.3"/>
  <pageSetup horizontalDpi="120" verticalDpi="12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Dra. Gisella Varas</cp:lastModifiedBy>
  <cp:lastPrinted>2009-09-18T19:29:06Z</cp:lastPrinted>
  <dcterms:created xsi:type="dcterms:W3CDTF">2009-08-17T22:16:14Z</dcterms:created>
  <dcterms:modified xsi:type="dcterms:W3CDTF">2009-09-21T16:44:46Z</dcterms:modified>
  <cp:category/>
  <cp:version/>
  <cp:contentType/>
  <cp:contentStatus/>
</cp:coreProperties>
</file>