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5480" windowHeight="10170" firstSheet="6" activeTab="6"/>
  </bookViews>
  <sheets>
    <sheet name="DESCRIPCION" sheetId="1" r:id="rId1"/>
    <sheet name="PERSONAS REQUERIDAS O EST ADMIN" sheetId="4" r:id="rId2"/>
    <sheet name="EQUIPOS, MUEBLES Y ENSERES" sheetId="6" r:id="rId3"/>
    <sheet name="DEPRECIACION" sheetId="7" r:id="rId4"/>
    <sheet name="FLUJO DE CAJA CON SUBSIDIO" sheetId="13" r:id="rId5"/>
    <sheet name="INGRESOS" sheetId="8" r:id="rId6"/>
    <sheet name="CAPITAL   DE TRABAJO" sheetId="14" r:id="rId7"/>
    <sheet name="GASTOS" sheetId="9" r:id="rId8"/>
    <sheet name="ESTADO DE RESULTADOS" sheetId="18" r:id="rId9"/>
    <sheet name="ANALISIS DE SENSIBILIDAD" sheetId="19" r:id="rId10"/>
    <sheet name="FLUJO DE CAJA SIN SUBSIDIO" sheetId="20" r:id="rId11"/>
  </sheets>
  <calcPr calcId="125725"/>
</workbook>
</file>

<file path=xl/calcChain.xml><?xml version="1.0" encoding="utf-8"?>
<calcChain xmlns="http://schemas.openxmlformats.org/spreadsheetml/2006/main">
  <c r="H11" i="20"/>
  <c r="H13"/>
  <c r="I13"/>
  <c r="J13"/>
  <c r="K13"/>
  <c r="L13"/>
  <c r="D14"/>
  <c r="D15"/>
  <c r="D16"/>
  <c r="D17"/>
  <c r="D18"/>
  <c r="D19"/>
  <c r="D20"/>
  <c r="D21"/>
  <c r="D22"/>
  <c r="D23"/>
  <c r="D24"/>
  <c r="D25"/>
  <c r="D26"/>
  <c r="D27"/>
  <c r="D28"/>
  <c r="D29"/>
  <c r="D30"/>
  <c r="E30"/>
  <c r="D31"/>
  <c r="D32"/>
  <c r="D35"/>
  <c r="F35"/>
  <c r="G35"/>
  <c r="H35"/>
  <c r="I35"/>
  <c r="J35"/>
  <c r="D36"/>
  <c r="D37"/>
  <c r="D39"/>
  <c r="P26" i="19"/>
  <c r="Q26"/>
  <c r="R26"/>
  <c r="S26"/>
  <c r="C14" i="14" l="1"/>
  <c r="C15"/>
  <c r="C16"/>
  <c r="C17"/>
  <c r="C18"/>
  <c r="C19"/>
  <c r="C20"/>
  <c r="C21"/>
  <c r="E80" i="6" l="1"/>
  <c r="D80"/>
  <c r="D76"/>
  <c r="D30"/>
  <c r="F81"/>
  <c r="G81" s="1"/>
  <c r="D13" i="7" s="1"/>
  <c r="F13" s="1"/>
  <c r="E76" i="6"/>
  <c r="F75"/>
  <c r="F74"/>
  <c r="F73"/>
  <c r="F72"/>
  <c r="F71"/>
  <c r="F70"/>
  <c r="G22" i="13"/>
  <c r="E30" i="8"/>
  <c r="E35" s="1"/>
  <c r="E44" i="13" l="1"/>
  <c r="E46" s="1"/>
  <c r="C39" i="8"/>
  <c r="G24" i="20"/>
  <c r="C41" i="8"/>
  <c r="E47" i="13"/>
  <c r="R30" i="19"/>
  <c r="R31"/>
  <c r="S30"/>
  <c r="S31"/>
  <c r="P30"/>
  <c r="P31"/>
  <c r="Q30"/>
  <c r="Q31"/>
  <c r="I13" i="7"/>
  <c r="G13"/>
  <c r="H13"/>
  <c r="J13"/>
  <c r="F39" i="13" l="1"/>
  <c r="I39"/>
  <c r="H39"/>
  <c r="J39"/>
  <c r="G39"/>
  <c r="K13" i="7"/>
  <c r="L13" s="1"/>
  <c r="R28" i="19"/>
  <c r="Q28"/>
  <c r="P28"/>
  <c r="S28"/>
  <c r="F44" i="9" l="1"/>
  <c r="F43"/>
  <c r="E42"/>
  <c r="G42" s="1"/>
  <c r="F41"/>
  <c r="F40"/>
  <c r="F39"/>
  <c r="F38"/>
  <c r="F37"/>
  <c r="F36"/>
  <c r="F35"/>
  <c r="F34"/>
  <c r="F33"/>
  <c r="E32"/>
  <c r="G32" s="1"/>
  <c r="F31"/>
  <c r="F30"/>
  <c r="F29"/>
  <c r="F28"/>
  <c r="F27"/>
  <c r="F26"/>
  <c r="F25"/>
  <c r="F24"/>
  <c r="F23"/>
  <c r="F22"/>
  <c r="E21"/>
  <c r="G21" s="1"/>
  <c r="F20"/>
  <c r="F19"/>
  <c r="F18"/>
  <c r="F17"/>
  <c r="F16"/>
  <c r="F15"/>
  <c r="F14"/>
  <c r="F13"/>
  <c r="F12"/>
  <c r="F11"/>
  <c r="F10"/>
  <c r="F9"/>
  <c r="F8"/>
  <c r="F7"/>
  <c r="F6"/>
  <c r="F5"/>
  <c r="E4"/>
  <c r="E45" s="1"/>
  <c r="G45" s="1"/>
  <c r="H16" i="13" s="1"/>
  <c r="E13" i="8"/>
  <c r="F13" s="1"/>
  <c r="E12"/>
  <c r="F12" s="1"/>
  <c r="E11"/>
  <c r="F11" s="1"/>
  <c r="E10"/>
  <c r="F10" s="1"/>
  <c r="E9"/>
  <c r="F9" s="1"/>
  <c r="E8"/>
  <c r="F8" s="1"/>
  <c r="E7"/>
  <c r="F7" s="1"/>
  <c r="E6"/>
  <c r="E14" s="1"/>
  <c r="C40" s="1"/>
  <c r="C42" s="1"/>
  <c r="L5" i="7"/>
  <c r="H18" i="20" l="1"/>
  <c r="D18" i="14"/>
  <c r="M18"/>
  <c r="I18"/>
  <c r="E18"/>
  <c r="N18"/>
  <c r="J18"/>
  <c r="F18"/>
  <c r="O18"/>
  <c r="K18"/>
  <c r="G18"/>
  <c r="P18"/>
  <c r="L18"/>
  <c r="H18"/>
  <c r="F14" i="8"/>
  <c r="F37" i="13" s="1"/>
  <c r="G21"/>
  <c r="G23" i="20" s="1"/>
  <c r="I16" i="13"/>
  <c r="I18" i="20" s="1"/>
  <c r="J16" i="13"/>
  <c r="J18" i="20" s="1"/>
  <c r="K16" i="13"/>
  <c r="K18" i="20" s="1"/>
  <c r="L16" i="13"/>
  <c r="L18" i="20" s="1"/>
  <c r="G4" i="9"/>
  <c r="F6" i="8"/>
  <c r="F41" i="13" l="1"/>
  <c r="H12" s="1"/>
  <c r="F36" i="20"/>
  <c r="F39" s="1"/>
  <c r="H14" s="1"/>
  <c r="G23" i="13"/>
  <c r="G25" i="20" s="1"/>
  <c r="E53" i="6"/>
  <c r="E49"/>
  <c r="E41"/>
  <c r="E30"/>
  <c r="E82" s="1"/>
  <c r="F79"/>
  <c r="F78"/>
  <c r="G80" s="1"/>
  <c r="D11" i="7" s="1"/>
  <c r="F62" i="6"/>
  <c r="F63"/>
  <c r="F64"/>
  <c r="F65"/>
  <c r="F66"/>
  <c r="F67"/>
  <c r="F68"/>
  <c r="F69"/>
  <c r="F56"/>
  <c r="F57"/>
  <c r="F58"/>
  <c r="F59"/>
  <c r="F60"/>
  <c r="F61"/>
  <c r="F55"/>
  <c r="F52"/>
  <c r="F51"/>
  <c r="F44"/>
  <c r="F45"/>
  <c r="F46"/>
  <c r="F47"/>
  <c r="F48"/>
  <c r="F43"/>
  <c r="F34"/>
  <c r="F35"/>
  <c r="F36"/>
  <c r="F37"/>
  <c r="F38"/>
  <c r="F39"/>
  <c r="F40"/>
  <c r="F33"/>
  <c r="F32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8"/>
  <c r="F7"/>
  <c r="D53"/>
  <c r="D49"/>
  <c r="D41"/>
  <c r="E13" i="18" l="1"/>
  <c r="G37" i="13"/>
  <c r="G38" s="1"/>
  <c r="G41" s="1"/>
  <c r="I12" s="1"/>
  <c r="E14" i="14"/>
  <c r="G14"/>
  <c r="I14"/>
  <c r="K14"/>
  <c r="M14"/>
  <c r="O14"/>
  <c r="D14"/>
  <c r="F14"/>
  <c r="H14"/>
  <c r="J14"/>
  <c r="L14"/>
  <c r="N14"/>
  <c r="P14"/>
  <c r="G36" i="20"/>
  <c r="G37" s="1"/>
  <c r="G39" s="1"/>
  <c r="I14" s="1"/>
  <c r="G76" i="6"/>
  <c r="F11" i="7"/>
  <c r="H11" s="1"/>
  <c r="G53" i="6"/>
  <c r="D9" i="7" s="1"/>
  <c r="F9" s="1"/>
  <c r="G30" i="6"/>
  <c r="G41"/>
  <c r="D8" i="7" s="1"/>
  <c r="F8" s="1"/>
  <c r="G49" i="6"/>
  <c r="D12" i="7" s="1"/>
  <c r="F12" s="1"/>
  <c r="D10"/>
  <c r="E14" i="4"/>
  <c r="D13"/>
  <c r="G13" s="1"/>
  <c r="D12"/>
  <c r="G12" s="1"/>
  <c r="D11"/>
  <c r="G11" s="1"/>
  <c r="D10"/>
  <c r="G10" s="1"/>
  <c r="D9"/>
  <c r="G9" s="1"/>
  <c r="D8"/>
  <c r="G8" s="1"/>
  <c r="D7"/>
  <c r="G7" s="1"/>
  <c r="D6"/>
  <c r="D14" s="1"/>
  <c r="G26" i="1"/>
  <c r="G27"/>
  <c r="G28"/>
  <c r="G29"/>
  <c r="G30"/>
  <c r="G31"/>
  <c r="G32"/>
  <c r="G33"/>
  <c r="G34"/>
  <c r="G35"/>
  <c r="G36"/>
  <c r="G37"/>
  <c r="G38"/>
  <c r="G39"/>
  <c r="G40"/>
  <c r="G43"/>
  <c r="G44"/>
  <c r="G45"/>
  <c r="G46"/>
  <c r="G47"/>
  <c r="G48"/>
  <c r="G49"/>
  <c r="G50"/>
  <c r="G51"/>
  <c r="G42"/>
  <c r="G54"/>
  <c r="G55"/>
  <c r="G56"/>
  <c r="G57"/>
  <c r="G58"/>
  <c r="G59"/>
  <c r="G60"/>
  <c r="G61"/>
  <c r="G53"/>
  <c r="G64"/>
  <c r="G63"/>
  <c r="G25"/>
  <c r="H37" i="13" l="1"/>
  <c r="H38" s="1"/>
  <c r="H41" s="1"/>
  <c r="J12" s="1"/>
  <c r="D23" i="14"/>
  <c r="F23"/>
  <c r="H23"/>
  <c r="J23"/>
  <c r="L23"/>
  <c r="N23"/>
  <c r="P23"/>
  <c r="E23"/>
  <c r="G23"/>
  <c r="I23"/>
  <c r="K23"/>
  <c r="M23"/>
  <c r="O23"/>
  <c r="H36" i="20"/>
  <c r="H37" s="1"/>
  <c r="H39" s="1"/>
  <c r="J14" s="1"/>
  <c r="D7" i="7"/>
  <c r="F7" s="1"/>
  <c r="H7" s="1"/>
  <c r="G82" i="6"/>
  <c r="G6" i="4"/>
  <c r="G14" s="1"/>
  <c r="H15" i="13" s="1"/>
  <c r="I11" i="7"/>
  <c r="G11"/>
  <c r="J11"/>
  <c r="J12"/>
  <c r="I12"/>
  <c r="H12"/>
  <c r="G12"/>
  <c r="J9"/>
  <c r="I9"/>
  <c r="H9"/>
  <c r="G9"/>
  <c r="I7"/>
  <c r="I8"/>
  <c r="G8"/>
  <c r="J8"/>
  <c r="H8"/>
  <c r="F10"/>
  <c r="F99" i="1"/>
  <c r="E89" s="1"/>
  <c r="F98"/>
  <c r="I96"/>
  <c r="H17" i="20" l="1"/>
  <c r="O17" i="14"/>
  <c r="K17"/>
  <c r="G17"/>
  <c r="N17"/>
  <c r="J17"/>
  <c r="F17"/>
  <c r="D17"/>
  <c r="M17"/>
  <c r="I17"/>
  <c r="E17"/>
  <c r="P17"/>
  <c r="L17"/>
  <c r="H17"/>
  <c r="G7" i="7"/>
  <c r="I36" i="20"/>
  <c r="I37" s="1"/>
  <c r="I39" s="1"/>
  <c r="K14" s="1"/>
  <c r="J7" i="7"/>
  <c r="I15" i="13"/>
  <c r="I17" i="20" s="1"/>
  <c r="J15" i="13"/>
  <c r="J17" i="20" s="1"/>
  <c r="K15" i="13"/>
  <c r="K17" i="20" s="1"/>
  <c r="L15" i="13"/>
  <c r="L17" i="20" s="1"/>
  <c r="P34" i="19"/>
  <c r="S34"/>
  <c r="R34"/>
  <c r="Q34"/>
  <c r="K12" i="7"/>
  <c r="L12" s="1"/>
  <c r="K11"/>
  <c r="L11" s="1"/>
  <c r="K9"/>
  <c r="L9" s="1"/>
  <c r="K8"/>
  <c r="L8" s="1"/>
  <c r="G10"/>
  <c r="J10"/>
  <c r="H10"/>
  <c r="I10"/>
  <c r="E90" i="1"/>
  <c r="E91" s="1"/>
  <c r="E93" s="1"/>
  <c r="K7" i="7" l="1"/>
  <c r="L7" s="1"/>
  <c r="J36" i="20"/>
  <c r="J37" s="1"/>
  <c r="J39" s="1"/>
  <c r="L14" s="1"/>
  <c r="E16" i="18"/>
  <c r="I16"/>
  <c r="H16"/>
  <c r="G16"/>
  <c r="F16"/>
  <c r="K10" i="7"/>
  <c r="E92" i="1"/>
  <c r="E94" s="1"/>
  <c r="G74"/>
  <c r="H74" s="1"/>
  <c r="G75"/>
  <c r="H75" s="1"/>
  <c r="G76"/>
  <c r="H76" s="1"/>
  <c r="G77"/>
  <c r="H77" s="1"/>
  <c r="G78"/>
  <c r="H78" s="1"/>
  <c r="G79"/>
  <c r="H79" s="1"/>
  <c r="G80"/>
  <c r="H80" s="1"/>
  <c r="G73"/>
  <c r="H73" s="1"/>
  <c r="E108" l="1"/>
  <c r="E109" s="1"/>
  <c r="E107"/>
  <c r="D6" i="7"/>
  <c r="L10"/>
  <c r="G81" i="1"/>
  <c r="H81" s="1"/>
  <c r="F62"/>
  <c r="H62" s="1"/>
  <c r="F52"/>
  <c r="H52" s="1"/>
  <c r="F41"/>
  <c r="H41" s="1"/>
  <c r="F24"/>
  <c r="H24" s="1"/>
  <c r="E14"/>
  <c r="E19" s="1"/>
  <c r="G108" l="1"/>
  <c r="G109" s="1"/>
  <c r="G110" s="1"/>
  <c r="I108"/>
  <c r="H108"/>
  <c r="F108"/>
  <c r="F109" s="1"/>
  <c r="F110" s="1"/>
  <c r="E110"/>
  <c r="H109"/>
  <c r="H110" s="1"/>
  <c r="I109"/>
  <c r="I110" s="1"/>
  <c r="F6" i="7"/>
  <c r="D14"/>
  <c r="S33" i="19"/>
  <c r="R32"/>
  <c r="R33"/>
  <c r="S32"/>
  <c r="Q32"/>
  <c r="P32"/>
  <c r="P33"/>
  <c r="Q33"/>
  <c r="F65" i="1"/>
  <c r="H65" s="1"/>
  <c r="L13" i="13" l="1"/>
  <c r="L15" i="20" s="1"/>
  <c r="L16" s="1"/>
  <c r="H13" i="13"/>
  <c r="H15" i="20" s="1"/>
  <c r="H16" s="1"/>
  <c r="J13" i="13"/>
  <c r="J15" i="20" s="1"/>
  <c r="J16" s="1"/>
  <c r="K13" i="13"/>
  <c r="K15" i="20" s="1"/>
  <c r="K16" s="1"/>
  <c r="I13" i="13"/>
  <c r="I15" i="20" s="1"/>
  <c r="I16" s="1"/>
  <c r="P15" i="14"/>
  <c r="L15"/>
  <c r="H15"/>
  <c r="D15"/>
  <c r="M15"/>
  <c r="I15"/>
  <c r="E15"/>
  <c r="N15"/>
  <c r="J15"/>
  <c r="F15"/>
  <c r="O15"/>
  <c r="K15"/>
  <c r="G15"/>
  <c r="H14" i="13"/>
  <c r="E14" i="18"/>
  <c r="E15" s="1"/>
  <c r="I14"/>
  <c r="G14"/>
  <c r="H14"/>
  <c r="F14"/>
  <c r="I6" i="7"/>
  <c r="I14" s="1"/>
  <c r="J6"/>
  <c r="J14" s="1"/>
  <c r="G6"/>
  <c r="G14" s="1"/>
  <c r="H6"/>
  <c r="H14" s="1"/>
  <c r="F14"/>
  <c r="Q41" i="19"/>
  <c r="Q39"/>
  <c r="S41"/>
  <c r="S39"/>
  <c r="P41"/>
  <c r="P39"/>
  <c r="R41"/>
  <c r="R39"/>
  <c r="F13" i="18"/>
  <c r="O24" i="14" l="1"/>
  <c r="O25" s="1"/>
  <c r="O16"/>
  <c r="J24"/>
  <c r="J25" s="1"/>
  <c r="J16"/>
  <c r="E24"/>
  <c r="E25" s="1"/>
  <c r="E16"/>
  <c r="M24"/>
  <c r="M25" s="1"/>
  <c r="M16"/>
  <c r="H24"/>
  <c r="H25" s="1"/>
  <c r="H16"/>
  <c r="K24"/>
  <c r="K25" s="1"/>
  <c r="K16"/>
  <c r="F24"/>
  <c r="F25" s="1"/>
  <c r="F16"/>
  <c r="N24"/>
  <c r="N25" s="1"/>
  <c r="N16"/>
  <c r="I24"/>
  <c r="I25" s="1"/>
  <c r="I16"/>
  <c r="D24"/>
  <c r="D25" s="1"/>
  <c r="D26" s="1"/>
  <c r="D16"/>
  <c r="L24"/>
  <c r="L25" s="1"/>
  <c r="L16"/>
  <c r="G24"/>
  <c r="G25" s="1"/>
  <c r="G16"/>
  <c r="P24"/>
  <c r="P25" s="1"/>
  <c r="P16"/>
  <c r="K6" i="7"/>
  <c r="L6" s="1"/>
  <c r="L14" s="1"/>
  <c r="F15" i="18"/>
  <c r="H17" i="13"/>
  <c r="H19" i="20" s="1"/>
  <c r="H19" i="13"/>
  <c r="K14" i="7"/>
  <c r="J19" i="13"/>
  <c r="J17"/>
  <c r="J19" i="20" s="1"/>
  <c r="I19" i="13"/>
  <c r="I17"/>
  <c r="I19" i="20" s="1"/>
  <c r="L19" i="13"/>
  <c r="L17"/>
  <c r="L19" i="20" s="1"/>
  <c r="K19" i="13"/>
  <c r="K17"/>
  <c r="K19" i="20" s="1"/>
  <c r="G13" i="18"/>
  <c r="G15" s="1"/>
  <c r="I14" i="13"/>
  <c r="I37"/>
  <c r="L24" l="1"/>
  <c r="L26" i="20" s="1"/>
  <c r="E26" i="14"/>
  <c r="F26" s="1"/>
  <c r="G26" s="1"/>
  <c r="H26" s="1"/>
  <c r="I26" s="1"/>
  <c r="J26" s="1"/>
  <c r="K26" s="1"/>
  <c r="L26" s="1"/>
  <c r="M26" s="1"/>
  <c r="N26" s="1"/>
  <c r="O26" s="1"/>
  <c r="P26" s="1"/>
  <c r="E19"/>
  <c r="E20" s="1"/>
  <c r="G19"/>
  <c r="G20" s="1"/>
  <c r="I19"/>
  <c r="I20" s="1"/>
  <c r="K19"/>
  <c r="K20" s="1"/>
  <c r="M19"/>
  <c r="M20" s="1"/>
  <c r="O19"/>
  <c r="O20" s="1"/>
  <c r="D19"/>
  <c r="F19"/>
  <c r="F20" s="1"/>
  <c r="H19"/>
  <c r="H20" s="1"/>
  <c r="J19"/>
  <c r="J20" s="1"/>
  <c r="L19"/>
  <c r="L20" s="1"/>
  <c r="N19"/>
  <c r="N20" s="1"/>
  <c r="P19"/>
  <c r="P20" s="1"/>
  <c r="H18" i="13"/>
  <c r="H20" i="20" s="1"/>
  <c r="I18" i="13"/>
  <c r="I20" i="20" s="1"/>
  <c r="I38" i="13"/>
  <c r="I41" s="1"/>
  <c r="K12" s="1"/>
  <c r="H17" i="18"/>
  <c r="I17"/>
  <c r="F17"/>
  <c r="F18" s="1"/>
  <c r="G17"/>
  <c r="G18" s="1"/>
  <c r="G20" s="1"/>
  <c r="E17"/>
  <c r="E18" s="1"/>
  <c r="J14" i="13"/>
  <c r="H21" i="20" l="1"/>
  <c r="H29" s="1"/>
  <c r="I21"/>
  <c r="I29" s="1"/>
  <c r="D27" i="14"/>
  <c r="I27" i="13"/>
  <c r="E21" i="14"/>
  <c r="N21"/>
  <c r="J21"/>
  <c r="F21"/>
  <c r="O21"/>
  <c r="K21"/>
  <c r="G21"/>
  <c r="L21"/>
  <c r="D21"/>
  <c r="I21"/>
  <c r="P21"/>
  <c r="H21"/>
  <c r="M21"/>
  <c r="D20"/>
  <c r="G19" i="18"/>
  <c r="G21" s="1"/>
  <c r="J18" i="13"/>
  <c r="J20" i="20" s="1"/>
  <c r="H13" i="18"/>
  <c r="H15" s="1"/>
  <c r="H18" s="1"/>
  <c r="H19" s="1"/>
  <c r="J37" i="13"/>
  <c r="H27"/>
  <c r="E20" i="18"/>
  <c r="E19"/>
  <c r="F20"/>
  <c r="F19"/>
  <c r="K14" i="13"/>
  <c r="J21" i="20" l="1"/>
  <c r="J29" s="1"/>
  <c r="E21" i="18"/>
  <c r="H20"/>
  <c r="H21" s="1"/>
  <c r="F21"/>
  <c r="J27" i="13"/>
  <c r="K18"/>
  <c r="K20" i="20" s="1"/>
  <c r="J38" i="13"/>
  <c r="J41" s="1"/>
  <c r="L12" s="1"/>
  <c r="K21" i="20" l="1"/>
  <c r="K29" s="1"/>
  <c r="K27" i="13"/>
  <c r="I13" i="18"/>
  <c r="I15" s="1"/>
  <c r="I18" s="1"/>
  <c r="L14" i="13" l="1"/>
  <c r="I20" i="18"/>
  <c r="I19"/>
  <c r="I21" l="1"/>
  <c r="L18" i="13"/>
  <c r="L20" i="20" s="1"/>
  <c r="P27" i="19"/>
  <c r="L21" i="20" l="1"/>
  <c r="L29" s="1"/>
  <c r="L27" i="13"/>
  <c r="Q27" i="19"/>
  <c r="P29" l="1"/>
  <c r="R27"/>
  <c r="S27"/>
  <c r="Q29" l="1"/>
  <c r="S29" l="1"/>
  <c r="R29"/>
  <c r="G27" i="13" l="1"/>
  <c r="G29" i="20" s="1"/>
  <c r="E32" l="1"/>
  <c r="E31"/>
  <c r="E29" i="13"/>
  <c r="G31" i="19" s="1"/>
  <c r="E30" i="13"/>
  <c r="G17" i="19" l="1"/>
  <c r="F17"/>
</calcChain>
</file>

<file path=xl/sharedStrings.xml><?xml version="1.0" encoding="utf-8"?>
<sst xmlns="http://schemas.openxmlformats.org/spreadsheetml/2006/main" count="406" uniqueCount="255">
  <si>
    <t>CANTIDAD</t>
  </si>
  <si>
    <t>DESCRIPCION</t>
  </si>
  <si>
    <t>VALOR EN DOLARES</t>
  </si>
  <si>
    <t>MAQUINA DE ANESTESIA CON TRES GASES</t>
  </si>
  <si>
    <t>MONITOR MULTIPARAMETRICO DE SIGNOS VITALES</t>
  </si>
  <si>
    <t>MESA DE CIRUGIA</t>
  </si>
  <si>
    <t>JUEGOS DE DIAGNOSTICOS DE PARED</t>
  </si>
  <si>
    <t>LAMPARA QUIRURGICA CON SOPORTE CIELITICO</t>
  </si>
  <si>
    <t>DESFRIBRILADOR Y ECOGRAFO PORTATIL</t>
  </si>
  <si>
    <t>MAQ. ANESTESIA, MONITOR CARDIACO, MESA DE CIRUGIA</t>
  </si>
  <si>
    <t>ASCENSOR</t>
  </si>
  <si>
    <t>A/C</t>
  </si>
  <si>
    <t>TOTAL DE INGRESOS DONADOS POR LA TELETON</t>
  </si>
  <si>
    <t>DESCRIPCION DE INGRESOS DONADOS POR LA TELETON 2006</t>
  </si>
  <si>
    <t>GASTOS POR CENTROS DE COSTO</t>
  </si>
  <si>
    <t>A)</t>
  </si>
  <si>
    <t>GASTOS EN EL PERSONAL</t>
  </si>
  <si>
    <t>MENSUAL</t>
  </si>
  <si>
    <t>SALARIO BASICO</t>
  </si>
  <si>
    <t>SUBSIDIO POR AÑOS DE SERVICIO</t>
  </si>
  <si>
    <t>BONIFICACION POR RESPONSABILIDAD</t>
  </si>
  <si>
    <t>DECIMO TERCER SUELDO</t>
  </si>
  <si>
    <t>DECIMO CUARTO SUELDO</t>
  </si>
  <si>
    <t>COMPENSACION POR TRANSPORTE</t>
  </si>
  <si>
    <t>REFRIGERIO</t>
  </si>
  <si>
    <t>BONO DE COMISARIATO</t>
  </si>
  <si>
    <t>BONIFICACION FIESTA JULIO-OCTUBRE</t>
  </si>
  <si>
    <t>AGUINALDO NAVIDEÑO</t>
  </si>
  <si>
    <t>SUBSIDIO POR CARGAS FAMILIARES</t>
  </si>
  <si>
    <t>HONORARIOS</t>
  </si>
  <si>
    <t>PAGO POR HORAS EXTRAS</t>
  </si>
  <si>
    <t>APORTE PATRONAL</t>
  </si>
  <si>
    <t>FONDOS DE RESERVA</t>
  </si>
  <si>
    <t>SUBVENCION MEDICA A EMPLEADOS</t>
  </si>
  <si>
    <t>B)</t>
  </si>
  <si>
    <t>GASTOS EN SERVICIOS</t>
  </si>
  <si>
    <t>ENERGIA</t>
  </si>
  <si>
    <t>TELECOMUNICACIONES</t>
  </si>
  <si>
    <t>SEGUROS</t>
  </si>
  <si>
    <t>MANT. Y CONSERV. DE MOBILIARIO</t>
  </si>
  <si>
    <t>MANT. Y CONSERV. DE EQ. COMPUTO</t>
  </si>
  <si>
    <t>VIGILACIA</t>
  </si>
  <si>
    <t>ASEO, HIGIENE Y LIMPIEZA</t>
  </si>
  <si>
    <t>COMISARIATO</t>
  </si>
  <si>
    <t>OTROS SERVICIOS</t>
  </si>
  <si>
    <t>LAVANDERIA</t>
  </si>
  <si>
    <t>TOTAL MENSUAL</t>
  </si>
  <si>
    <t>C)</t>
  </si>
  <si>
    <t>GASTOS DE MATERIALES</t>
  </si>
  <si>
    <t>DE OFICINA</t>
  </si>
  <si>
    <t>DE ASEO Y LIMPIEZA</t>
  </si>
  <si>
    <t>DE IMPRENTA</t>
  </si>
  <si>
    <t>OTROS MATERIALES DE ADMINISTRACION</t>
  </si>
  <si>
    <t>MEDICINA GENERAL</t>
  </si>
  <si>
    <t>IMPLEMENTOS MEDICOS</t>
  </si>
  <si>
    <t>SUMINISTROS MEDICOS</t>
  </si>
  <si>
    <t>PARA LABORATORIO CLINICO</t>
  </si>
  <si>
    <t>REPUESTOS Y ACCESORIOS</t>
  </si>
  <si>
    <t>D)</t>
  </si>
  <si>
    <t>GASTOS EN TRANSFERENCIAS</t>
  </si>
  <si>
    <t>PASIVO CIRCULANTE</t>
  </si>
  <si>
    <t>PROVISION DE FONDO DE DESAHUCIO PATRONAL</t>
  </si>
  <si>
    <t>TOTAL</t>
  </si>
  <si>
    <t>RUBRO</t>
  </si>
  <si>
    <t>Aplicación de Quimio.(Pensionado niños)</t>
  </si>
  <si>
    <t>Consulta Pediatrica</t>
  </si>
  <si>
    <t>Consulta Pediatrica Quimio</t>
  </si>
  <si>
    <t>Curaciones heridas quirurgicas</t>
  </si>
  <si>
    <t>Retiro de puntos, tampones</t>
  </si>
  <si>
    <t>Serv. De Quimio Ambulatorio</t>
  </si>
  <si>
    <t>Serv.de transfusion de sangre</t>
  </si>
  <si>
    <t>Aerv. De Quimio hospitalizacion</t>
  </si>
  <si>
    <t>PRECIO UNITARIO</t>
  </si>
  <si>
    <t>CANTIDAD DE PACIENTES</t>
  </si>
  <si>
    <t>PRECIO TOTAL MENSUAL</t>
  </si>
  <si>
    <t>TOTAL INGRESOS</t>
  </si>
  <si>
    <t>DESCRIPCION DE INGRESOS MENSUALES CON RESPECTO ATENCION DE PACIENTES</t>
  </si>
  <si>
    <t>DINERO RECAUDADO EN LA TELETON 2006 EFECTIVO</t>
  </si>
  <si>
    <t xml:space="preserve">UNIDAD PEDIATRICA DE SOLCA </t>
  </si>
  <si>
    <t>MANO DE OBRA REQUERIDA</t>
  </si>
  <si>
    <t>DETALLE DEL PUESTO</t>
  </si>
  <si>
    <t>DETALLE</t>
  </si>
  <si>
    <t>VALOR</t>
  </si>
  <si>
    <t>%</t>
  </si>
  <si>
    <t>MAESTROS PRINCIPALES</t>
  </si>
  <si>
    <t xml:space="preserve">TOTAL DE MANO DE OBRA </t>
  </si>
  <si>
    <t>MAESTROS SEGUNDEROS</t>
  </si>
  <si>
    <t>ALBAÑILES</t>
  </si>
  <si>
    <t>SUBTOTAL</t>
  </si>
  <si>
    <t>CARPINTEROS</t>
  </si>
  <si>
    <t>DIRECCION TECNICA</t>
  </si>
  <si>
    <t>FIERREROS</t>
  </si>
  <si>
    <t>IMPREVISTOS</t>
  </si>
  <si>
    <t>ELECTRICISTA</t>
  </si>
  <si>
    <t>GASFITERO</t>
  </si>
  <si>
    <t>OFICIALES ( AYUDANTES )</t>
  </si>
  <si>
    <t>TOTAL DE OBREROS</t>
  </si>
  <si>
    <t>EQUIPAMIENTO</t>
  </si>
  <si>
    <t>NO</t>
  </si>
  <si>
    <t>SI</t>
  </si>
  <si>
    <r>
      <t>TOTAL DE MTS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DE CONSTRUCCION</t>
    </r>
  </si>
  <si>
    <r>
      <t>Valor por mt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</si>
  <si>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TOTAL ANUAL</t>
  </si>
  <si>
    <t>UNIDAD PEDIATRICA CONSULTA EXTERNA Y QUIMIOTERAPIA AMBULATORIA</t>
  </si>
  <si>
    <t>PERSONAL</t>
  </si>
  <si>
    <t>CARGO</t>
  </si>
  <si>
    <t>BARBERY GOMEZ CLAIRE IVONN</t>
  </si>
  <si>
    <t>MEDICO</t>
  </si>
  <si>
    <t>BONILLA NUÑEZ ANIBAL ENRIQUE</t>
  </si>
  <si>
    <t>BORBOR HERNADEZ BELLA ALEJANDRA</t>
  </si>
  <si>
    <t>AUXILIAR DE ENFERMERIA</t>
  </si>
  <si>
    <t>ESPIN CUSTODIO LUIS ENRIQUE</t>
  </si>
  <si>
    <t>MEDICO JEFE DE UNIDAD PEDIATRICA</t>
  </si>
  <si>
    <t>MENDOZA MARTINEZ MARIANA JESUS</t>
  </si>
  <si>
    <t>ADMINISTRADORA DE AREA</t>
  </si>
  <si>
    <t>MORALES MONTOYA OLGA MARINA</t>
  </si>
  <si>
    <t>ENFERMERA PROFESIONAL</t>
  </si>
  <si>
    <t>PONCE CHICA HECTOR ALFREDO</t>
  </si>
  <si>
    <t>MEDICO RESIDENTE</t>
  </si>
  <si>
    <t>SANCHEZ SUAREZ MARIUXI AZUCENA</t>
  </si>
  <si>
    <t xml:space="preserve"> </t>
  </si>
  <si>
    <t>ANUAL</t>
  </si>
  <si>
    <t>SUELDO MENSUAL</t>
  </si>
  <si>
    <t>PORCENTAJE</t>
  </si>
  <si>
    <t>TOTAL  ANUAL</t>
  </si>
  <si>
    <t>MUEBLES DE OFICINA</t>
  </si>
  <si>
    <t>ESCRITORIO</t>
  </si>
  <si>
    <t>BANCO ALTO</t>
  </si>
  <si>
    <t>CAMAS</t>
  </si>
  <si>
    <t>SILLONES RELAX</t>
  </si>
  <si>
    <t>VALOR UNITARIO</t>
  </si>
  <si>
    <t>PERCHA</t>
  </si>
  <si>
    <t xml:space="preserve">PUESTO DE TRABAJO EN L </t>
  </si>
  <si>
    <t>SILLON TIPO EJECUTIVO</t>
  </si>
  <si>
    <t>SILLA PARA SECRETARIA</t>
  </si>
  <si>
    <t>SILLA PARA VISITA</t>
  </si>
  <si>
    <t xml:space="preserve">ARCHIVADOR FLOTANTE </t>
  </si>
  <si>
    <t>CHAILON</t>
  </si>
  <si>
    <t>MESA PEQUEÑA PARA IMPRESORA DE 2 BANDEJAS</t>
  </si>
  <si>
    <t>SILLON TIPO CAJERO</t>
  </si>
  <si>
    <t>ESTANTERIA</t>
  </si>
  <si>
    <t>ANAQUELES</t>
  </si>
  <si>
    <t>CASILLERO DE 2 CUEPOS</t>
  </si>
  <si>
    <t xml:space="preserve">VITRINAS </t>
  </si>
  <si>
    <t>MESONES</t>
  </si>
  <si>
    <t>MESA PEQUEÑA REDONDA</t>
  </si>
  <si>
    <t xml:space="preserve">CUNA </t>
  </si>
  <si>
    <t>EQUIPO DE OFICINA</t>
  </si>
  <si>
    <t xml:space="preserve">ESCALERILLA </t>
  </si>
  <si>
    <t>TELEFONO</t>
  </si>
  <si>
    <t>MICROFONO CON PARLANTES</t>
  </si>
  <si>
    <t>INTERCOMUNICADOR</t>
  </si>
  <si>
    <t>TAMDEM</t>
  </si>
  <si>
    <t>TELEVISOR</t>
  </si>
  <si>
    <t>DECODIFICADOR</t>
  </si>
  <si>
    <t>FILA VIRTUAL</t>
  </si>
  <si>
    <t>BEBEDEROS</t>
  </si>
  <si>
    <t>SUMINISTROS DE LIMPIEZA</t>
  </si>
  <si>
    <t>ESPEJO DE BAÑO</t>
  </si>
  <si>
    <t>LAVAMANOS</t>
  </si>
  <si>
    <t>ASEPSIA DE MANOS</t>
  </si>
  <si>
    <t>DUCHAS</t>
  </si>
  <si>
    <t>CARRO HERMETICO PARA LENCERIA SUCIA</t>
  </si>
  <si>
    <t>CARRO HERMETICO PARA LENCERIA DESHECHOS</t>
  </si>
  <si>
    <t>EQUIPOS DE COMPUTO</t>
  </si>
  <si>
    <t>COMPUTADORAS</t>
  </si>
  <si>
    <t>IMPRESORAS</t>
  </si>
  <si>
    <t>EQUIPO MEDICO</t>
  </si>
  <si>
    <t>EQUIPO DE DIAGNOSTICO DE PARED</t>
  </si>
  <si>
    <t>NEGATOSCOPIO</t>
  </si>
  <si>
    <t>DISPENSADOR PARA GEL EN ALCOHOL</t>
  </si>
  <si>
    <t>BALANZA CON TALLIMETRO</t>
  </si>
  <si>
    <t>TENSIOMETRO</t>
  </si>
  <si>
    <t xml:space="preserve">MESA QUIRURGICA </t>
  </si>
  <si>
    <t>MAQUINA DE ANESTESIA</t>
  </si>
  <si>
    <t xml:space="preserve">LAMPARA QUIRURGICA </t>
  </si>
  <si>
    <t>SUCCIONADOR PORTATIL</t>
  </si>
  <si>
    <t>ELECTROCARDIOGRAFO</t>
  </si>
  <si>
    <t>MONITOR CARDIACO</t>
  </si>
  <si>
    <t>MESA DE CURACION</t>
  </si>
  <si>
    <t>SOPORTE DE SUERO</t>
  </si>
  <si>
    <t>BOMBAS VOLUMETRICAS</t>
  </si>
  <si>
    <t>UTILES DE OFICINA</t>
  </si>
  <si>
    <t>SEÑALETICA</t>
  </si>
  <si>
    <t>PUNTOS DE RED</t>
  </si>
  <si>
    <t>TOTAL EQUIPOS,MUEBLES Y OTROS ENSERES</t>
  </si>
  <si>
    <t>PUESTO DE TRABAJO COMPARTIDO</t>
  </si>
  <si>
    <t>TOTAL  EN UNIDADES</t>
  </si>
  <si>
    <t>CASILLERO DE TRES CUEPOS CON 2 DIVISIONES</t>
  </si>
  <si>
    <t>PRECIO * CANTIDAD</t>
  </si>
  <si>
    <t>AÑOS VIDA UTIL</t>
  </si>
  <si>
    <t>VS</t>
  </si>
  <si>
    <t>INVERSIONES</t>
  </si>
  <si>
    <t>AÑO</t>
  </si>
  <si>
    <t>DEPRECIACION</t>
  </si>
  <si>
    <t>TERRENO</t>
  </si>
  <si>
    <t>EQUIPOS DE OFICINA</t>
  </si>
  <si>
    <t>EDIFICIO</t>
  </si>
  <si>
    <t>PRECIO TOTAL ANUAL</t>
  </si>
  <si>
    <t>Año</t>
  </si>
  <si>
    <t>INGRESOS POR VENTAS</t>
  </si>
  <si>
    <t>(-) GASTOS   ADMINISTRATIVOS</t>
  </si>
  <si>
    <t>(-) DEP. ACTIVO FIJO</t>
  </si>
  <si>
    <t xml:space="preserve">INVERSIOIN   INICIAL </t>
  </si>
  <si>
    <t>CAPITAL   DE TRABAJO</t>
  </si>
  <si>
    <t xml:space="preserve">FLUJO  DE  CAJA   </t>
  </si>
  <si>
    <t>(=) UTILIDAD BRUTA</t>
  </si>
  <si>
    <t>(-) SUELDOS Y SALARIOS</t>
  </si>
  <si>
    <t>(=) UTILIDAD OPERACIONAL</t>
  </si>
  <si>
    <t>(+) DEPRECIACION DE ACTIVO FIJO</t>
  </si>
  <si>
    <t>INVERSION TOTAL</t>
  </si>
  <si>
    <t>INGRESOS</t>
  </si>
  <si>
    <t>Ingresos TOTALES</t>
  </si>
  <si>
    <t>TIEMPO ESTIMADO DE OBRA 12 MESES</t>
  </si>
  <si>
    <t>MAQUINA DE ANESTESIA CON 3 GASES</t>
  </si>
  <si>
    <t>DESFIBRILADOR CARDIACO Y ECOGRAFO PORTATIL</t>
  </si>
  <si>
    <t>INGRESO MENSUAL</t>
  </si>
  <si>
    <t>EGRESO MENSUAL</t>
  </si>
  <si>
    <t>SALDO MENSUAL</t>
  </si>
  <si>
    <t>SALDO ACUMULADO</t>
  </si>
  <si>
    <t>CAPITAL DE TRABAJO</t>
  </si>
  <si>
    <t>VALOR DE SALVAMENTO</t>
  </si>
  <si>
    <t>FLUJO DE CAJA</t>
  </si>
  <si>
    <t xml:space="preserve">(-) COSTOS  </t>
  </si>
  <si>
    <t>TOTAL DE MATERIALES</t>
  </si>
  <si>
    <t>TMAR</t>
  </si>
  <si>
    <t>VAN</t>
  </si>
  <si>
    <t>TIR</t>
  </si>
  <si>
    <t>UTILIDAD NETA</t>
  </si>
  <si>
    <t>(-) COSTOS</t>
  </si>
  <si>
    <t>(=) MARGEN DE UTILIDAD</t>
  </si>
  <si>
    <t>(-) GASTOS</t>
  </si>
  <si>
    <t>UTILIDAD ANTES DE IMPUESTO</t>
  </si>
  <si>
    <t>IMPUESTO A LA RENTA</t>
  </si>
  <si>
    <t>A LOS TRABAJADORES</t>
  </si>
  <si>
    <t>VARIACION</t>
  </si>
  <si>
    <t>RESULTADO</t>
  </si>
  <si>
    <t>FACTIBLE</t>
  </si>
  <si>
    <t>GASTOS</t>
  </si>
  <si>
    <t xml:space="preserve">IMPREVISTOS </t>
  </si>
  <si>
    <t>TOTAL COSTOS PARA CADA AÑO</t>
  </si>
  <si>
    <t>TELETON</t>
  </si>
  <si>
    <t>SUBSIDIO</t>
  </si>
  <si>
    <t>INCREMENTO DE INGRESOS</t>
  </si>
  <si>
    <t>PORCENTAJE MENSUAL</t>
  </si>
  <si>
    <t>TOTAL CONSTRUCCION DE LA UNIDAD PEDIATRICA</t>
  </si>
  <si>
    <t>ESTADO DE RESULTADO</t>
  </si>
  <si>
    <t>REC. CAPITAL TRABAJO</t>
  </si>
  <si>
    <t>COSTOS DE MATENIMIENTO DEL EDIFICIO PARA CADA AÑO 60% DE $517500</t>
  </si>
  <si>
    <t>TOTAL DE EQUIPOS</t>
  </si>
  <si>
    <t>DONACION DE LA TELETON AÑO 2006</t>
  </si>
  <si>
    <t>APORTACION DE SOLCA</t>
  </si>
  <si>
    <t>TERRENO DONADO POR SOLCA</t>
  </si>
  <si>
    <t>TOTAL INVERSION</t>
  </si>
  <si>
    <t>Fuente: elaborado por Autoras</t>
  </si>
</sst>
</file>

<file path=xl/styles.xml><?xml version="1.0" encoding="utf-8"?>
<styleSheet xmlns="http://schemas.openxmlformats.org/spreadsheetml/2006/main">
  <numFmts count="7"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(* #,##0_);_(* \(#,##0\);_(* &quot;-&quot;??_);_(@_)"/>
    <numFmt numFmtId="168" formatCode="_-* #,##0\ _€_-;\-* #,##0\ _€_-;_-* &quot;-&quot;??\ _€_-;_-@_-"/>
    <numFmt numFmtId="169" formatCode="_([$$-409]* #,##0.0_);_([$$-409]* \(#,##0.0\);_([$$-409]* &quot;-&quot;?_);_(@_)"/>
    <numFmt numFmtId="170" formatCode="&quot;$&quot;\ #,##0.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0"/>
      <name val="Arial"/>
      <family val="2"/>
    </font>
    <font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</borders>
  <cellStyleXfs count="18">
    <xf numFmtId="169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  <xf numFmtId="169" fontId="12" fillId="0" borderId="0"/>
  </cellStyleXfs>
  <cellXfs count="220">
    <xf numFmtId="169" fontId="0" fillId="0" borderId="0" xfId="0"/>
    <xf numFmtId="169" fontId="4" fillId="0" borderId="0" xfId="0" applyFont="1" applyAlignment="1">
      <alignment horizontal="center"/>
    </xf>
    <xf numFmtId="169" fontId="0" fillId="0" borderId="0" xfId="0" applyAlignment="1">
      <alignment wrapText="1"/>
    </xf>
    <xf numFmtId="169" fontId="0" fillId="3" borderId="1" xfId="0" applyFill="1" applyBorder="1"/>
    <xf numFmtId="169" fontId="0" fillId="3" borderId="1" xfId="1" applyNumberFormat="1" applyFont="1" applyFill="1" applyBorder="1"/>
    <xf numFmtId="169" fontId="0" fillId="3" borderId="1" xfId="0" applyFill="1" applyBorder="1" applyAlignment="1"/>
    <xf numFmtId="169" fontId="0" fillId="3" borderId="1" xfId="2" applyNumberFormat="1" applyFont="1" applyFill="1" applyBorder="1" applyAlignment="1">
      <alignment wrapText="1"/>
    </xf>
    <xf numFmtId="169" fontId="0" fillId="3" borderId="1" xfId="0" applyFill="1" applyBorder="1" applyAlignment="1">
      <alignment horizontal="center"/>
    </xf>
    <xf numFmtId="169" fontId="0" fillId="3" borderId="1" xfId="2" applyNumberFormat="1" applyFont="1" applyFill="1" applyBorder="1"/>
    <xf numFmtId="169" fontId="0" fillId="3" borderId="1" xfId="0" applyNumberFormat="1" applyFill="1" applyBorder="1"/>
    <xf numFmtId="169" fontId="5" fillId="2" borderId="5" xfId="0" applyFont="1" applyFill="1" applyBorder="1" applyAlignment="1">
      <alignment horizontal="center"/>
    </xf>
    <xf numFmtId="169" fontId="3" fillId="2" borderId="6" xfId="0" applyFont="1" applyFill="1" applyBorder="1" applyAlignment="1">
      <alignment horizontal="center"/>
    </xf>
    <xf numFmtId="169" fontId="5" fillId="2" borderId="7" xfId="0" applyFont="1" applyFill="1" applyBorder="1" applyAlignment="1">
      <alignment horizontal="center"/>
    </xf>
    <xf numFmtId="169" fontId="3" fillId="2" borderId="8" xfId="0" applyFont="1" applyFill="1" applyBorder="1"/>
    <xf numFmtId="169" fontId="3" fillId="2" borderId="0" xfId="0" applyFont="1" applyFill="1" applyBorder="1"/>
    <xf numFmtId="169" fontId="3" fillId="2" borderId="9" xfId="0" applyFont="1" applyFill="1" applyBorder="1"/>
    <xf numFmtId="169" fontId="3" fillId="2" borderId="10" xfId="0" applyFont="1" applyFill="1" applyBorder="1"/>
    <xf numFmtId="169" fontId="3" fillId="2" borderId="11" xfId="0" applyFont="1" applyFill="1" applyBorder="1"/>
    <xf numFmtId="169" fontId="3" fillId="2" borderId="12" xfId="0" applyFont="1" applyFill="1" applyBorder="1"/>
    <xf numFmtId="169" fontId="3" fillId="3" borderId="4" xfId="0" applyFont="1" applyFill="1" applyBorder="1"/>
    <xf numFmtId="169" fontId="3" fillId="3" borderId="1" xfId="0" applyFont="1" applyFill="1" applyBorder="1"/>
    <xf numFmtId="169" fontId="6" fillId="3" borderId="1" xfId="0" applyFont="1" applyFill="1" applyBorder="1"/>
    <xf numFmtId="169" fontId="6" fillId="3" borderId="1" xfId="0" applyNumberFormat="1" applyFont="1" applyFill="1" applyBorder="1"/>
    <xf numFmtId="169" fontId="3" fillId="3" borderId="4" xfId="0" applyFont="1" applyFill="1" applyBorder="1" applyAlignment="1">
      <alignment horizontal="center"/>
    </xf>
    <xf numFmtId="169" fontId="0" fillId="2" borderId="4" xfId="0" applyFill="1" applyBorder="1"/>
    <xf numFmtId="169" fontId="3" fillId="2" borderId="4" xfId="0" applyFont="1" applyFill="1" applyBorder="1" applyAlignment="1">
      <alignment horizontal="center"/>
    </xf>
    <xf numFmtId="169" fontId="3" fillId="3" borderId="1" xfId="0" applyFont="1" applyFill="1" applyBorder="1" applyAlignment="1">
      <alignment horizontal="center"/>
    </xf>
    <xf numFmtId="169" fontId="3" fillId="3" borderId="4" xfId="1" applyNumberFormat="1" applyFont="1" applyFill="1" applyBorder="1"/>
    <xf numFmtId="169" fontId="3" fillId="3" borderId="1" xfId="1" applyNumberFormat="1" applyFont="1" applyFill="1" applyBorder="1"/>
    <xf numFmtId="169" fontId="6" fillId="3" borderId="1" xfId="0" applyFont="1" applyFill="1" applyBorder="1" applyAlignment="1">
      <alignment horizontal="center"/>
    </xf>
    <xf numFmtId="169" fontId="2" fillId="3" borderId="1" xfId="0" applyFont="1" applyFill="1" applyBorder="1"/>
    <xf numFmtId="169" fontId="2" fillId="3" borderId="1" xfId="1" applyNumberFormat="1" applyFont="1" applyFill="1" applyBorder="1"/>
    <xf numFmtId="169" fontId="6" fillId="3" borderId="1" xfId="1" applyNumberFormat="1" applyFont="1" applyFill="1" applyBorder="1"/>
    <xf numFmtId="169" fontId="7" fillId="3" borderId="1" xfId="0" applyFont="1" applyFill="1" applyBorder="1"/>
    <xf numFmtId="169" fontId="8" fillId="3" borderId="1" xfId="0" applyFont="1" applyFill="1" applyBorder="1"/>
    <xf numFmtId="169" fontId="0" fillId="0" borderId="0" xfId="0" applyFill="1" applyBorder="1"/>
    <xf numFmtId="169" fontId="0" fillId="3" borderId="1" xfId="0" applyNumberFormat="1" applyFill="1" applyBorder="1" applyAlignment="1">
      <alignment horizontal="right"/>
    </xf>
    <xf numFmtId="9" fontId="0" fillId="3" borderId="1" xfId="0" applyNumberFormat="1" applyFill="1" applyBorder="1" applyAlignment="1">
      <alignment horizontal="center"/>
    </xf>
    <xf numFmtId="169" fontId="2" fillId="3" borderId="1" xfId="0" applyNumberFormat="1" applyFont="1" applyFill="1" applyBorder="1" applyAlignment="1">
      <alignment horizontal="right"/>
    </xf>
    <xf numFmtId="169" fontId="6" fillId="3" borderId="1" xfId="0" applyNumberFormat="1" applyFont="1" applyFill="1" applyBorder="1" applyAlignment="1">
      <alignment horizontal="right"/>
    </xf>
    <xf numFmtId="169" fontId="3" fillId="2" borderId="1" xfId="0" applyFont="1" applyFill="1" applyBorder="1"/>
    <xf numFmtId="169" fontId="3" fillId="2" borderId="1" xfId="0" applyFont="1" applyFill="1" applyBorder="1" applyAlignment="1">
      <alignment horizontal="center"/>
    </xf>
    <xf numFmtId="169" fontId="2" fillId="3" borderId="1" xfId="0" applyFont="1" applyFill="1" applyBorder="1" applyAlignment="1">
      <alignment horizontal="center"/>
    </xf>
    <xf numFmtId="169" fontId="0" fillId="3" borderId="1" xfId="0" applyNumberFormat="1" applyFill="1" applyBorder="1" applyAlignment="1">
      <alignment horizontal="center"/>
    </xf>
    <xf numFmtId="169" fontId="0" fillId="0" borderId="0" xfId="0" applyBorder="1"/>
    <xf numFmtId="169" fontId="7" fillId="3" borderId="4" xfId="0" applyFont="1" applyFill="1" applyBorder="1"/>
    <xf numFmtId="169" fontId="8" fillId="2" borderId="29" xfId="0" applyFont="1" applyFill="1" applyBorder="1" applyAlignment="1">
      <alignment horizontal="center"/>
    </xf>
    <xf numFmtId="169" fontId="8" fillId="2" borderId="30" xfId="0" applyFont="1" applyFill="1" applyBorder="1" applyAlignment="1">
      <alignment horizontal="center"/>
    </xf>
    <xf numFmtId="169" fontId="8" fillId="2" borderId="31" xfId="0" applyFont="1" applyFill="1" applyBorder="1" applyAlignment="1">
      <alignment horizontal="center"/>
    </xf>
    <xf numFmtId="169" fontId="6" fillId="2" borderId="25" xfId="0" applyFont="1" applyFill="1" applyBorder="1"/>
    <xf numFmtId="169" fontId="7" fillId="3" borderId="4" xfId="0" applyNumberFormat="1" applyFont="1" applyFill="1" applyBorder="1"/>
    <xf numFmtId="169" fontId="7" fillId="3" borderId="19" xfId="0" applyNumberFormat="1" applyFont="1" applyFill="1" applyBorder="1"/>
    <xf numFmtId="169" fontId="0" fillId="3" borderId="24" xfId="0" applyNumberFormat="1" applyFill="1" applyBorder="1"/>
    <xf numFmtId="169" fontId="7" fillId="3" borderId="1" xfId="0" applyNumberFormat="1" applyFont="1" applyFill="1" applyBorder="1"/>
    <xf numFmtId="169" fontId="7" fillId="3" borderId="2" xfId="0" applyNumberFormat="1" applyFont="1" applyFill="1" applyBorder="1"/>
    <xf numFmtId="169" fontId="8" fillId="3" borderId="2" xfId="0" applyNumberFormat="1" applyFont="1" applyFill="1" applyBorder="1"/>
    <xf numFmtId="169" fontId="0" fillId="0" borderId="0" xfId="0" applyFill="1"/>
    <xf numFmtId="169" fontId="3" fillId="0" borderId="0" xfId="0" applyFont="1" applyFill="1" applyBorder="1"/>
    <xf numFmtId="169" fontId="9" fillId="0" borderId="0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169" fontId="0" fillId="0" borderId="0" xfId="0" applyNumberFormat="1" applyFill="1" applyBorder="1"/>
    <xf numFmtId="169" fontId="0" fillId="0" borderId="0" xfId="2" applyNumberFormat="1" applyFont="1" applyFill="1" applyBorder="1"/>
    <xf numFmtId="169" fontId="0" fillId="0" borderId="0" xfId="3" applyNumberFormat="1" applyFont="1" applyFill="1" applyBorder="1"/>
    <xf numFmtId="169" fontId="2" fillId="0" borderId="0" xfId="0" applyNumberFormat="1" applyFont="1" applyFill="1" applyBorder="1"/>
    <xf numFmtId="169" fontId="0" fillId="0" borderId="23" xfId="0" applyFill="1" applyBorder="1"/>
    <xf numFmtId="169" fontId="3" fillId="0" borderId="0" xfId="0" applyFont="1"/>
    <xf numFmtId="169" fontId="0" fillId="0" borderId="0" xfId="0" applyNumberFormat="1"/>
    <xf numFmtId="9" fontId="0" fillId="3" borderId="2" xfId="3" applyFont="1" applyFill="1" applyBorder="1"/>
    <xf numFmtId="9" fontId="0" fillId="3" borderId="2" xfId="0" applyNumberFormat="1" applyFill="1" applyBorder="1"/>
    <xf numFmtId="169" fontId="3" fillId="2" borderId="2" xfId="0" applyFont="1" applyFill="1" applyBorder="1"/>
    <xf numFmtId="169" fontId="13" fillId="3" borderId="32" xfId="0" applyFont="1" applyFill="1" applyBorder="1" applyAlignment="1">
      <alignment horizontal="center"/>
    </xf>
    <xf numFmtId="169" fontId="13" fillId="3" borderId="4" xfId="0" applyFont="1" applyFill="1" applyBorder="1" applyAlignment="1">
      <alignment horizontal="center"/>
    </xf>
    <xf numFmtId="169" fontId="0" fillId="0" borderId="0" xfId="0" applyNumberFormat="1" applyFill="1" applyBorder="1"/>
    <xf numFmtId="9" fontId="0" fillId="0" borderId="0" xfId="3" applyFont="1" applyFill="1" applyBorder="1"/>
    <xf numFmtId="169" fontId="13" fillId="0" borderId="0" xfId="0" applyFont="1" applyFill="1" applyBorder="1" applyAlignment="1">
      <alignment horizontal="center"/>
    </xf>
    <xf numFmtId="9" fontId="0" fillId="0" borderId="0" xfId="0" applyNumberFormat="1" applyFill="1" applyBorder="1"/>
    <xf numFmtId="169" fontId="0" fillId="2" borderId="1" xfId="0" applyFill="1" applyBorder="1"/>
    <xf numFmtId="169" fontId="0" fillId="2" borderId="2" xfId="0" applyFill="1" applyBorder="1"/>
    <xf numFmtId="169" fontId="0" fillId="3" borderId="2" xfId="0" applyFill="1" applyBorder="1"/>
    <xf numFmtId="169" fontId="14" fillId="3" borderId="1" xfId="4" applyFont="1" applyFill="1" applyBorder="1"/>
    <xf numFmtId="169" fontId="14" fillId="3" borderId="1" xfId="5" applyFont="1" applyFill="1" applyBorder="1"/>
    <xf numFmtId="169" fontId="14" fillId="3" borderId="1" xfId="6" applyFont="1" applyFill="1" applyBorder="1"/>
    <xf numFmtId="169" fontId="14" fillId="3" borderId="1" xfId="7" applyFont="1" applyFill="1" applyBorder="1"/>
    <xf numFmtId="169" fontId="15" fillId="3" borderId="1" xfId="8" applyFont="1" applyFill="1" applyBorder="1"/>
    <xf numFmtId="169" fontId="14" fillId="3" borderId="1" xfId="9" applyFont="1" applyFill="1" applyBorder="1"/>
    <xf numFmtId="169" fontId="14" fillId="3" borderId="1" xfId="10" applyFont="1" applyFill="1" applyBorder="1"/>
    <xf numFmtId="169" fontId="14" fillId="3" borderId="1" xfId="11" applyFont="1" applyFill="1" applyBorder="1"/>
    <xf numFmtId="169" fontId="14" fillId="3" borderId="1" xfId="12" applyFont="1" applyFill="1" applyBorder="1"/>
    <xf numFmtId="169" fontId="14" fillId="3" borderId="1" xfId="13" applyFont="1" applyFill="1" applyBorder="1"/>
    <xf numFmtId="169" fontId="14" fillId="3" borderId="1" xfId="14" applyFont="1" applyFill="1" applyBorder="1"/>
    <xf numFmtId="169" fontId="14" fillId="3" borderId="1" xfId="15" applyFont="1" applyFill="1" applyBorder="1"/>
    <xf numFmtId="169" fontId="14" fillId="3" borderId="1" xfId="16" applyFont="1" applyFill="1" applyBorder="1"/>
    <xf numFmtId="169" fontId="14" fillId="3" borderId="1" xfId="17" applyFont="1" applyFill="1" applyBorder="1"/>
    <xf numFmtId="169" fontId="16" fillId="3" borderId="1" xfId="17" applyFont="1" applyFill="1" applyBorder="1"/>
    <xf numFmtId="169" fontId="2" fillId="3" borderId="2" xfId="0" applyFont="1" applyFill="1" applyBorder="1"/>
    <xf numFmtId="169" fontId="11" fillId="3" borderId="2" xfId="0" applyFont="1" applyFill="1" applyBorder="1"/>
    <xf numFmtId="169" fontId="3" fillId="2" borderId="2" xfId="0" applyFont="1" applyFill="1" applyBorder="1" applyAlignment="1">
      <alignment horizontal="center"/>
    </xf>
    <xf numFmtId="169" fontId="17" fillId="3" borderId="1" xfId="0" applyFont="1" applyFill="1" applyBorder="1"/>
    <xf numFmtId="169" fontId="17" fillId="3" borderId="1" xfId="0" applyNumberFormat="1" applyFont="1" applyFill="1" applyBorder="1"/>
    <xf numFmtId="169" fontId="0" fillId="3" borderId="1" xfId="0" applyNumberFormat="1" applyFont="1" applyFill="1" applyBorder="1"/>
    <xf numFmtId="169" fontId="0" fillId="3" borderId="1" xfId="0" applyNumberFormat="1" applyFill="1" applyBorder="1"/>
    <xf numFmtId="169" fontId="3" fillId="3" borderId="1" xfId="0" applyNumberFormat="1" applyFont="1" applyFill="1" applyBorder="1"/>
    <xf numFmtId="169" fontId="3" fillId="0" borderId="0" xfId="0" applyFont="1" applyBorder="1" applyAlignment="1">
      <alignment horizontal="center"/>
    </xf>
    <xf numFmtId="167" fontId="0" fillId="0" borderId="0" xfId="1" applyNumberFormat="1" applyFont="1" applyBorder="1"/>
    <xf numFmtId="169" fontId="3" fillId="0" borderId="0" xfId="0" applyFont="1" applyBorder="1"/>
    <xf numFmtId="167" fontId="3" fillId="0" borderId="0" xfId="1" applyNumberFormat="1" applyFont="1" applyBorder="1"/>
    <xf numFmtId="169" fontId="13" fillId="3" borderId="32" xfId="0" applyNumberFormat="1" applyFont="1" applyFill="1" applyBorder="1" applyAlignment="1">
      <alignment horizontal="center"/>
    </xf>
    <xf numFmtId="167" fontId="0" fillId="0" borderId="0" xfId="0" applyNumberFormat="1" applyBorder="1"/>
    <xf numFmtId="169" fontId="0" fillId="0" borderId="0" xfId="0" applyAlignment="1">
      <alignment horizontal="center"/>
    </xf>
    <xf numFmtId="9" fontId="0" fillId="0" borderId="0" xfId="3" applyFont="1" applyBorder="1"/>
    <xf numFmtId="169" fontId="0" fillId="3" borderId="1" xfId="0" applyFill="1" applyBorder="1" applyAlignment="1">
      <alignment horizontal="left"/>
    </xf>
    <xf numFmtId="169" fontId="18" fillId="3" borderId="1" xfId="0" applyFont="1" applyFill="1" applyBorder="1"/>
    <xf numFmtId="169" fontId="18" fillId="3" borderId="1" xfId="0" applyNumberFormat="1" applyFont="1" applyFill="1" applyBorder="1"/>
    <xf numFmtId="169" fontId="0" fillId="3" borderId="1" xfId="0" applyFont="1" applyFill="1" applyBorder="1"/>
    <xf numFmtId="9" fontId="3" fillId="3" borderId="1" xfId="0" applyNumberFormat="1" applyFont="1" applyFill="1" applyBorder="1"/>
    <xf numFmtId="167" fontId="0" fillId="3" borderId="1" xfId="1" applyNumberFormat="1" applyFont="1" applyFill="1" applyBorder="1"/>
    <xf numFmtId="167" fontId="0" fillId="3" borderId="1" xfId="0" applyNumberFormat="1" applyFill="1" applyBorder="1"/>
    <xf numFmtId="167" fontId="3" fillId="3" borderId="1" xfId="1" applyNumberFormat="1" applyFont="1" applyFill="1" applyBorder="1"/>
    <xf numFmtId="164" fontId="0" fillId="3" borderId="1" xfId="0" applyNumberFormat="1" applyFill="1" applyBorder="1"/>
    <xf numFmtId="9" fontId="0" fillId="3" borderId="1" xfId="0" applyNumberFormat="1" applyFill="1" applyBorder="1"/>
    <xf numFmtId="9" fontId="0" fillId="3" borderId="1" xfId="0" applyNumberFormat="1" applyFont="1" applyFill="1" applyBorder="1"/>
    <xf numFmtId="169" fontId="19" fillId="0" borderId="0" xfId="0" applyFont="1" applyFill="1" applyBorder="1" applyAlignment="1">
      <alignment horizontal="center"/>
    </xf>
    <xf numFmtId="2" fontId="3" fillId="3" borderId="1" xfId="0" applyNumberFormat="1" applyFont="1" applyFill="1" applyBorder="1"/>
    <xf numFmtId="2" fontId="0" fillId="3" borderId="1" xfId="0" applyNumberFormat="1" applyFill="1" applyBorder="1"/>
    <xf numFmtId="9" fontId="0" fillId="0" borderId="0" xfId="0" applyNumberFormat="1"/>
    <xf numFmtId="164" fontId="0" fillId="0" borderId="0" xfId="0" applyNumberFormat="1"/>
    <xf numFmtId="167" fontId="0" fillId="0" borderId="0" xfId="1" applyNumberFormat="1" applyFont="1" applyFill="1" applyBorder="1"/>
    <xf numFmtId="167" fontId="0" fillId="0" borderId="0" xfId="0" applyNumberFormat="1" applyFill="1" applyBorder="1"/>
    <xf numFmtId="167" fontId="3" fillId="0" borderId="0" xfId="1" applyNumberFormat="1" applyFont="1" applyFill="1" applyBorder="1"/>
    <xf numFmtId="169" fontId="3" fillId="0" borderId="0" xfId="0" applyFont="1" applyFill="1" applyBorder="1" applyAlignment="1"/>
    <xf numFmtId="169" fontId="3" fillId="3" borderId="2" xfId="0" applyFont="1" applyFill="1" applyBorder="1"/>
    <xf numFmtId="169" fontId="3" fillId="0" borderId="0" xfId="1" applyNumberFormat="1" applyFont="1" applyFill="1" applyBorder="1"/>
    <xf numFmtId="169" fontId="3" fillId="0" borderId="0" xfId="0" applyNumberFormat="1" applyFont="1" applyFill="1" applyBorder="1"/>
    <xf numFmtId="169" fontId="0" fillId="0" borderId="0" xfId="0" applyNumberFormat="1" applyFill="1" applyBorder="1"/>
    <xf numFmtId="169" fontId="0" fillId="0" borderId="0" xfId="0" applyNumberFormat="1" applyFont="1" applyFill="1" applyBorder="1"/>
    <xf numFmtId="9" fontId="3" fillId="2" borderId="1" xfId="0" applyNumberFormat="1" applyFont="1" applyFill="1" applyBorder="1"/>
    <xf numFmtId="169" fontId="3" fillId="3" borderId="2" xfId="0" applyNumberFormat="1" applyFont="1" applyFill="1" applyBorder="1"/>
    <xf numFmtId="169" fontId="0" fillId="3" borderId="1" xfId="3" applyNumberFormat="1" applyFont="1" applyFill="1" applyBorder="1"/>
    <xf numFmtId="169" fontId="0" fillId="3" borderId="1" xfId="0" applyNumberFormat="1" applyFill="1" applyBorder="1"/>
    <xf numFmtId="169" fontId="0" fillId="3" borderId="1" xfId="1" applyNumberFormat="1" applyFont="1" applyFill="1" applyBorder="1"/>
    <xf numFmtId="169" fontId="3" fillId="3" borderId="1" xfId="0" applyNumberFormat="1" applyFont="1" applyFill="1" applyBorder="1"/>
    <xf numFmtId="168" fontId="9" fillId="2" borderId="1" xfId="1" applyNumberFormat="1" applyFont="1" applyFill="1" applyBorder="1" applyAlignment="1">
      <alignment horizontal="right"/>
    </xf>
    <xf numFmtId="169" fontId="0" fillId="0" borderId="1" xfId="0" applyBorder="1"/>
    <xf numFmtId="1" fontId="2" fillId="3" borderId="1" xfId="0" applyNumberFormat="1" applyFont="1" applyFill="1" applyBorder="1"/>
    <xf numFmtId="9" fontId="3" fillId="2" borderId="2" xfId="0" applyNumberFormat="1" applyFont="1" applyFill="1" applyBorder="1"/>
    <xf numFmtId="169" fontId="9" fillId="2" borderId="1" xfId="1" applyNumberFormat="1" applyFont="1" applyFill="1" applyBorder="1" applyAlignment="1">
      <alignment horizontal="right"/>
    </xf>
    <xf numFmtId="1" fontId="0" fillId="3" borderId="1" xfId="0" applyNumberFormat="1" applyFill="1" applyBorder="1"/>
    <xf numFmtId="169" fontId="3" fillId="3" borderId="1" xfId="1" applyNumberFormat="1" applyFont="1" applyFill="1" applyBorder="1"/>
    <xf numFmtId="169" fontId="0" fillId="3" borderId="1" xfId="0" applyNumberFormat="1" applyFont="1" applyFill="1" applyBorder="1"/>
    <xf numFmtId="169" fontId="8" fillId="0" borderId="0" xfId="0" applyNumberFormat="1" applyFont="1" applyFill="1" applyBorder="1"/>
    <xf numFmtId="2" fontId="3" fillId="3" borderId="2" xfId="0" applyNumberFormat="1" applyFont="1" applyFill="1" applyBorder="1"/>
    <xf numFmtId="2" fontId="0" fillId="3" borderId="2" xfId="0" applyNumberFormat="1" applyFill="1" applyBorder="1"/>
    <xf numFmtId="2" fontId="3" fillId="0" borderId="0" xfId="0" applyNumberFormat="1" applyFont="1" applyFill="1" applyBorder="1"/>
    <xf numFmtId="2" fontId="0" fillId="0" borderId="0" xfId="0" applyNumberFormat="1" applyFill="1" applyBorder="1"/>
    <xf numFmtId="169" fontId="3" fillId="2" borderId="1" xfId="0" applyFont="1" applyFill="1" applyBorder="1" applyAlignment="1"/>
    <xf numFmtId="169" fontId="0" fillId="0" borderId="0" xfId="0" applyNumberFormat="1" applyFill="1" applyBorder="1"/>
    <xf numFmtId="169" fontId="7" fillId="3" borderId="4" xfId="0" applyNumberFormat="1" applyFont="1" applyFill="1" applyBorder="1"/>
    <xf numFmtId="169" fontId="7" fillId="3" borderId="1" xfId="0" applyNumberFormat="1" applyFont="1" applyFill="1" applyBorder="1"/>
    <xf numFmtId="2" fontId="0" fillId="0" borderId="0" xfId="0" applyNumberFormat="1"/>
    <xf numFmtId="9" fontId="2" fillId="3" borderId="1" xfId="0" applyNumberFormat="1" applyFont="1" applyFill="1" applyBorder="1"/>
    <xf numFmtId="169" fontId="8" fillId="2" borderId="33" xfId="0" applyFont="1" applyFill="1" applyBorder="1" applyAlignment="1">
      <alignment horizontal="center"/>
    </xf>
    <xf numFmtId="169" fontId="3" fillId="2" borderId="1" xfId="0" applyFont="1" applyFill="1" applyBorder="1" applyAlignment="1">
      <alignment horizontal="center"/>
    </xf>
    <xf numFmtId="169" fontId="20" fillId="3" borderId="1" xfId="0" applyFont="1" applyFill="1" applyBorder="1"/>
    <xf numFmtId="169" fontId="0" fillId="0" borderId="0" xfId="0" applyAlignment="1"/>
    <xf numFmtId="169" fontId="0" fillId="3" borderId="1" xfId="1" applyNumberFormat="1" applyFont="1" applyFill="1" applyBorder="1" applyAlignment="1"/>
    <xf numFmtId="169" fontId="0" fillId="3" borderId="1" xfId="0" applyNumberFormat="1" applyFill="1" applyBorder="1" applyAlignment="1"/>
    <xf numFmtId="169" fontId="6" fillId="3" borderId="1" xfId="0" applyNumberFormat="1" applyFont="1" applyFill="1" applyBorder="1"/>
    <xf numFmtId="168" fontId="3" fillId="2" borderId="1" xfId="1" applyNumberFormat="1" applyFont="1" applyFill="1" applyBorder="1"/>
    <xf numFmtId="168" fontId="3" fillId="2" borderId="4" xfId="1" applyNumberFormat="1" applyFont="1" applyFill="1" applyBorder="1"/>
    <xf numFmtId="168" fontId="0" fillId="3" borderId="1" xfId="1" applyNumberFormat="1" applyFont="1" applyFill="1" applyBorder="1"/>
    <xf numFmtId="168" fontId="0" fillId="3" borderId="4" xfId="1" applyNumberFormat="1" applyFont="1" applyFill="1" applyBorder="1"/>
    <xf numFmtId="168" fontId="3" fillId="2" borderId="2" xfId="1" applyNumberFormat="1" applyFont="1" applyFill="1" applyBorder="1"/>
    <xf numFmtId="170" fontId="0" fillId="3" borderId="1" xfId="0" applyNumberFormat="1" applyFill="1" applyBorder="1"/>
    <xf numFmtId="170" fontId="3" fillId="3" borderId="1" xfId="0" applyNumberFormat="1" applyFont="1" applyFill="1" applyBorder="1"/>
    <xf numFmtId="169" fontId="21" fillId="2" borderId="4" xfId="0" applyFont="1" applyFill="1" applyBorder="1"/>
    <xf numFmtId="169" fontId="22" fillId="2" borderId="4" xfId="0" applyFont="1" applyFill="1" applyBorder="1" applyAlignment="1">
      <alignment horizontal="center"/>
    </xf>
    <xf numFmtId="169" fontId="22" fillId="3" borderId="4" xfId="0" applyFont="1" applyFill="1" applyBorder="1" applyAlignment="1">
      <alignment horizontal="center"/>
    </xf>
    <xf numFmtId="169" fontId="22" fillId="3" borderId="4" xfId="0" applyFont="1" applyFill="1" applyBorder="1"/>
    <xf numFmtId="169" fontId="22" fillId="3" borderId="4" xfId="1" applyNumberFormat="1" applyFont="1" applyFill="1" applyBorder="1"/>
    <xf numFmtId="169" fontId="21" fillId="3" borderId="1" xfId="1" applyNumberFormat="1" applyFont="1" applyFill="1" applyBorder="1"/>
    <xf numFmtId="169" fontId="22" fillId="3" borderId="1" xfId="1" applyNumberFormat="1" applyFont="1" applyFill="1" applyBorder="1"/>
    <xf numFmtId="169" fontId="22" fillId="3" borderId="1" xfId="0" applyFont="1" applyFill="1" applyBorder="1"/>
    <xf numFmtId="169" fontId="21" fillId="3" borderId="1" xfId="0" applyFont="1" applyFill="1" applyBorder="1"/>
    <xf numFmtId="169" fontId="22" fillId="3" borderId="1" xfId="0" applyFont="1" applyFill="1" applyBorder="1" applyAlignment="1">
      <alignment horizontal="center"/>
    </xf>
    <xf numFmtId="169" fontId="23" fillId="3" borderId="1" xfId="0" applyFont="1" applyFill="1" applyBorder="1" applyAlignment="1">
      <alignment horizontal="center"/>
    </xf>
    <xf numFmtId="169" fontId="24" fillId="3" borderId="1" xfId="0" applyFont="1" applyFill="1" applyBorder="1"/>
    <xf numFmtId="169" fontId="24" fillId="3" borderId="1" xfId="1" applyNumberFormat="1" applyFont="1" applyFill="1" applyBorder="1"/>
    <xf numFmtId="169" fontId="23" fillId="3" borderId="1" xfId="1" applyNumberFormat="1" applyFont="1" applyFill="1" applyBorder="1"/>
    <xf numFmtId="169" fontId="3" fillId="2" borderId="26" xfId="0" applyFont="1" applyFill="1" applyBorder="1" applyAlignment="1">
      <alignment horizontal="center"/>
    </xf>
    <xf numFmtId="169" fontId="3" fillId="2" borderId="27" xfId="0" applyFont="1" applyFill="1" applyBorder="1" applyAlignment="1">
      <alignment horizontal="center"/>
    </xf>
    <xf numFmtId="169" fontId="3" fillId="2" borderId="28" xfId="0" applyFont="1" applyFill="1" applyBorder="1" applyAlignment="1">
      <alignment horizontal="center"/>
    </xf>
    <xf numFmtId="169" fontId="3" fillId="2" borderId="13" xfId="0" applyFont="1" applyFill="1" applyBorder="1" applyAlignment="1">
      <alignment horizontal="center"/>
    </xf>
    <xf numFmtId="169" fontId="3" fillId="2" borderId="14" xfId="0" applyFont="1" applyFill="1" applyBorder="1" applyAlignment="1">
      <alignment horizontal="center"/>
    </xf>
    <xf numFmtId="169" fontId="3" fillId="2" borderId="15" xfId="0" applyFont="1" applyFill="1" applyBorder="1" applyAlignment="1">
      <alignment horizontal="center"/>
    </xf>
    <xf numFmtId="169" fontId="9" fillId="2" borderId="16" xfId="0" applyFont="1" applyFill="1" applyBorder="1" applyAlignment="1">
      <alignment horizontal="center"/>
    </xf>
    <xf numFmtId="169" fontId="9" fillId="2" borderId="17" xfId="0" applyFont="1" applyFill="1" applyBorder="1" applyAlignment="1">
      <alignment horizontal="center"/>
    </xf>
    <xf numFmtId="169" fontId="9" fillId="2" borderId="18" xfId="0" applyFont="1" applyFill="1" applyBorder="1" applyAlignment="1">
      <alignment horizontal="center"/>
    </xf>
    <xf numFmtId="169" fontId="9" fillId="2" borderId="19" xfId="0" applyFont="1" applyFill="1" applyBorder="1" applyAlignment="1">
      <alignment horizontal="center"/>
    </xf>
    <xf numFmtId="169" fontId="9" fillId="2" borderId="20" xfId="0" applyFont="1" applyFill="1" applyBorder="1" applyAlignment="1">
      <alignment horizontal="center"/>
    </xf>
    <xf numFmtId="169" fontId="9" fillId="2" borderId="21" xfId="0" applyFont="1" applyFill="1" applyBorder="1" applyAlignment="1">
      <alignment horizontal="center"/>
    </xf>
    <xf numFmtId="169" fontId="3" fillId="2" borderId="2" xfId="0" applyFont="1" applyFill="1" applyBorder="1" applyAlignment="1">
      <alignment horizontal="center"/>
    </xf>
    <xf numFmtId="169" fontId="3" fillId="2" borderId="3" xfId="0" applyFont="1" applyFill="1" applyBorder="1" applyAlignment="1">
      <alignment horizontal="center"/>
    </xf>
    <xf numFmtId="169" fontId="6" fillId="3" borderId="2" xfId="0" applyFont="1" applyFill="1" applyBorder="1" applyAlignment="1">
      <alignment horizontal="center"/>
    </xf>
    <xf numFmtId="169" fontId="6" fillId="3" borderId="22" xfId="0" applyFont="1" applyFill="1" applyBorder="1" applyAlignment="1">
      <alignment horizontal="center"/>
    </xf>
    <xf numFmtId="169" fontId="6" fillId="3" borderId="3" xfId="0" applyFont="1" applyFill="1" applyBorder="1" applyAlignment="1">
      <alignment horizontal="center"/>
    </xf>
    <xf numFmtId="169" fontId="3" fillId="0" borderId="0" xfId="0" applyFont="1" applyBorder="1" applyAlignment="1">
      <alignment horizontal="center"/>
    </xf>
    <xf numFmtId="169" fontId="3" fillId="2" borderId="16" xfId="0" applyFont="1" applyFill="1" applyBorder="1" applyAlignment="1">
      <alignment horizontal="center"/>
    </xf>
    <xf numFmtId="169" fontId="3" fillId="2" borderId="17" xfId="0" applyFont="1" applyFill="1" applyBorder="1" applyAlignment="1">
      <alignment horizontal="center"/>
    </xf>
    <xf numFmtId="169" fontId="3" fillId="2" borderId="18" xfId="0" applyFont="1" applyFill="1" applyBorder="1" applyAlignment="1">
      <alignment horizontal="center"/>
    </xf>
    <xf numFmtId="169" fontId="3" fillId="2" borderId="19" xfId="0" applyFont="1" applyFill="1" applyBorder="1" applyAlignment="1">
      <alignment horizontal="center"/>
    </xf>
    <xf numFmtId="169" fontId="3" fillId="2" borderId="20" xfId="0" applyFont="1" applyFill="1" applyBorder="1" applyAlignment="1">
      <alignment horizontal="center"/>
    </xf>
    <xf numFmtId="169" fontId="3" fillId="2" borderId="21" xfId="0" applyFont="1" applyFill="1" applyBorder="1" applyAlignment="1">
      <alignment horizontal="center"/>
    </xf>
    <xf numFmtId="169" fontId="3" fillId="2" borderId="5" xfId="0" applyFont="1" applyFill="1" applyBorder="1" applyAlignment="1">
      <alignment horizontal="center"/>
    </xf>
    <xf numFmtId="169" fontId="3" fillId="2" borderId="6" xfId="0" applyFont="1" applyFill="1" applyBorder="1" applyAlignment="1">
      <alignment horizontal="center"/>
    </xf>
    <xf numFmtId="169" fontId="3" fillId="2" borderId="7" xfId="0" applyFont="1" applyFill="1" applyBorder="1" applyAlignment="1">
      <alignment horizontal="center"/>
    </xf>
    <xf numFmtId="169" fontId="3" fillId="2" borderId="8" xfId="0" applyFont="1" applyFill="1" applyBorder="1" applyAlignment="1">
      <alignment horizontal="center"/>
    </xf>
    <xf numFmtId="169" fontId="3" fillId="2" borderId="0" xfId="0" applyFont="1" applyFill="1" applyBorder="1" applyAlignment="1">
      <alignment horizontal="center"/>
    </xf>
    <xf numFmtId="169" fontId="3" fillId="2" borderId="9" xfId="0" applyFont="1" applyFill="1" applyBorder="1" applyAlignment="1">
      <alignment horizontal="center"/>
    </xf>
    <xf numFmtId="169" fontId="3" fillId="2" borderId="22" xfId="0" applyFont="1" applyFill="1" applyBorder="1" applyAlignment="1">
      <alignment horizontal="center"/>
    </xf>
    <xf numFmtId="169" fontId="3" fillId="2" borderId="1" xfId="0" applyFont="1" applyFill="1" applyBorder="1" applyAlignment="1">
      <alignment horizontal="center"/>
    </xf>
  </cellXfs>
  <cellStyles count="18">
    <cellStyle name="Millares" xfId="1" builtinId="3"/>
    <cellStyle name="Moneda" xfId="2" builtinId="4"/>
    <cellStyle name="Normal" xfId="0" builtinId="0"/>
    <cellStyle name="Normal 11" xfId="11"/>
    <cellStyle name="Normal 12" xfId="12"/>
    <cellStyle name="Normal 13" xfId="13"/>
    <cellStyle name="Normal 14" xfId="14"/>
    <cellStyle name="Normal 16" xfId="15"/>
    <cellStyle name="Normal 17" xfId="16"/>
    <cellStyle name="Normal 2" xfId="4"/>
    <cellStyle name="Normal 20" xfId="17"/>
    <cellStyle name="Normal 3" xfId="5"/>
    <cellStyle name="Normal 4" xfId="6"/>
    <cellStyle name="Normal 5" xfId="7"/>
    <cellStyle name="Normal 6" xfId="8"/>
    <cellStyle name="Normal 8" xfId="9"/>
    <cellStyle name="Normal 9" xfId="10"/>
    <cellStyle name="Porcentual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J123"/>
  <sheetViews>
    <sheetView topLeftCell="A97" workbookViewId="0">
      <selection activeCell="J119" sqref="J119"/>
    </sheetView>
  </sheetViews>
  <sheetFormatPr baseColWidth="10" defaultRowHeight="15"/>
  <cols>
    <col min="2" max="2" width="8.28515625" customWidth="1"/>
    <col min="3" max="3" width="10" customWidth="1"/>
    <col min="4" max="4" width="69.5703125" customWidth="1"/>
    <col min="5" max="5" width="18.85546875" customWidth="1"/>
    <col min="6" max="6" width="16.5703125" customWidth="1"/>
    <col min="7" max="7" width="22.42578125" customWidth="1"/>
    <col min="8" max="8" width="23.7109375" customWidth="1"/>
    <col min="9" max="9" width="12.28515625" bestFit="1" customWidth="1"/>
  </cols>
  <sheetData>
    <row r="3" spans="3:10" ht="15.75" thickBot="1"/>
    <row r="4" spans="3:10" ht="15.75">
      <c r="C4" s="10"/>
      <c r="D4" s="11" t="s">
        <v>13</v>
      </c>
      <c r="E4" s="12"/>
      <c r="F4" s="1"/>
    </row>
    <row r="5" spans="3:10">
      <c r="C5" s="13"/>
      <c r="D5" s="14"/>
      <c r="E5" s="15"/>
    </row>
    <row r="6" spans="3:10" ht="15.75" thickBot="1">
      <c r="C6" s="16"/>
      <c r="D6" s="17"/>
      <c r="E6" s="18"/>
    </row>
    <row r="7" spans="3:10">
      <c r="C7" s="23" t="s">
        <v>0</v>
      </c>
      <c r="D7" s="23" t="s">
        <v>1</v>
      </c>
      <c r="E7" s="23" t="s">
        <v>2</v>
      </c>
    </row>
    <row r="8" spans="3:10">
      <c r="C8" s="3"/>
      <c r="D8" s="3" t="s">
        <v>77</v>
      </c>
      <c r="E8" s="4">
        <v>750000</v>
      </c>
    </row>
    <row r="9" spans="3:10" ht="15" customHeight="1">
      <c r="C9" s="3">
        <v>1</v>
      </c>
      <c r="D9" s="5" t="s">
        <v>3</v>
      </c>
      <c r="E9" s="6">
        <v>20000</v>
      </c>
      <c r="J9" s="2"/>
    </row>
    <row r="10" spans="3:10">
      <c r="C10" s="3">
        <v>1</v>
      </c>
      <c r="D10" s="110" t="s">
        <v>4</v>
      </c>
      <c r="E10" s="8">
        <v>2900</v>
      </c>
    </row>
    <row r="11" spans="3:10">
      <c r="C11" s="3">
        <v>1</v>
      </c>
      <c r="D11" s="5" t="s">
        <v>5</v>
      </c>
      <c r="E11" s="8">
        <v>13300</v>
      </c>
    </row>
    <row r="12" spans="3:10">
      <c r="C12" s="3">
        <v>3</v>
      </c>
      <c r="D12" s="5" t="s">
        <v>6</v>
      </c>
      <c r="E12" s="8">
        <v>2340</v>
      </c>
    </row>
    <row r="13" spans="3:10">
      <c r="C13" s="3">
        <v>1</v>
      </c>
      <c r="D13" s="5" t="s">
        <v>7</v>
      </c>
      <c r="E13" s="9">
        <v>11150</v>
      </c>
    </row>
    <row r="14" spans="3:10">
      <c r="C14" s="3">
        <v>2</v>
      </c>
      <c r="D14" s="3" t="s">
        <v>171</v>
      </c>
      <c r="E14" s="9">
        <f>(480*2)</f>
        <v>960</v>
      </c>
    </row>
    <row r="15" spans="3:10">
      <c r="C15" s="3">
        <v>1</v>
      </c>
      <c r="D15" s="3" t="s">
        <v>8</v>
      </c>
      <c r="E15" s="4">
        <v>100000</v>
      </c>
    </row>
    <row r="16" spans="3:10">
      <c r="C16" s="3">
        <v>1</v>
      </c>
      <c r="D16" s="3" t="s">
        <v>9</v>
      </c>
      <c r="E16" s="4">
        <v>17000</v>
      </c>
    </row>
    <row r="17" spans="3:9">
      <c r="C17" s="3">
        <v>1</v>
      </c>
      <c r="D17" s="3" t="s">
        <v>10</v>
      </c>
      <c r="E17" s="4">
        <v>40000</v>
      </c>
    </row>
    <row r="18" spans="3:9">
      <c r="C18" s="3">
        <v>1</v>
      </c>
      <c r="D18" s="3" t="s">
        <v>11</v>
      </c>
      <c r="E18" s="4">
        <v>12000</v>
      </c>
    </row>
    <row r="19" spans="3:9">
      <c r="C19" s="3"/>
      <c r="D19" s="21" t="s">
        <v>12</v>
      </c>
      <c r="E19" s="22">
        <f>SUM(E8:E18)</f>
        <v>969650</v>
      </c>
      <c r="G19" s="66"/>
    </row>
    <row r="21" spans="3:9" ht="15.75" thickBot="1"/>
    <row r="22" spans="3:9" ht="15.75" thickBot="1">
      <c r="C22" s="191" t="s">
        <v>14</v>
      </c>
      <c r="D22" s="192"/>
      <c r="E22" s="192"/>
      <c r="F22" s="192"/>
      <c r="G22" s="192"/>
      <c r="H22" s="193"/>
    </row>
    <row r="23" spans="3:9">
      <c r="C23" s="24"/>
      <c r="D23" s="24"/>
      <c r="E23" s="25" t="s">
        <v>17</v>
      </c>
      <c r="F23" s="25" t="s">
        <v>46</v>
      </c>
      <c r="G23" s="25" t="s">
        <v>121</v>
      </c>
      <c r="H23" s="25" t="s">
        <v>102</v>
      </c>
    </row>
    <row r="24" spans="3:9">
      <c r="C24" s="23" t="s">
        <v>15</v>
      </c>
      <c r="D24" s="19" t="s">
        <v>16</v>
      </c>
      <c r="E24" s="27"/>
      <c r="F24" s="27">
        <f>SUM(E25:E40)</f>
        <v>13463.92</v>
      </c>
      <c r="G24" s="4"/>
      <c r="H24" s="28">
        <f>(F24*12)</f>
        <v>161567.04000000001</v>
      </c>
    </row>
    <row r="25" spans="3:9">
      <c r="C25" s="20"/>
      <c r="D25" s="3" t="s">
        <v>18</v>
      </c>
      <c r="E25" s="4">
        <v>2353.5500000000002</v>
      </c>
      <c r="F25" s="4"/>
      <c r="G25" s="4">
        <f>(E25*12)</f>
        <v>28242.600000000002</v>
      </c>
      <c r="H25" s="4"/>
      <c r="I25" s="66"/>
    </row>
    <row r="26" spans="3:9">
      <c r="C26" s="20"/>
      <c r="D26" s="3" t="s">
        <v>19</v>
      </c>
      <c r="E26" s="4">
        <v>957.45</v>
      </c>
      <c r="F26" s="4"/>
      <c r="G26" s="4">
        <f t="shared" ref="G26:G40" si="0">(E26*12)</f>
        <v>11489.400000000001</v>
      </c>
      <c r="H26" s="4"/>
    </row>
    <row r="27" spans="3:9">
      <c r="C27" s="20"/>
      <c r="D27" s="3" t="s">
        <v>20</v>
      </c>
      <c r="E27" s="4">
        <v>1311.55</v>
      </c>
      <c r="F27" s="4"/>
      <c r="G27" s="4">
        <f t="shared" si="0"/>
        <v>15738.599999999999</v>
      </c>
      <c r="H27" s="4"/>
    </row>
    <row r="28" spans="3:9">
      <c r="C28" s="20"/>
      <c r="D28" s="3" t="s">
        <v>21</v>
      </c>
      <c r="E28" s="4">
        <v>675.16</v>
      </c>
      <c r="F28" s="4"/>
      <c r="G28" s="4">
        <f t="shared" si="0"/>
        <v>8101.92</v>
      </c>
      <c r="H28" s="4"/>
    </row>
    <row r="29" spans="3:9">
      <c r="C29" s="20"/>
      <c r="D29" s="3" t="s">
        <v>22</v>
      </c>
      <c r="E29" s="4">
        <v>145.36000000000001</v>
      </c>
      <c r="F29" s="4"/>
      <c r="G29" s="4">
        <f t="shared" si="0"/>
        <v>1744.3200000000002</v>
      </c>
      <c r="H29" s="4"/>
    </row>
    <row r="30" spans="3:9">
      <c r="C30" s="20"/>
      <c r="D30" s="3" t="s">
        <v>23</v>
      </c>
      <c r="E30" s="4">
        <v>109</v>
      </c>
      <c r="F30" s="4"/>
      <c r="G30" s="4">
        <f t="shared" si="0"/>
        <v>1308</v>
      </c>
      <c r="H30" s="4"/>
    </row>
    <row r="31" spans="3:9">
      <c r="C31" s="20"/>
      <c r="D31" s="3" t="s">
        <v>24</v>
      </c>
      <c r="E31" s="4">
        <v>106.89</v>
      </c>
      <c r="F31" s="4"/>
      <c r="G31" s="4">
        <f t="shared" si="0"/>
        <v>1282.68</v>
      </c>
      <c r="H31" s="4"/>
    </row>
    <row r="32" spans="3:9">
      <c r="C32" s="20"/>
      <c r="D32" s="3" t="s">
        <v>25</v>
      </c>
      <c r="E32" s="4">
        <v>1100</v>
      </c>
      <c r="F32" s="4"/>
      <c r="G32" s="4">
        <f t="shared" si="0"/>
        <v>13200</v>
      </c>
      <c r="H32" s="4"/>
    </row>
    <row r="33" spans="3:9">
      <c r="C33" s="20"/>
      <c r="D33" s="3" t="s">
        <v>26</v>
      </c>
      <c r="E33" s="4">
        <v>23.34</v>
      </c>
      <c r="F33" s="4"/>
      <c r="G33" s="4">
        <f t="shared" si="0"/>
        <v>280.08</v>
      </c>
      <c r="H33" s="4"/>
    </row>
    <row r="34" spans="3:9">
      <c r="C34" s="20"/>
      <c r="D34" s="3" t="s">
        <v>27</v>
      </c>
      <c r="E34" s="4">
        <v>15</v>
      </c>
      <c r="F34" s="4"/>
      <c r="G34" s="4">
        <f t="shared" si="0"/>
        <v>180</v>
      </c>
      <c r="H34" s="4"/>
    </row>
    <row r="35" spans="3:9">
      <c r="C35" s="20"/>
      <c r="D35" s="3" t="s">
        <v>28</v>
      </c>
      <c r="E35" s="4">
        <v>110</v>
      </c>
      <c r="F35" s="4"/>
      <c r="G35" s="4">
        <f t="shared" si="0"/>
        <v>1320</v>
      </c>
      <c r="H35" s="4"/>
    </row>
    <row r="36" spans="3:9">
      <c r="C36" s="20"/>
      <c r="D36" s="3" t="s">
        <v>29</v>
      </c>
      <c r="E36" s="4">
        <v>2954.82</v>
      </c>
      <c r="F36" s="4"/>
      <c r="G36" s="4">
        <f t="shared" si="0"/>
        <v>35457.840000000004</v>
      </c>
      <c r="H36" s="4"/>
    </row>
    <row r="37" spans="3:9">
      <c r="C37" s="20"/>
      <c r="D37" s="3" t="s">
        <v>30</v>
      </c>
      <c r="E37" s="4">
        <v>2046.98</v>
      </c>
      <c r="F37" s="4"/>
      <c r="G37" s="4">
        <f t="shared" si="0"/>
        <v>24563.760000000002</v>
      </c>
      <c r="H37" s="4"/>
    </row>
    <row r="38" spans="3:9">
      <c r="C38" s="20"/>
      <c r="D38" s="3" t="s">
        <v>31</v>
      </c>
      <c r="E38" s="4">
        <v>878.58</v>
      </c>
      <c r="F38" s="4"/>
      <c r="G38" s="4">
        <f t="shared" si="0"/>
        <v>10542.960000000001</v>
      </c>
      <c r="H38" s="4"/>
    </row>
    <row r="39" spans="3:9">
      <c r="C39" s="20"/>
      <c r="D39" s="3" t="s">
        <v>32</v>
      </c>
      <c r="E39" s="4">
        <v>656.64</v>
      </c>
      <c r="F39" s="4"/>
      <c r="G39" s="4">
        <f t="shared" si="0"/>
        <v>7879.68</v>
      </c>
      <c r="H39" s="4"/>
      <c r="I39" s="66"/>
    </row>
    <row r="40" spans="3:9">
      <c r="C40" s="20"/>
      <c r="D40" s="3" t="s">
        <v>33</v>
      </c>
      <c r="E40" s="4">
        <v>19.600000000000001</v>
      </c>
      <c r="F40" s="4"/>
      <c r="G40" s="4">
        <f t="shared" si="0"/>
        <v>235.20000000000002</v>
      </c>
      <c r="H40" s="4"/>
      <c r="I40" s="66"/>
    </row>
    <row r="41" spans="3:9">
      <c r="C41" s="26" t="s">
        <v>34</v>
      </c>
      <c r="D41" s="20" t="s">
        <v>35</v>
      </c>
      <c r="E41" s="28"/>
      <c r="F41" s="28">
        <f>SUM(E42:E51)</f>
        <v>1109.6299999999999</v>
      </c>
      <c r="G41" s="4"/>
      <c r="H41" s="28">
        <f>(F41*12)</f>
        <v>13315.559999999998</v>
      </c>
    </row>
    <row r="42" spans="3:9">
      <c r="C42" s="20"/>
      <c r="D42" s="3" t="s">
        <v>36</v>
      </c>
      <c r="E42" s="4">
        <v>45.5</v>
      </c>
      <c r="F42" s="4"/>
      <c r="G42" s="4">
        <f>(E42*12)</f>
        <v>546</v>
      </c>
      <c r="H42" s="4"/>
    </row>
    <row r="43" spans="3:9">
      <c r="C43" s="20"/>
      <c r="D43" s="3" t="s">
        <v>37</v>
      </c>
      <c r="E43" s="4">
        <v>13.77</v>
      </c>
      <c r="F43" s="4"/>
      <c r="G43" s="4">
        <f t="shared" ref="G43:G51" si="1">(E43*12)</f>
        <v>165.24</v>
      </c>
      <c r="H43" s="4"/>
    </row>
    <row r="44" spans="3:9">
      <c r="C44" s="20"/>
      <c r="D44" s="3" t="s">
        <v>38</v>
      </c>
      <c r="E44" s="4">
        <v>66.27</v>
      </c>
      <c r="F44" s="4"/>
      <c r="G44" s="4">
        <f t="shared" si="1"/>
        <v>795.24</v>
      </c>
      <c r="H44" s="4"/>
    </row>
    <row r="45" spans="3:9">
      <c r="C45" s="20"/>
      <c r="D45" s="3" t="s">
        <v>39</v>
      </c>
      <c r="E45" s="4">
        <v>60</v>
      </c>
      <c r="F45" s="4"/>
      <c r="G45" s="4">
        <f t="shared" si="1"/>
        <v>720</v>
      </c>
      <c r="H45" s="4"/>
    </row>
    <row r="46" spans="3:9">
      <c r="C46" s="20"/>
      <c r="D46" s="3" t="s">
        <v>40</v>
      </c>
      <c r="E46" s="4">
        <v>6.59</v>
      </c>
      <c r="F46" s="4"/>
      <c r="G46" s="4">
        <f t="shared" si="1"/>
        <v>79.08</v>
      </c>
      <c r="H46" s="4"/>
    </row>
    <row r="47" spans="3:9">
      <c r="C47" s="20"/>
      <c r="D47" s="3" t="s">
        <v>41</v>
      </c>
      <c r="E47" s="4">
        <v>207.73</v>
      </c>
      <c r="F47" s="4"/>
      <c r="G47" s="4">
        <f t="shared" si="1"/>
        <v>2492.7599999999998</v>
      </c>
      <c r="H47" s="4"/>
    </row>
    <row r="48" spans="3:9">
      <c r="C48" s="20"/>
      <c r="D48" s="3" t="s">
        <v>42</v>
      </c>
      <c r="E48" s="4">
        <v>623.36</v>
      </c>
      <c r="F48" s="4"/>
      <c r="G48" s="4">
        <f t="shared" si="1"/>
        <v>7480.32</v>
      </c>
      <c r="H48" s="4"/>
    </row>
    <row r="49" spans="3:8">
      <c r="C49" s="20"/>
      <c r="D49" s="3" t="s">
        <v>43</v>
      </c>
      <c r="E49" s="4">
        <v>9.84</v>
      </c>
      <c r="F49" s="4"/>
      <c r="G49" s="4">
        <f t="shared" si="1"/>
        <v>118.08</v>
      </c>
      <c r="H49" s="4"/>
    </row>
    <row r="50" spans="3:8">
      <c r="C50" s="20"/>
      <c r="D50" s="3" t="s">
        <v>44</v>
      </c>
      <c r="E50" s="4">
        <v>0.98</v>
      </c>
      <c r="F50" s="4"/>
      <c r="G50" s="4">
        <f t="shared" si="1"/>
        <v>11.76</v>
      </c>
      <c r="H50" s="4"/>
    </row>
    <row r="51" spans="3:8">
      <c r="C51" s="20"/>
      <c r="D51" s="3" t="s">
        <v>45</v>
      </c>
      <c r="E51" s="4">
        <v>75.59</v>
      </c>
      <c r="F51" s="4"/>
      <c r="G51" s="4">
        <f t="shared" si="1"/>
        <v>907.08</v>
      </c>
      <c r="H51" s="4"/>
    </row>
    <row r="52" spans="3:8">
      <c r="C52" s="26" t="s">
        <v>47</v>
      </c>
      <c r="D52" s="20" t="s">
        <v>48</v>
      </c>
      <c r="E52" s="28"/>
      <c r="F52" s="28">
        <f>SUM(E53:E61)</f>
        <v>382.69000000000005</v>
      </c>
      <c r="G52" s="4"/>
      <c r="H52" s="28">
        <f>(F52*12)</f>
        <v>4592.2800000000007</v>
      </c>
    </row>
    <row r="53" spans="3:8">
      <c r="C53" s="20"/>
      <c r="D53" s="3" t="s">
        <v>49</v>
      </c>
      <c r="E53" s="4">
        <v>10.53</v>
      </c>
      <c r="F53" s="4"/>
      <c r="G53" s="4">
        <f>(E53*12)</f>
        <v>126.35999999999999</v>
      </c>
      <c r="H53" s="4"/>
    </row>
    <row r="54" spans="3:8">
      <c r="C54" s="20"/>
      <c r="D54" s="3" t="s">
        <v>50</v>
      </c>
      <c r="E54" s="4">
        <v>29.25</v>
      </c>
      <c r="F54" s="4"/>
      <c r="G54" s="4">
        <f t="shared" ref="G54:G61" si="2">(E54*12)</f>
        <v>351</v>
      </c>
      <c r="H54" s="4"/>
    </row>
    <row r="55" spans="3:8">
      <c r="C55" s="20"/>
      <c r="D55" s="3" t="s">
        <v>51</v>
      </c>
      <c r="E55" s="4">
        <v>24.89</v>
      </c>
      <c r="F55" s="4"/>
      <c r="G55" s="4">
        <f t="shared" si="2"/>
        <v>298.68</v>
      </c>
      <c r="H55" s="4"/>
    </row>
    <row r="56" spans="3:8">
      <c r="C56" s="20"/>
      <c r="D56" s="3" t="s">
        <v>52</v>
      </c>
      <c r="E56" s="4">
        <v>110</v>
      </c>
      <c r="F56" s="4"/>
      <c r="G56" s="4">
        <f t="shared" si="2"/>
        <v>1320</v>
      </c>
      <c r="H56" s="4"/>
    </row>
    <row r="57" spans="3:8">
      <c r="C57" s="20"/>
      <c r="D57" s="3" t="s">
        <v>53</v>
      </c>
      <c r="E57" s="4">
        <v>2.29</v>
      </c>
      <c r="F57" s="4"/>
      <c r="G57" s="4">
        <f t="shared" si="2"/>
        <v>27.48</v>
      </c>
      <c r="H57" s="4"/>
    </row>
    <row r="58" spans="3:8">
      <c r="C58" s="20"/>
      <c r="D58" s="3" t="s">
        <v>54</v>
      </c>
      <c r="E58" s="4">
        <v>27.33</v>
      </c>
      <c r="F58" s="4"/>
      <c r="G58" s="4">
        <f t="shared" si="2"/>
        <v>327.96</v>
      </c>
      <c r="H58" s="4"/>
    </row>
    <row r="59" spans="3:8">
      <c r="C59" s="20"/>
      <c r="D59" s="3" t="s">
        <v>55</v>
      </c>
      <c r="E59" s="4">
        <v>162.75</v>
      </c>
      <c r="F59" s="4"/>
      <c r="G59" s="4">
        <f t="shared" si="2"/>
        <v>1953</v>
      </c>
      <c r="H59" s="4"/>
    </row>
    <row r="60" spans="3:8">
      <c r="C60" s="20"/>
      <c r="D60" s="3" t="s">
        <v>56</v>
      </c>
      <c r="E60" s="4">
        <v>4.17</v>
      </c>
      <c r="F60" s="4"/>
      <c r="G60" s="4">
        <f t="shared" si="2"/>
        <v>50.04</v>
      </c>
      <c r="H60" s="4"/>
    </row>
    <row r="61" spans="3:8">
      <c r="C61" s="20"/>
      <c r="D61" s="3" t="s">
        <v>57</v>
      </c>
      <c r="E61" s="4">
        <v>11.48</v>
      </c>
      <c r="F61" s="4"/>
      <c r="G61" s="4">
        <f t="shared" si="2"/>
        <v>137.76</v>
      </c>
      <c r="H61" s="4"/>
    </row>
    <row r="62" spans="3:8">
      <c r="C62" s="26" t="s">
        <v>58</v>
      </c>
      <c r="D62" s="20" t="s">
        <v>59</v>
      </c>
      <c r="E62" s="28"/>
      <c r="F62" s="28">
        <f>SUM(E63:E64)</f>
        <v>308.54000000000002</v>
      </c>
      <c r="G62" s="4"/>
      <c r="H62" s="28">
        <f>(F62*12)</f>
        <v>3702.4800000000005</v>
      </c>
    </row>
    <row r="63" spans="3:8">
      <c r="C63" s="20"/>
      <c r="D63" s="3" t="s">
        <v>60</v>
      </c>
      <c r="E63" s="4">
        <v>188.43</v>
      </c>
      <c r="F63" s="4"/>
      <c r="G63" s="4">
        <f>(E63*12)</f>
        <v>2261.16</v>
      </c>
      <c r="H63" s="4"/>
    </row>
    <row r="64" spans="3:8">
      <c r="C64" s="20"/>
      <c r="D64" s="3" t="s">
        <v>61</v>
      </c>
      <c r="E64" s="4">
        <v>120.11</v>
      </c>
      <c r="F64" s="4"/>
      <c r="G64" s="4">
        <f>(E64*12)</f>
        <v>1441.32</v>
      </c>
      <c r="H64" s="4"/>
    </row>
    <row r="65" spans="3:10">
      <c r="C65" s="29" t="s">
        <v>62</v>
      </c>
      <c r="D65" s="30"/>
      <c r="E65" s="31"/>
      <c r="F65" s="32">
        <f>SUM(F24:F64)</f>
        <v>15264.78</v>
      </c>
      <c r="G65" s="4"/>
      <c r="H65" s="32">
        <f>(F65*6)</f>
        <v>91588.680000000008</v>
      </c>
    </row>
    <row r="70" spans="3:10" ht="15.75" thickBot="1">
      <c r="H70" s="66"/>
    </row>
    <row r="71" spans="3:10" ht="15.75" thickBot="1">
      <c r="D71" s="188" t="s">
        <v>76</v>
      </c>
      <c r="E71" s="189"/>
      <c r="F71" s="189"/>
      <c r="G71" s="189"/>
      <c r="H71" s="190"/>
    </row>
    <row r="72" spans="3:10" ht="15.75" thickBot="1">
      <c r="D72" s="46" t="s">
        <v>63</v>
      </c>
      <c r="E72" s="47" t="s">
        <v>72</v>
      </c>
      <c r="F72" s="48" t="s">
        <v>73</v>
      </c>
      <c r="G72" s="48" t="s">
        <v>74</v>
      </c>
      <c r="H72" s="49" t="s">
        <v>198</v>
      </c>
    </row>
    <row r="73" spans="3:10">
      <c r="D73" s="45" t="s">
        <v>64</v>
      </c>
      <c r="E73" s="50">
        <v>10</v>
      </c>
      <c r="F73" s="50">
        <v>2</v>
      </c>
      <c r="G73" s="51">
        <f>(E73*F73)</f>
        <v>20</v>
      </c>
      <c r="H73" s="52">
        <f>(G73*12)</f>
        <v>240</v>
      </c>
    </row>
    <row r="74" spans="3:10">
      <c r="D74" s="33" t="s">
        <v>65</v>
      </c>
      <c r="E74" s="53">
        <v>6</v>
      </c>
      <c r="F74" s="53">
        <v>408</v>
      </c>
      <c r="G74" s="54">
        <f t="shared" ref="G74:G80" si="3">(E74*F74)</f>
        <v>2448</v>
      </c>
      <c r="H74" s="52">
        <f t="shared" ref="H74:H81" si="4">(G74*12)</f>
        <v>29376</v>
      </c>
    </row>
    <row r="75" spans="3:10">
      <c r="D75" s="33" t="s">
        <v>66</v>
      </c>
      <c r="E75" s="53">
        <v>6</v>
      </c>
      <c r="F75" s="53">
        <v>20</v>
      </c>
      <c r="G75" s="54">
        <f t="shared" si="3"/>
        <v>120</v>
      </c>
      <c r="H75" s="52">
        <f t="shared" si="4"/>
        <v>1440</v>
      </c>
    </row>
    <row r="76" spans="3:10">
      <c r="D76" s="33" t="s">
        <v>67</v>
      </c>
      <c r="E76" s="53">
        <v>6</v>
      </c>
      <c r="F76" s="53">
        <v>100</v>
      </c>
      <c r="G76" s="54">
        <f t="shared" si="3"/>
        <v>600</v>
      </c>
      <c r="H76" s="52">
        <f t="shared" si="4"/>
        <v>7200</v>
      </c>
    </row>
    <row r="77" spans="3:10">
      <c r="D77" s="33" t="s">
        <v>68</v>
      </c>
      <c r="E77" s="53">
        <v>3</v>
      </c>
      <c r="F77" s="53">
        <v>43</v>
      </c>
      <c r="G77" s="54">
        <f t="shared" si="3"/>
        <v>129</v>
      </c>
      <c r="H77" s="52">
        <f t="shared" si="4"/>
        <v>1548</v>
      </c>
    </row>
    <row r="78" spans="3:10">
      <c r="D78" s="33" t="s">
        <v>69</v>
      </c>
      <c r="E78" s="53">
        <v>3</v>
      </c>
      <c r="F78" s="53">
        <v>270</v>
      </c>
      <c r="G78" s="54">
        <f t="shared" si="3"/>
        <v>810</v>
      </c>
      <c r="H78" s="52">
        <f t="shared" si="4"/>
        <v>9720</v>
      </c>
      <c r="J78" t="s">
        <v>120</v>
      </c>
    </row>
    <row r="79" spans="3:10">
      <c r="D79" s="33" t="s">
        <v>70</v>
      </c>
      <c r="E79" s="53">
        <v>4</v>
      </c>
      <c r="F79" s="53">
        <v>25</v>
      </c>
      <c r="G79" s="54">
        <f t="shared" si="3"/>
        <v>100</v>
      </c>
      <c r="H79" s="52">
        <f t="shared" si="4"/>
        <v>1200</v>
      </c>
    </row>
    <row r="80" spans="3:10">
      <c r="D80" s="33" t="s">
        <v>71</v>
      </c>
      <c r="E80" s="53">
        <v>5</v>
      </c>
      <c r="F80" s="53">
        <v>26</v>
      </c>
      <c r="G80" s="54">
        <f t="shared" si="3"/>
        <v>130</v>
      </c>
      <c r="H80" s="52">
        <f t="shared" si="4"/>
        <v>1560</v>
      </c>
    </row>
    <row r="81" spans="4:9">
      <c r="D81" s="34" t="s">
        <v>75</v>
      </c>
      <c r="E81" s="22"/>
      <c r="F81" s="22"/>
      <c r="G81" s="55">
        <f>SUM(G73:G80)</f>
        <v>4357</v>
      </c>
      <c r="H81" s="52">
        <f t="shared" si="4"/>
        <v>52284</v>
      </c>
    </row>
    <row r="86" spans="4:9">
      <c r="D86" s="194" t="s">
        <v>78</v>
      </c>
      <c r="E86" s="195"/>
      <c r="F86" s="196"/>
      <c r="H86" s="200" t="s">
        <v>79</v>
      </c>
      <c r="I86" s="201"/>
    </row>
    <row r="87" spans="4:9">
      <c r="D87" s="197"/>
      <c r="E87" s="198"/>
      <c r="F87" s="199"/>
      <c r="H87" s="40" t="s">
        <v>80</v>
      </c>
      <c r="I87" s="41" t="s">
        <v>0</v>
      </c>
    </row>
    <row r="88" spans="4:9">
      <c r="D88" s="20" t="s">
        <v>81</v>
      </c>
      <c r="E88" s="26" t="s">
        <v>82</v>
      </c>
      <c r="F88" s="26" t="s">
        <v>83</v>
      </c>
      <c r="H88" s="3" t="s">
        <v>84</v>
      </c>
      <c r="I88" s="7">
        <v>4</v>
      </c>
    </row>
    <row r="89" spans="4:9">
      <c r="D89" s="3" t="s">
        <v>85</v>
      </c>
      <c r="E89" s="36">
        <f>(F99*F89)</f>
        <v>202500</v>
      </c>
      <c r="F89" s="37">
        <v>0.45</v>
      </c>
      <c r="H89" s="3" t="s">
        <v>86</v>
      </c>
      <c r="I89" s="7">
        <v>4</v>
      </c>
    </row>
    <row r="90" spans="4:9">
      <c r="D90" s="3" t="s">
        <v>224</v>
      </c>
      <c r="E90" s="36">
        <f>(F99*F90)</f>
        <v>247500.00000000003</v>
      </c>
      <c r="F90" s="37">
        <v>0.55000000000000004</v>
      </c>
      <c r="H90" s="3" t="s">
        <v>87</v>
      </c>
      <c r="I90" s="7">
        <v>4</v>
      </c>
    </row>
    <row r="91" spans="4:9">
      <c r="D91" s="30" t="s">
        <v>88</v>
      </c>
      <c r="E91" s="38">
        <f>SUM(E89:E90)</f>
        <v>450000</v>
      </c>
      <c r="F91" s="37">
        <v>1</v>
      </c>
      <c r="H91" s="3" t="s">
        <v>89</v>
      </c>
      <c r="I91" s="7">
        <v>4</v>
      </c>
    </row>
    <row r="92" spans="4:9">
      <c r="D92" s="3" t="s">
        <v>90</v>
      </c>
      <c r="E92" s="36">
        <f>E91*10/100</f>
        <v>45000</v>
      </c>
      <c r="F92" s="37">
        <v>0.1</v>
      </c>
      <c r="H92" s="3" t="s">
        <v>91</v>
      </c>
      <c r="I92" s="7">
        <v>4</v>
      </c>
    </row>
    <row r="93" spans="4:9">
      <c r="D93" s="3" t="s">
        <v>92</v>
      </c>
      <c r="E93" s="36">
        <f>E91*5/100</f>
        <v>22500</v>
      </c>
      <c r="F93" s="37">
        <v>0.05</v>
      </c>
      <c r="H93" s="3" t="s">
        <v>93</v>
      </c>
      <c r="I93" s="7">
        <v>1</v>
      </c>
    </row>
    <row r="94" spans="4:9">
      <c r="D94" s="21" t="s">
        <v>245</v>
      </c>
      <c r="E94" s="39">
        <f>SUM(E91:E93)</f>
        <v>517500</v>
      </c>
      <c r="F94" s="3"/>
      <c r="H94" s="3" t="s">
        <v>94</v>
      </c>
      <c r="I94" s="7">
        <v>1</v>
      </c>
    </row>
    <row r="95" spans="4:9">
      <c r="H95" s="3" t="s">
        <v>95</v>
      </c>
      <c r="I95" s="7">
        <v>14</v>
      </c>
    </row>
    <row r="96" spans="4:9">
      <c r="D96" s="35"/>
      <c r="H96" s="21" t="s">
        <v>96</v>
      </c>
      <c r="I96" s="42">
        <f>SUM(I88:I95)</f>
        <v>36</v>
      </c>
    </row>
    <row r="97" spans="3:9" ht="17.25">
      <c r="D97" s="40" t="s">
        <v>100</v>
      </c>
      <c r="E97" s="40" t="s">
        <v>101</v>
      </c>
      <c r="F97" s="41" t="s">
        <v>62</v>
      </c>
      <c r="G97" s="41" t="s">
        <v>97</v>
      </c>
    </row>
    <row r="98" spans="3:9">
      <c r="D98" s="7">
        <v>750</v>
      </c>
      <c r="E98" s="43">
        <v>450</v>
      </c>
      <c r="F98" s="43">
        <f>(D98*E98)</f>
        <v>337500</v>
      </c>
      <c r="G98" s="7" t="s">
        <v>98</v>
      </c>
    </row>
    <row r="99" spans="3:9">
      <c r="D99" s="7">
        <v>750</v>
      </c>
      <c r="E99" s="43">
        <v>600</v>
      </c>
      <c r="F99" s="43">
        <f>(D99*E99)</f>
        <v>450000</v>
      </c>
      <c r="G99" s="7" t="s">
        <v>99</v>
      </c>
    </row>
    <row r="100" spans="3:9">
      <c r="D100" s="202" t="s">
        <v>213</v>
      </c>
      <c r="E100" s="203"/>
      <c r="F100" s="203"/>
      <c r="G100" s="204"/>
    </row>
    <row r="103" spans="3:9">
      <c r="D103" s="56"/>
      <c r="E103" s="56"/>
      <c r="F103" s="56"/>
      <c r="G103" s="56"/>
      <c r="H103" s="56"/>
      <c r="I103" s="56"/>
    </row>
    <row r="104" spans="3:9">
      <c r="D104" s="35"/>
      <c r="E104" s="56"/>
      <c r="F104" s="56"/>
      <c r="G104" s="56"/>
      <c r="H104" s="56"/>
      <c r="I104" s="56"/>
    </row>
    <row r="105" spans="3:9">
      <c r="D105" s="35"/>
      <c r="E105" s="56"/>
      <c r="F105" s="56"/>
      <c r="G105" s="56"/>
      <c r="H105" s="56"/>
      <c r="I105" s="56"/>
    </row>
    <row r="106" spans="3:9">
      <c r="D106" s="135">
        <v>0.5</v>
      </c>
      <c r="E106" s="141">
        <v>1</v>
      </c>
      <c r="F106" s="167">
        <v>2</v>
      </c>
      <c r="G106" s="167">
        <v>3</v>
      </c>
      <c r="H106" s="167">
        <v>4</v>
      </c>
      <c r="I106" s="167">
        <v>5</v>
      </c>
    </row>
    <row r="107" spans="3:9">
      <c r="D107" s="144" t="s">
        <v>245</v>
      </c>
      <c r="E107" s="145">
        <f>$E$94</f>
        <v>517500</v>
      </c>
      <c r="F107" s="40"/>
      <c r="G107" s="40"/>
      <c r="H107" s="40"/>
      <c r="I107" s="40"/>
    </row>
    <row r="108" spans="3:9">
      <c r="D108" s="136" t="s">
        <v>248</v>
      </c>
      <c r="E108" s="137">
        <f>E94*D106</f>
        <v>258750</v>
      </c>
      <c r="F108" s="138">
        <f>$E$108</f>
        <v>258750</v>
      </c>
      <c r="G108" s="138">
        <f t="shared" ref="G108:I108" si="5">$E$108</f>
        <v>258750</v>
      </c>
      <c r="H108" s="138">
        <f t="shared" si="5"/>
        <v>258750</v>
      </c>
      <c r="I108" s="138">
        <f t="shared" si="5"/>
        <v>258750</v>
      </c>
    </row>
    <row r="109" spans="3:9">
      <c r="C109" s="44"/>
      <c r="D109" s="130" t="s">
        <v>239</v>
      </c>
      <c r="E109" s="139">
        <f>E108*5%</f>
        <v>12937.5</v>
      </c>
      <c r="F109" s="138">
        <f>F108*10%</f>
        <v>25875</v>
      </c>
      <c r="G109" s="138">
        <f>G108*15%</f>
        <v>38812.5</v>
      </c>
      <c r="H109" s="138">
        <f>H108*20%</f>
        <v>51750</v>
      </c>
      <c r="I109" s="138">
        <f>I108*25%</f>
        <v>64687.5</v>
      </c>
    </row>
    <row r="110" spans="3:9">
      <c r="C110" s="44"/>
      <c r="D110" s="20" t="s">
        <v>240</v>
      </c>
      <c r="E110" s="140">
        <f>(E108+E109)</f>
        <v>271687.5</v>
      </c>
      <c r="F110" s="140">
        <f>SUM(F108:F109)</f>
        <v>284625</v>
      </c>
      <c r="G110" s="140">
        <f>SUM(G108:G109)</f>
        <v>297562.5</v>
      </c>
      <c r="H110" s="140">
        <f>SUM(H108:H109)</f>
        <v>310500</v>
      </c>
      <c r="I110" s="140">
        <f>SUM(I108:I109)</f>
        <v>323437.5</v>
      </c>
    </row>
    <row r="111" spans="3:9">
      <c r="C111" s="44"/>
      <c r="D111" s="35"/>
      <c r="E111" s="155"/>
      <c r="F111" s="35"/>
      <c r="G111" s="35"/>
      <c r="H111" s="35"/>
      <c r="I111" s="58"/>
    </row>
    <row r="112" spans="3:9">
      <c r="C112" s="44"/>
      <c r="D112" s="35"/>
      <c r="E112" s="59"/>
      <c r="F112" s="60"/>
      <c r="G112" s="61"/>
      <c r="H112" s="62"/>
      <c r="I112" s="60"/>
    </row>
    <row r="113" spans="3:9">
      <c r="C113" s="44"/>
      <c r="D113" s="35"/>
      <c r="E113" s="60"/>
      <c r="F113" s="60"/>
      <c r="G113" s="60"/>
      <c r="H113" s="60"/>
      <c r="I113" s="60"/>
    </row>
    <row r="114" spans="3:9">
      <c r="C114" s="44"/>
      <c r="D114" s="35"/>
      <c r="E114" s="60"/>
      <c r="F114" s="60"/>
      <c r="G114" s="60"/>
      <c r="H114" s="60"/>
      <c r="I114" s="60"/>
    </row>
    <row r="115" spans="3:9">
      <c r="C115" s="44"/>
      <c r="D115" s="35"/>
      <c r="E115" s="60"/>
      <c r="F115" s="60"/>
      <c r="G115" s="60"/>
      <c r="H115" s="60"/>
      <c r="I115" s="60"/>
    </row>
    <row r="116" spans="3:9">
      <c r="C116" s="44"/>
      <c r="D116" s="35"/>
      <c r="E116" s="60"/>
      <c r="F116" s="60"/>
      <c r="G116" s="60"/>
      <c r="H116" s="60"/>
      <c r="I116" s="60"/>
    </row>
    <row r="117" spans="3:9">
      <c r="C117" s="44"/>
      <c r="D117" s="35"/>
      <c r="E117" s="60"/>
      <c r="F117" s="60"/>
      <c r="G117" s="60"/>
      <c r="H117" s="60"/>
      <c r="I117" s="63"/>
    </row>
    <row r="118" spans="3:9">
      <c r="C118" s="44"/>
      <c r="D118" s="35"/>
      <c r="E118" s="35"/>
      <c r="F118" s="35"/>
      <c r="G118" s="35"/>
      <c r="H118" s="35"/>
      <c r="I118" s="35"/>
    </row>
    <row r="119" spans="3:9">
      <c r="C119" s="44"/>
      <c r="D119" s="35"/>
      <c r="E119" s="35"/>
      <c r="F119" s="35"/>
      <c r="G119" s="35"/>
      <c r="H119" s="35"/>
      <c r="I119" s="35"/>
    </row>
    <row r="120" spans="3:9">
      <c r="D120" s="35"/>
      <c r="E120" s="35"/>
      <c r="F120" s="35"/>
      <c r="G120" s="35"/>
      <c r="H120" s="35"/>
      <c r="I120" s="35"/>
    </row>
    <row r="121" spans="3:9">
      <c r="D121" s="35"/>
      <c r="E121" s="35"/>
      <c r="F121" s="35"/>
      <c r="G121" s="35"/>
      <c r="H121" s="35"/>
      <c r="I121" s="35"/>
    </row>
    <row r="122" spans="3:9">
      <c r="D122" s="35"/>
      <c r="E122" s="35"/>
      <c r="F122" s="35"/>
      <c r="G122" s="35"/>
      <c r="H122" s="35"/>
      <c r="I122" s="35"/>
    </row>
    <row r="123" spans="3:9">
      <c r="D123" s="56"/>
      <c r="E123" s="56"/>
      <c r="F123" s="56"/>
      <c r="G123" s="56"/>
      <c r="H123" s="64"/>
      <c r="I123" s="56"/>
    </row>
  </sheetData>
  <mergeCells count="5">
    <mergeCell ref="D71:H71"/>
    <mergeCell ref="C22:H22"/>
    <mergeCell ref="D86:F87"/>
    <mergeCell ref="H86:I86"/>
    <mergeCell ref="D100:G100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E10:S66"/>
  <sheetViews>
    <sheetView topLeftCell="A15" workbookViewId="0">
      <selection activeCell="E10" sqref="E10:H36"/>
    </sheetView>
  </sheetViews>
  <sheetFormatPr baseColWidth="10" defaultRowHeight="15"/>
  <cols>
    <col min="5" max="5" width="12.28515625" bestFit="1" customWidth="1"/>
    <col min="7" max="7" width="15" customWidth="1"/>
    <col min="8" max="8" width="14.140625" customWidth="1"/>
  </cols>
  <sheetData>
    <row r="10" spans="5:8">
      <c r="E10" s="40"/>
      <c r="F10" s="219" t="s">
        <v>211</v>
      </c>
      <c r="G10" s="219"/>
      <c r="H10" s="40"/>
    </row>
    <row r="11" spans="5:8">
      <c r="E11" s="40"/>
      <c r="F11" s="40"/>
      <c r="G11" s="40"/>
      <c r="H11" s="40"/>
    </row>
    <row r="12" spans="5:8">
      <c r="E12" s="41" t="s">
        <v>235</v>
      </c>
      <c r="F12" s="41" t="s">
        <v>227</v>
      </c>
      <c r="G12" s="41" t="s">
        <v>226</v>
      </c>
      <c r="H12" s="41" t="s">
        <v>236</v>
      </c>
    </row>
    <row r="13" spans="5:8">
      <c r="E13" s="119">
        <v>0.2</v>
      </c>
      <c r="F13" s="119">
        <v>0.85</v>
      </c>
      <c r="G13" s="146">
        <v>4242371</v>
      </c>
      <c r="H13" s="162" t="s">
        <v>237</v>
      </c>
    </row>
    <row r="14" spans="5:8">
      <c r="E14" s="119">
        <v>0.15</v>
      </c>
      <c r="F14" s="119">
        <v>0.81</v>
      </c>
      <c r="G14" s="146">
        <v>3967334</v>
      </c>
      <c r="H14" s="162" t="s">
        <v>237</v>
      </c>
    </row>
    <row r="15" spans="5:8">
      <c r="E15" s="119">
        <v>0.1</v>
      </c>
      <c r="F15" s="119">
        <v>0.77</v>
      </c>
      <c r="G15" s="146">
        <v>3692296</v>
      </c>
      <c r="H15" s="162" t="s">
        <v>237</v>
      </c>
    </row>
    <row r="16" spans="5:8">
      <c r="E16" s="119">
        <v>0.05</v>
      </c>
      <c r="F16" s="119">
        <v>0.73</v>
      </c>
      <c r="G16" s="146">
        <v>3417259</v>
      </c>
      <c r="H16" s="162" t="s">
        <v>237</v>
      </c>
    </row>
    <row r="17" spans="5:19">
      <c r="E17" s="119">
        <v>0</v>
      </c>
      <c r="F17" s="159">
        <f>'FLUJO DE CAJA CON SUBSIDIO'!$E$30</f>
        <v>0.68952316895289567</v>
      </c>
      <c r="G17" s="143">
        <f>'FLUJO DE CAJA CON SUBSIDIO'!$E$29</f>
        <v>3142221.1108128047</v>
      </c>
      <c r="H17" s="30" t="s">
        <v>237</v>
      </c>
    </row>
    <row r="18" spans="5:19">
      <c r="E18" s="119">
        <v>-0.05</v>
      </c>
      <c r="F18" s="119">
        <v>0.65</v>
      </c>
      <c r="G18" s="146">
        <v>2867184</v>
      </c>
      <c r="H18" s="162" t="s">
        <v>237</v>
      </c>
    </row>
    <row r="19" spans="5:19">
      <c r="E19" s="119">
        <v>-0.1</v>
      </c>
      <c r="F19" s="119">
        <v>0.6</v>
      </c>
      <c r="G19" s="146">
        <v>2592146</v>
      </c>
      <c r="H19" s="162" t="s">
        <v>237</v>
      </c>
    </row>
    <row r="20" spans="5:19">
      <c r="E20" s="119">
        <v>-0.15</v>
      </c>
      <c r="F20" s="119">
        <v>0.56000000000000005</v>
      </c>
      <c r="G20" s="146">
        <v>2317109</v>
      </c>
      <c r="H20" s="162" t="s">
        <v>237</v>
      </c>
    </row>
    <row r="21" spans="5:19">
      <c r="E21" s="119">
        <v>-0.2</v>
      </c>
      <c r="F21" s="119">
        <v>0.51</v>
      </c>
      <c r="G21" s="146">
        <v>2042071</v>
      </c>
      <c r="H21" s="162" t="s">
        <v>237</v>
      </c>
    </row>
    <row r="22" spans="5:19">
      <c r="E22" s="3"/>
      <c r="F22" s="3"/>
      <c r="G22" s="3"/>
      <c r="H22" s="3"/>
    </row>
    <row r="23" spans="5:19">
      <c r="F23" t="s">
        <v>254</v>
      </c>
    </row>
    <row r="25" spans="5:19">
      <c r="E25" s="40"/>
      <c r="F25" s="219" t="s">
        <v>238</v>
      </c>
      <c r="G25" s="219"/>
      <c r="H25" s="40"/>
    </row>
    <row r="26" spans="5:19">
      <c r="E26" s="41" t="s">
        <v>235</v>
      </c>
      <c r="F26" s="41" t="s">
        <v>227</v>
      </c>
      <c r="G26" s="41" t="s">
        <v>226</v>
      </c>
      <c r="H26" s="41" t="s">
        <v>236</v>
      </c>
      <c r="P26">
        <f>'FLUJO DE CAJA CON SUBSIDIO'!P11</f>
        <v>0</v>
      </c>
      <c r="Q26">
        <f>'FLUJO DE CAJA CON SUBSIDIO'!Q11</f>
        <v>0</v>
      </c>
      <c r="R26">
        <f>'FLUJO DE CAJA CON SUBSIDIO'!R11</f>
        <v>0</v>
      </c>
      <c r="S26">
        <f>'FLUJO DE CAJA CON SUBSIDIO'!S11</f>
        <v>0</v>
      </c>
    </row>
    <row r="27" spans="5:19">
      <c r="E27" s="119">
        <v>0.2</v>
      </c>
      <c r="F27" s="119">
        <v>0.65</v>
      </c>
      <c r="G27" s="146">
        <v>2952554</v>
      </c>
      <c r="H27" s="162" t="s">
        <v>237</v>
      </c>
      <c r="P27">
        <f>'FLUJO DE CAJA CON SUBSIDIO'!P12*E13</f>
        <v>0</v>
      </c>
      <c r="Q27">
        <f>'FLUJO DE CAJA CON SUBSIDIO'!Q12*E13</f>
        <v>0</v>
      </c>
      <c r="R27">
        <f>'FLUJO DE CAJA CON SUBSIDIO'!R12*E13</f>
        <v>0</v>
      </c>
      <c r="S27">
        <f>'FLUJO DE CAJA CON SUBSIDIO'!S12*E13</f>
        <v>0</v>
      </c>
    </row>
    <row r="28" spans="5:19">
      <c r="E28" s="119">
        <v>0.15</v>
      </c>
      <c r="F28" s="119">
        <v>0.66</v>
      </c>
      <c r="G28" s="146">
        <v>2999971</v>
      </c>
      <c r="H28" s="162" t="s">
        <v>237</v>
      </c>
      <c r="P28">
        <f>'FLUJO DE CAJA CON SUBSIDIO'!P13</f>
        <v>0</v>
      </c>
      <c r="Q28">
        <f>'FLUJO DE CAJA CON SUBSIDIO'!Q13</f>
        <v>0</v>
      </c>
      <c r="R28">
        <f>'FLUJO DE CAJA CON SUBSIDIO'!R13</f>
        <v>0</v>
      </c>
      <c r="S28">
        <f>'FLUJO DE CAJA CON SUBSIDIO'!S13</f>
        <v>0</v>
      </c>
    </row>
    <row r="29" spans="5:19">
      <c r="E29" s="119">
        <v>0.1</v>
      </c>
      <c r="F29" s="119">
        <v>0.67</v>
      </c>
      <c r="G29" s="146">
        <v>3047388</v>
      </c>
      <c r="H29" s="162" t="s">
        <v>237</v>
      </c>
      <c r="P29">
        <f>'FLUJO DE CAJA CON SUBSIDIO'!P14</f>
        <v>0</v>
      </c>
      <c r="Q29">
        <f>'FLUJO DE CAJA CON SUBSIDIO'!Q14</f>
        <v>0</v>
      </c>
      <c r="R29">
        <f>'FLUJO DE CAJA CON SUBSIDIO'!R14</f>
        <v>0</v>
      </c>
      <c r="S29">
        <f>'FLUJO DE CAJA CON SUBSIDIO'!S14</f>
        <v>0</v>
      </c>
    </row>
    <row r="30" spans="5:19">
      <c r="E30" s="119">
        <v>0.05</v>
      </c>
      <c r="F30" s="119">
        <v>0.68</v>
      </c>
      <c r="G30" s="146">
        <v>3094804</v>
      </c>
      <c r="H30" s="162" t="s">
        <v>237</v>
      </c>
      <c r="P30">
        <f>'FLUJO DE CAJA CON SUBSIDIO'!P15</f>
        <v>0</v>
      </c>
      <c r="Q30">
        <f>'FLUJO DE CAJA CON SUBSIDIO'!Q15</f>
        <v>0</v>
      </c>
      <c r="R30">
        <f>'FLUJO DE CAJA CON SUBSIDIO'!R15</f>
        <v>0</v>
      </c>
      <c r="S30">
        <f>'FLUJO DE CAJA CON SUBSIDIO'!S15</f>
        <v>0</v>
      </c>
    </row>
    <row r="31" spans="5:19">
      <c r="E31" s="119">
        <v>0</v>
      </c>
      <c r="F31" s="159">
        <v>0.69</v>
      </c>
      <c r="G31" s="143">
        <f>'FLUJO DE CAJA CON SUBSIDIO'!$E$29</f>
        <v>3142221.1108128047</v>
      </c>
      <c r="H31" s="30" t="s">
        <v>237</v>
      </c>
      <c r="P31">
        <f>'FLUJO DE CAJA CON SUBSIDIO'!P16</f>
        <v>0</v>
      </c>
      <c r="Q31">
        <f>'FLUJO DE CAJA CON SUBSIDIO'!Q16</f>
        <v>0</v>
      </c>
      <c r="R31">
        <f>'FLUJO DE CAJA CON SUBSIDIO'!R16</f>
        <v>0</v>
      </c>
      <c r="S31">
        <f>'FLUJO DE CAJA CON SUBSIDIO'!S16</f>
        <v>0</v>
      </c>
    </row>
    <row r="32" spans="5:19">
      <c r="E32" s="119">
        <v>-0.05</v>
      </c>
      <c r="F32" s="119">
        <v>0.7</v>
      </c>
      <c r="G32" s="146">
        <v>3189638</v>
      </c>
      <c r="H32" s="162" t="s">
        <v>237</v>
      </c>
      <c r="P32">
        <f>'FLUJO DE CAJA CON SUBSIDIO'!P17</f>
        <v>0</v>
      </c>
      <c r="Q32">
        <f>'FLUJO DE CAJA CON SUBSIDIO'!Q17</f>
        <v>0</v>
      </c>
      <c r="R32">
        <f>'FLUJO DE CAJA CON SUBSIDIO'!R17</f>
        <v>0</v>
      </c>
      <c r="S32">
        <f>'FLUJO DE CAJA CON SUBSIDIO'!S17</f>
        <v>0</v>
      </c>
    </row>
    <row r="33" spans="5:19">
      <c r="E33" s="119">
        <v>-0.1</v>
      </c>
      <c r="F33" s="119">
        <v>0.71</v>
      </c>
      <c r="G33" s="146">
        <v>3237055</v>
      </c>
      <c r="H33" s="162" t="s">
        <v>237</v>
      </c>
      <c r="P33">
        <f>'FLUJO DE CAJA CON SUBSIDIO'!P18</f>
        <v>0</v>
      </c>
      <c r="Q33">
        <f>'FLUJO DE CAJA CON SUBSIDIO'!Q18</f>
        <v>0</v>
      </c>
      <c r="R33">
        <f>'FLUJO DE CAJA CON SUBSIDIO'!R18</f>
        <v>0</v>
      </c>
      <c r="S33">
        <f>'FLUJO DE CAJA CON SUBSIDIO'!S18</f>
        <v>0</v>
      </c>
    </row>
    <row r="34" spans="5:19">
      <c r="E34" s="119">
        <v>-0.15</v>
      </c>
      <c r="F34" s="119">
        <v>0.72</v>
      </c>
      <c r="G34" s="146">
        <v>3284471</v>
      </c>
      <c r="H34" s="162" t="s">
        <v>237</v>
      </c>
      <c r="P34">
        <f>'FLUJO DE CAJA CON SUBSIDIO'!P19</f>
        <v>0</v>
      </c>
      <c r="Q34">
        <f>'FLUJO DE CAJA CON SUBSIDIO'!Q19</f>
        <v>0</v>
      </c>
      <c r="R34">
        <f>'FLUJO DE CAJA CON SUBSIDIO'!R19</f>
        <v>0</v>
      </c>
      <c r="S34">
        <f>'FLUJO DE CAJA CON SUBSIDIO'!S19</f>
        <v>0</v>
      </c>
    </row>
    <row r="35" spans="5:19">
      <c r="E35" s="119">
        <v>-0.2</v>
      </c>
      <c r="F35" s="119">
        <v>0.73</v>
      </c>
      <c r="G35" s="146">
        <v>3331888</v>
      </c>
      <c r="H35" s="162" t="s">
        <v>237</v>
      </c>
    </row>
    <row r="36" spans="5:19">
      <c r="F36" t="s">
        <v>254</v>
      </c>
    </row>
    <row r="39" spans="5:19">
      <c r="P39">
        <f>'FLUJO DE CAJA CON SUBSIDIO'!P24</f>
        <v>0</v>
      </c>
      <c r="Q39">
        <f>'FLUJO DE CAJA CON SUBSIDIO'!Q24</f>
        <v>0</v>
      </c>
      <c r="R39">
        <f>'FLUJO DE CAJA CON SUBSIDIO'!R24</f>
        <v>0</v>
      </c>
      <c r="S39">
        <f>'FLUJO DE CAJA CON SUBSIDIO'!S24</f>
        <v>0</v>
      </c>
    </row>
    <row r="41" spans="5:19">
      <c r="P41">
        <f>'FLUJO DE CAJA CON SUBSIDIO'!P27</f>
        <v>0</v>
      </c>
      <c r="Q41">
        <f>'FLUJO DE CAJA CON SUBSIDIO'!Q27</f>
        <v>0</v>
      </c>
      <c r="R41">
        <f>'FLUJO DE CAJA CON SUBSIDIO'!R27</f>
        <v>0</v>
      </c>
      <c r="S41">
        <f>'FLUJO DE CAJA CON SUBSIDIO'!S27</f>
        <v>0</v>
      </c>
    </row>
    <row r="65" spans="5:5">
      <c r="E65" s="124"/>
    </row>
    <row r="66" spans="5:5">
      <c r="E66" s="125"/>
    </row>
  </sheetData>
  <mergeCells count="2">
    <mergeCell ref="F10:G10"/>
    <mergeCell ref="F25:G2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D11:L41"/>
  <sheetViews>
    <sheetView topLeftCell="A9" workbookViewId="0">
      <selection activeCell="B23" sqref="B23"/>
    </sheetView>
  </sheetViews>
  <sheetFormatPr baseColWidth="10" defaultRowHeight="15"/>
  <cols>
    <col min="4" max="4" width="31" customWidth="1"/>
    <col min="5" max="5" width="19.85546875" customWidth="1"/>
    <col min="6" max="6" width="14.7109375" customWidth="1"/>
    <col min="7" max="7" width="14.5703125" bestFit="1" customWidth="1"/>
    <col min="8" max="8" width="13" customWidth="1"/>
    <col min="9" max="9" width="13" bestFit="1" customWidth="1"/>
    <col min="10" max="12" width="13.85546875" bestFit="1" customWidth="1"/>
  </cols>
  <sheetData>
    <row r="11" spans="4:12">
      <c r="D11" s="76"/>
      <c r="E11" s="76"/>
      <c r="F11" s="76"/>
      <c r="G11" s="76"/>
      <c r="H11" s="76" t="str">
        <f>'FLUJO DE CAJA CON SUBSIDIO'!H9</f>
        <v>FLUJO DE CAJA</v>
      </c>
      <c r="I11" s="76"/>
      <c r="J11" s="76"/>
      <c r="K11" s="76"/>
      <c r="L11" s="76"/>
    </row>
    <row r="12" spans="4:12">
      <c r="D12" s="76"/>
      <c r="E12" s="76"/>
      <c r="F12" s="76"/>
      <c r="G12" s="76"/>
      <c r="H12" s="40"/>
      <c r="I12" s="40"/>
      <c r="J12" s="76"/>
      <c r="K12" s="76"/>
      <c r="L12" s="76"/>
    </row>
    <row r="13" spans="4:12">
      <c r="D13" s="76"/>
      <c r="E13" s="76"/>
      <c r="F13" s="76"/>
      <c r="G13" s="76"/>
      <c r="H13" s="40">
        <f>'FLUJO DE CAJA CON SUBSIDIO'!H11</f>
        <v>1</v>
      </c>
      <c r="I13" s="40">
        <f>'FLUJO DE CAJA CON SUBSIDIO'!I11</f>
        <v>2</v>
      </c>
      <c r="J13" s="76">
        <f>'FLUJO DE CAJA CON SUBSIDIO'!J11</f>
        <v>3</v>
      </c>
      <c r="K13" s="76">
        <f>'FLUJO DE CAJA CON SUBSIDIO'!K11</f>
        <v>4</v>
      </c>
      <c r="L13" s="76">
        <f>'FLUJO DE CAJA CON SUBSIDIO'!L11</f>
        <v>5</v>
      </c>
    </row>
    <row r="14" spans="4:12">
      <c r="D14" s="3" t="str">
        <f>'FLUJO DE CAJA CON SUBSIDIO'!D12</f>
        <v>INGRESOS POR VENTAS</v>
      </c>
      <c r="E14" s="3"/>
      <c r="F14" s="3"/>
      <c r="G14" s="3"/>
      <c r="H14" s="140">
        <f t="shared" ref="H14:L14" si="0">F39</f>
        <v>52284</v>
      </c>
      <c r="I14" s="140">
        <f t="shared" si="0"/>
        <v>53329.68</v>
      </c>
      <c r="J14" s="140">
        <f t="shared" si="0"/>
        <v>54396.2736</v>
      </c>
      <c r="K14" s="140">
        <f t="shared" si="0"/>
        <v>55484.199072000003</v>
      </c>
      <c r="L14" s="140">
        <f t="shared" si="0"/>
        <v>56593.883053440004</v>
      </c>
    </row>
    <row r="15" spans="4:12">
      <c r="D15" s="20" t="str">
        <f>'FLUJO DE CAJA CON SUBSIDIO'!D13</f>
        <v xml:space="preserve">(-) COSTOS  </v>
      </c>
      <c r="E15" s="3"/>
      <c r="F15" s="3"/>
      <c r="G15" s="138"/>
      <c r="H15" s="138">
        <f>'FLUJO DE CAJA CON SUBSIDIO'!H13</f>
        <v>271687.5</v>
      </c>
      <c r="I15" s="138">
        <f>'FLUJO DE CAJA CON SUBSIDIO'!I13</f>
        <v>284625</v>
      </c>
      <c r="J15" s="138">
        <f>'FLUJO DE CAJA CON SUBSIDIO'!J13</f>
        <v>297562.5</v>
      </c>
      <c r="K15" s="138">
        <f>'FLUJO DE CAJA CON SUBSIDIO'!K13</f>
        <v>310500</v>
      </c>
      <c r="L15" s="138">
        <f>'FLUJO DE CAJA CON SUBSIDIO'!L13</f>
        <v>323437.5</v>
      </c>
    </row>
    <row r="16" spans="4:12">
      <c r="D16" s="20" t="str">
        <f>'FLUJO DE CAJA CON SUBSIDIO'!D14</f>
        <v>(=) UTILIDAD BRUTA</v>
      </c>
      <c r="E16" s="3"/>
      <c r="F16" s="3"/>
      <c r="G16" s="138"/>
      <c r="H16" s="138">
        <f>H14-H15</f>
        <v>-219403.5</v>
      </c>
      <c r="I16" s="138">
        <f>I14-I15</f>
        <v>-231295.32</v>
      </c>
      <c r="J16" s="138">
        <f t="shared" ref="J16:L16" si="1">J14-J15</f>
        <v>-243166.22639999999</v>
      </c>
      <c r="K16" s="138">
        <f t="shared" si="1"/>
        <v>-255015.80092800001</v>
      </c>
      <c r="L16" s="138">
        <f t="shared" si="1"/>
        <v>-266843.61694655998</v>
      </c>
    </row>
    <row r="17" spans="4:12">
      <c r="D17" s="20" t="str">
        <f>'FLUJO DE CAJA CON SUBSIDIO'!D15</f>
        <v>(-) SUELDOS Y SALARIOS</v>
      </c>
      <c r="E17" s="3"/>
      <c r="F17" s="3"/>
      <c r="G17" s="138"/>
      <c r="H17" s="140">
        <f>'FLUJO DE CAJA CON SUBSIDIO'!H15</f>
        <v>161567.04000000001</v>
      </c>
      <c r="I17" s="140">
        <f>'FLUJO DE CAJA CON SUBSIDIO'!I15</f>
        <v>161567.04000000001</v>
      </c>
      <c r="J17" s="140">
        <f>'FLUJO DE CAJA CON SUBSIDIO'!J15</f>
        <v>161567.04000000001</v>
      </c>
      <c r="K17" s="140">
        <f>'FLUJO DE CAJA CON SUBSIDIO'!K15</f>
        <v>161567.04000000001</v>
      </c>
      <c r="L17" s="140">
        <f>'FLUJO DE CAJA CON SUBSIDIO'!L15</f>
        <v>161567.04000000001</v>
      </c>
    </row>
    <row r="18" spans="4:12">
      <c r="D18" s="3" t="str">
        <f>'FLUJO DE CAJA CON SUBSIDIO'!D16</f>
        <v>(-) GASTOS   ADMINISTRATIVOS</v>
      </c>
      <c r="E18" s="3"/>
      <c r="F18" s="3"/>
      <c r="G18" s="138"/>
      <c r="H18" s="138">
        <f>'FLUJO DE CAJA CON SUBSIDIO'!H16</f>
        <v>91588.680000000008</v>
      </c>
      <c r="I18" s="138">
        <f>'FLUJO DE CAJA CON SUBSIDIO'!I16</f>
        <v>91588.680000000008</v>
      </c>
      <c r="J18" s="138">
        <f>'FLUJO DE CAJA CON SUBSIDIO'!J16</f>
        <v>91588.680000000008</v>
      </c>
      <c r="K18" s="138">
        <f>'FLUJO DE CAJA CON SUBSIDIO'!K16</f>
        <v>91588.680000000008</v>
      </c>
      <c r="L18" s="138">
        <f>'FLUJO DE CAJA CON SUBSIDIO'!L16</f>
        <v>91588.680000000008</v>
      </c>
    </row>
    <row r="19" spans="4:12">
      <c r="D19" s="3" t="str">
        <f>'FLUJO DE CAJA CON SUBSIDIO'!D17</f>
        <v>(-) DEP. ACTIVO FIJO</v>
      </c>
      <c r="E19" s="3"/>
      <c r="F19" s="3"/>
      <c r="G19" s="138"/>
      <c r="H19" s="138">
        <f>'FLUJO DE CAJA CON SUBSIDIO'!H17</f>
        <v>64092.366666666669</v>
      </c>
      <c r="I19" s="138">
        <f>'FLUJO DE CAJA CON SUBSIDIO'!I17</f>
        <v>64092.366666666669</v>
      </c>
      <c r="J19" s="138">
        <f>'FLUJO DE CAJA CON SUBSIDIO'!J17</f>
        <v>64092.366666666669</v>
      </c>
      <c r="K19" s="138">
        <f>'FLUJO DE CAJA CON SUBSIDIO'!K17</f>
        <v>64092.366666666669</v>
      </c>
      <c r="L19" s="138">
        <f>'FLUJO DE CAJA CON SUBSIDIO'!L17</f>
        <v>64092.366666666669</v>
      </c>
    </row>
    <row r="20" spans="4:12">
      <c r="D20" s="3" t="str">
        <f>'FLUJO DE CAJA CON SUBSIDIO'!D18</f>
        <v>(=) UTILIDAD OPERACIONAL</v>
      </c>
      <c r="E20" s="3"/>
      <c r="F20" s="3"/>
      <c r="G20" s="138"/>
      <c r="H20" s="138">
        <f>'FLUJO DE CAJA CON SUBSIDIO'!H18</f>
        <v>45138.413333333316</v>
      </c>
      <c r="I20" s="138">
        <f>'FLUJO DE CAJA CON SUBSIDIO'!I18</f>
        <v>626672.3933333332</v>
      </c>
      <c r="J20" s="138">
        <f>'FLUJO DE CAJA CON SUBSIDIO'!J18</f>
        <v>1220095.8029333332</v>
      </c>
      <c r="K20" s="138">
        <f>'FLUJO DE CAJA CON SUBSIDIO'!K18</f>
        <v>1825646.4307253335</v>
      </c>
      <c r="L20" s="138">
        <f>'FLUJO DE CAJA CON SUBSIDIO'!L18</f>
        <v>2443566.8210731731</v>
      </c>
    </row>
    <row r="21" spans="4:12">
      <c r="D21" s="20" t="str">
        <f>'FLUJO DE CAJA CON SUBSIDIO'!D19</f>
        <v>(+) DEPRECIACION DE ACTIVO FIJO</v>
      </c>
      <c r="E21" s="3"/>
      <c r="F21" s="3"/>
      <c r="G21" s="138"/>
      <c r="H21" s="140">
        <f>H17-H18-H19-H20</f>
        <v>-39252.419999999984</v>
      </c>
      <c r="I21" s="140">
        <f t="shared" ref="I21:L21" si="2">I17-I18-I19-I20</f>
        <v>-620786.39999999991</v>
      </c>
      <c r="J21" s="140">
        <f t="shared" si="2"/>
        <v>-1214209.8095999998</v>
      </c>
      <c r="K21" s="140">
        <f t="shared" si="2"/>
        <v>-1819760.4373920001</v>
      </c>
      <c r="L21" s="140">
        <f t="shared" si="2"/>
        <v>-2437680.8277398399</v>
      </c>
    </row>
    <row r="22" spans="4:12">
      <c r="D22" s="3">
        <f>'FLUJO DE CAJA CON SUBSIDIO'!D20</f>
        <v>0</v>
      </c>
      <c r="E22" s="3"/>
      <c r="F22" s="3"/>
      <c r="G22" s="138"/>
      <c r="H22" s="138"/>
      <c r="I22" s="138"/>
      <c r="J22" s="138"/>
      <c r="K22" s="138"/>
      <c r="L22" s="138"/>
    </row>
    <row r="23" spans="4:12">
      <c r="D23" s="3" t="str">
        <f>'FLUJO DE CAJA CON SUBSIDIO'!D21</f>
        <v xml:space="preserve">INVERSIOIN   INICIAL </v>
      </c>
      <c r="E23" s="3"/>
      <c r="F23" s="3"/>
      <c r="G23" s="138">
        <f>'FLUJO DE CAJA CON SUBSIDIO'!G21</f>
        <v>974007</v>
      </c>
      <c r="H23" s="138"/>
      <c r="I23" s="138"/>
      <c r="J23" s="138"/>
      <c r="K23" s="138"/>
      <c r="L23" s="138"/>
    </row>
    <row r="24" spans="4:12">
      <c r="D24" s="3" t="str">
        <f>'FLUJO DE CAJA CON SUBSIDIO'!D22</f>
        <v>TERRENO</v>
      </c>
      <c r="E24" s="3"/>
      <c r="F24" s="3"/>
      <c r="G24" s="138">
        <f>'FLUJO DE CAJA CON SUBSIDIO'!G22</f>
        <v>60000</v>
      </c>
      <c r="H24" s="138"/>
      <c r="I24" s="138"/>
      <c r="J24" s="138"/>
      <c r="K24" s="138"/>
      <c r="L24" s="138"/>
    </row>
    <row r="25" spans="4:12">
      <c r="D25" s="3" t="str">
        <f>'FLUJO DE CAJA CON SUBSIDIO'!D23</f>
        <v>INVERSION TOTAL</v>
      </c>
      <c r="E25" s="3"/>
      <c r="F25" s="3"/>
      <c r="G25" s="138">
        <f>'FLUJO DE CAJA CON SUBSIDIO'!G23</f>
        <v>1034007</v>
      </c>
      <c r="H25" s="138"/>
      <c r="I25" s="138"/>
      <c r="J25" s="138"/>
      <c r="K25" s="138"/>
      <c r="L25" s="138"/>
    </row>
    <row r="26" spans="4:12">
      <c r="D26" s="3" t="str">
        <f>'FLUJO DE CAJA CON SUBSIDIO'!D24</f>
        <v>VALOR DE SALVAMENTO</v>
      </c>
      <c r="E26" s="3"/>
      <c r="F26" s="3"/>
      <c r="G26" s="138"/>
      <c r="H26" s="138"/>
      <c r="I26" s="138"/>
      <c r="J26" s="138"/>
      <c r="K26" s="138"/>
      <c r="L26" s="138">
        <f>'FLUJO DE CAJA CON SUBSIDIO'!L24</f>
        <v>647057.16666666663</v>
      </c>
    </row>
    <row r="27" spans="4:12">
      <c r="D27" s="3" t="str">
        <f>'FLUJO DE CAJA CON SUBSIDIO'!D25</f>
        <v>CAPITAL   DE TRABAJO</v>
      </c>
      <c r="E27" s="3"/>
      <c r="F27" s="3"/>
      <c r="G27" s="138"/>
      <c r="H27" s="138"/>
      <c r="I27" s="138"/>
      <c r="J27" s="138"/>
      <c r="K27" s="138"/>
      <c r="L27" s="138"/>
    </row>
    <row r="28" spans="4:12">
      <c r="D28" s="3" t="str">
        <f>'FLUJO DE CAJA CON SUBSIDIO'!D26</f>
        <v>REC. CAPITAL TRABAJO</v>
      </c>
      <c r="E28" s="3"/>
      <c r="F28" s="3"/>
      <c r="G28" s="138"/>
      <c r="H28" s="138"/>
      <c r="I28" s="138"/>
      <c r="J28" s="138"/>
      <c r="K28" s="138"/>
      <c r="L28" s="138"/>
    </row>
    <row r="29" spans="4:12">
      <c r="D29" s="3" t="str">
        <f>'FLUJO DE CAJA CON SUBSIDIO'!D27</f>
        <v xml:space="preserve">FLUJO  DE  CAJA   </v>
      </c>
      <c r="E29" s="3"/>
      <c r="F29" s="3"/>
      <c r="G29" s="138">
        <f>'FLUJO DE CAJA CON SUBSIDIO'!G27</f>
        <v>-1034007</v>
      </c>
      <c r="H29" s="138">
        <f>H20+H21</f>
        <v>5885.993333333332</v>
      </c>
      <c r="I29" s="138">
        <f t="shared" ref="I29:K29" si="3">I20+I21</f>
        <v>5885.9933333332883</v>
      </c>
      <c r="J29" s="138">
        <f t="shared" si="3"/>
        <v>5885.9933333334047</v>
      </c>
      <c r="K29" s="138">
        <f t="shared" si="3"/>
        <v>5885.9933333334047</v>
      </c>
      <c r="L29" s="138">
        <f>L20+L21+L26</f>
        <v>652943.1599999998</v>
      </c>
    </row>
    <row r="30" spans="4:12">
      <c r="D30" s="20" t="str">
        <f>'FLUJO DE CAJA CON SUBSIDIO'!D28</f>
        <v>TMAR</v>
      </c>
      <c r="E30" s="119">
        <f>'FLUJO DE CAJA CON SUBSIDIO'!E28</f>
        <v>0.12</v>
      </c>
      <c r="F30" s="3"/>
      <c r="G30" s="3"/>
      <c r="H30" s="3"/>
      <c r="I30" s="3"/>
      <c r="J30" s="3"/>
      <c r="K30" s="3"/>
      <c r="L30" s="3"/>
    </row>
    <row r="31" spans="4:12">
      <c r="D31" s="20" t="str">
        <f>'FLUJO DE CAJA CON SUBSIDIO'!D29</f>
        <v>VAN</v>
      </c>
      <c r="E31" s="123">
        <f>NPV(E30,G29:L29)</f>
        <v>-576456.87299373792</v>
      </c>
      <c r="F31" s="3"/>
      <c r="G31" s="3"/>
      <c r="H31" s="3"/>
      <c r="I31" s="3"/>
      <c r="J31" s="3"/>
      <c r="K31" s="3"/>
      <c r="L31" s="3"/>
    </row>
    <row r="32" spans="4:12">
      <c r="D32" s="20" t="str">
        <f>'FLUJO DE CAJA CON SUBSIDIO'!D30</f>
        <v>TIR</v>
      </c>
      <c r="E32" s="123">
        <f>IRR(G29:L29)</f>
        <v>-8.2574751014765468E-2</v>
      </c>
      <c r="F32" s="3"/>
      <c r="G32" s="3"/>
      <c r="H32" s="3"/>
      <c r="I32" s="3"/>
      <c r="J32" s="3"/>
      <c r="K32" s="3"/>
      <c r="L32" s="3"/>
    </row>
    <row r="33" spans="4:10">
      <c r="E33" s="158"/>
      <c r="F33" t="s">
        <v>254</v>
      </c>
    </row>
    <row r="35" spans="4:10">
      <c r="D35" s="76" t="str">
        <f>'FLUJO DE CAJA CON SUBSIDIO'!D36</f>
        <v>Año</v>
      </c>
      <c r="E35" s="76"/>
      <c r="F35" s="76">
        <f>'FLUJO DE CAJA CON SUBSIDIO'!F36</f>
        <v>1</v>
      </c>
      <c r="G35" s="76">
        <f>'FLUJO DE CAJA CON SUBSIDIO'!G36</f>
        <v>2</v>
      </c>
      <c r="H35" s="76">
        <f>'FLUJO DE CAJA CON SUBSIDIO'!H36</f>
        <v>3</v>
      </c>
      <c r="I35" s="76">
        <f>'FLUJO DE CAJA CON SUBSIDIO'!I36</f>
        <v>4</v>
      </c>
      <c r="J35" s="76">
        <f>'FLUJO DE CAJA CON SUBSIDIO'!J36</f>
        <v>5</v>
      </c>
    </row>
    <row r="36" spans="4:10">
      <c r="D36" s="3" t="str">
        <f>'FLUJO DE CAJA CON SUBSIDIO'!D37</f>
        <v>INGRESOS</v>
      </c>
      <c r="E36" s="3"/>
      <c r="F36" s="138">
        <f>'FLUJO DE CAJA CON SUBSIDIO'!F37</f>
        <v>52284</v>
      </c>
      <c r="G36" s="138">
        <f>$F$39</f>
        <v>52284</v>
      </c>
      <c r="H36" s="138">
        <f>$G$39</f>
        <v>53329.68</v>
      </c>
      <c r="I36" s="138">
        <f>$H$39</f>
        <v>54396.2736</v>
      </c>
      <c r="J36" s="138">
        <f>$I$39</f>
        <v>55484.199072000003</v>
      </c>
    </row>
    <row r="37" spans="4:10">
      <c r="D37" s="3" t="str">
        <f>'FLUJO DE CAJA CON SUBSIDIO'!D38</f>
        <v>INCREMENTO DE INGRESOS</v>
      </c>
      <c r="E37" s="119">
        <v>0.02</v>
      </c>
      <c r="F37" s="138"/>
      <c r="G37" s="138">
        <f>G36*E37</f>
        <v>1045.68</v>
      </c>
      <c r="H37" s="138">
        <f>H36*E37</f>
        <v>1066.5935999999999</v>
      </c>
      <c r="I37" s="138">
        <f>I36*E37</f>
        <v>1087.9254720000001</v>
      </c>
      <c r="J37" s="138">
        <f>J36*E37</f>
        <v>1109.68398144</v>
      </c>
    </row>
    <row r="38" spans="4:10">
      <c r="D38" s="3"/>
      <c r="E38" s="3"/>
      <c r="F38" s="138"/>
      <c r="G38" s="138"/>
      <c r="H38" s="138"/>
      <c r="I38" s="138"/>
      <c r="J38" s="138"/>
    </row>
    <row r="39" spans="4:10">
      <c r="D39" s="20" t="str">
        <f>'FLUJO DE CAJA CON SUBSIDIO'!D41</f>
        <v>Ingresos TOTALES</v>
      </c>
      <c r="E39" s="20"/>
      <c r="F39" s="140">
        <f>'FLUJO DE CAJA SIN SUBSIDIO'!F36+'FLUJO DE CAJA SIN SUBSIDIO'!F37</f>
        <v>52284</v>
      </c>
      <c r="G39" s="140">
        <f>G36+G37</f>
        <v>53329.68</v>
      </c>
      <c r="H39" s="140">
        <f>H36+H37</f>
        <v>54396.2736</v>
      </c>
      <c r="I39" s="140">
        <f>I36+I37</f>
        <v>55484.199072000003</v>
      </c>
      <c r="J39" s="140">
        <f>J36+J37</f>
        <v>56593.883053440004</v>
      </c>
    </row>
    <row r="40" spans="4:10">
      <c r="D40" s="3"/>
      <c r="E40" s="3"/>
      <c r="F40" s="3"/>
      <c r="G40" s="3"/>
      <c r="H40" s="3"/>
      <c r="I40" s="3"/>
      <c r="J40" s="3"/>
    </row>
    <row r="41" spans="4:10">
      <c r="E41" t="s">
        <v>254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37"/>
  <sheetViews>
    <sheetView workbookViewId="0">
      <selection activeCell="A5" sqref="A5:G14"/>
    </sheetView>
  </sheetViews>
  <sheetFormatPr baseColWidth="10" defaultRowHeight="15"/>
  <cols>
    <col min="1" max="1" width="30.5703125" customWidth="1"/>
    <col min="3" max="3" width="33.28515625" customWidth="1"/>
    <col min="4" max="4" width="18.85546875" customWidth="1"/>
    <col min="5" max="5" width="12.42578125" customWidth="1"/>
    <col min="6" max="6" width="16.7109375" customWidth="1"/>
    <col min="7" max="7" width="14.5703125" customWidth="1"/>
  </cols>
  <sheetData>
    <row r="3" spans="1:7">
      <c r="A3" s="65" t="s">
        <v>103</v>
      </c>
      <c r="B3" s="65"/>
      <c r="C3" s="65"/>
    </row>
    <row r="4" spans="1:7">
      <c r="A4" s="65"/>
      <c r="B4" s="65"/>
      <c r="C4" s="65"/>
    </row>
    <row r="5" spans="1:7">
      <c r="A5" s="40" t="s">
        <v>104</v>
      </c>
      <c r="B5" s="40" t="s">
        <v>0</v>
      </c>
      <c r="C5" s="40" t="s">
        <v>105</v>
      </c>
      <c r="D5" s="40" t="s">
        <v>122</v>
      </c>
      <c r="E5" s="69" t="s">
        <v>123</v>
      </c>
      <c r="F5" s="40" t="s">
        <v>46</v>
      </c>
      <c r="G5" s="40" t="s">
        <v>124</v>
      </c>
    </row>
    <row r="6" spans="1:7" ht="15.75">
      <c r="A6" s="3" t="s">
        <v>106</v>
      </c>
      <c r="B6" s="3">
        <v>1</v>
      </c>
      <c r="C6" s="3" t="s">
        <v>107</v>
      </c>
      <c r="D6" s="9">
        <f>(F7*E6)</f>
        <v>2019.588</v>
      </c>
      <c r="E6" s="67">
        <v>0.15</v>
      </c>
      <c r="F6" s="106"/>
      <c r="G6" s="9">
        <f>D6*12</f>
        <v>24235.056</v>
      </c>
    </row>
    <row r="7" spans="1:7" ht="15.75">
      <c r="A7" s="3" t="s">
        <v>108</v>
      </c>
      <c r="B7" s="3">
        <v>1</v>
      </c>
      <c r="C7" s="3" t="s">
        <v>107</v>
      </c>
      <c r="D7" s="9">
        <f>(F7*E7)</f>
        <v>2019.588</v>
      </c>
      <c r="E7" s="67">
        <v>0.15</v>
      </c>
      <c r="F7" s="106">
        <v>13463.92</v>
      </c>
      <c r="G7" s="9">
        <f t="shared" ref="G7:G13" si="0">D7*12</f>
        <v>24235.056</v>
      </c>
    </row>
    <row r="8" spans="1:7" ht="15.75">
      <c r="A8" s="3" t="s">
        <v>109</v>
      </c>
      <c r="B8" s="3">
        <v>1</v>
      </c>
      <c r="C8" s="3" t="s">
        <v>110</v>
      </c>
      <c r="D8" s="9">
        <f>(F7*E8)</f>
        <v>673.19600000000003</v>
      </c>
      <c r="E8" s="67">
        <v>0.05</v>
      </c>
      <c r="F8" s="106"/>
      <c r="G8" s="9">
        <f t="shared" si="0"/>
        <v>8078.3520000000008</v>
      </c>
    </row>
    <row r="9" spans="1:7" ht="15.75">
      <c r="A9" s="3" t="s">
        <v>111</v>
      </c>
      <c r="B9" s="3">
        <v>1</v>
      </c>
      <c r="C9" s="3" t="s">
        <v>112</v>
      </c>
      <c r="D9" s="9">
        <f>(F7*E9)</f>
        <v>3365.98</v>
      </c>
      <c r="E9" s="67">
        <v>0.25</v>
      </c>
      <c r="F9" s="106"/>
      <c r="G9" s="9">
        <f t="shared" si="0"/>
        <v>40391.760000000002</v>
      </c>
    </row>
    <row r="10" spans="1:7" ht="15.75">
      <c r="A10" s="3" t="s">
        <v>113</v>
      </c>
      <c r="B10" s="3">
        <v>1</v>
      </c>
      <c r="C10" s="3" t="s">
        <v>114</v>
      </c>
      <c r="D10" s="9">
        <f>(F7*E10)</f>
        <v>1615.6704</v>
      </c>
      <c r="E10" s="67">
        <v>0.12</v>
      </c>
      <c r="F10" s="106"/>
      <c r="G10" s="9">
        <f t="shared" si="0"/>
        <v>19388.0448</v>
      </c>
    </row>
    <row r="11" spans="1:7" ht="15.75">
      <c r="A11" s="3" t="s">
        <v>115</v>
      </c>
      <c r="B11" s="3">
        <v>1</v>
      </c>
      <c r="C11" s="3" t="s">
        <v>116</v>
      </c>
      <c r="D11" s="9">
        <f>(F7*E11)</f>
        <v>1077.1136000000001</v>
      </c>
      <c r="E11" s="67">
        <v>0.08</v>
      </c>
      <c r="F11" s="106"/>
      <c r="G11" s="9">
        <f t="shared" si="0"/>
        <v>12925.363200000002</v>
      </c>
    </row>
    <row r="12" spans="1:7" ht="15.75">
      <c r="A12" s="3" t="s">
        <v>117</v>
      </c>
      <c r="B12" s="3">
        <v>1</v>
      </c>
      <c r="C12" s="3" t="s">
        <v>118</v>
      </c>
      <c r="D12" s="9">
        <f>(F7*E12)</f>
        <v>1346.3920000000001</v>
      </c>
      <c r="E12" s="67">
        <v>0.1</v>
      </c>
      <c r="F12" s="70"/>
      <c r="G12" s="9">
        <f t="shared" si="0"/>
        <v>16156.704000000002</v>
      </c>
    </row>
    <row r="13" spans="1:7" ht="15.75">
      <c r="A13" s="3" t="s">
        <v>119</v>
      </c>
      <c r="B13" s="3">
        <v>1</v>
      </c>
      <c r="C13" s="3" t="s">
        <v>118</v>
      </c>
      <c r="D13" s="9">
        <f>(F7*E13)</f>
        <v>1346.3920000000001</v>
      </c>
      <c r="E13" s="67">
        <v>0.1</v>
      </c>
      <c r="F13" s="70"/>
      <c r="G13" s="9">
        <f t="shared" si="0"/>
        <v>16156.704000000002</v>
      </c>
    </row>
    <row r="14" spans="1:7" ht="15.75">
      <c r="A14" s="3"/>
      <c r="B14" s="3"/>
      <c r="C14" s="3"/>
      <c r="D14" s="101">
        <f>SUM(D6:D13)</f>
        <v>13463.920000000002</v>
      </c>
      <c r="E14" s="68">
        <f>SUM(E6:E13)</f>
        <v>0.99999999999999989</v>
      </c>
      <c r="F14" s="71"/>
      <c r="G14" s="101">
        <f>SUM(G6:G13)</f>
        <v>161567.04000000001</v>
      </c>
    </row>
    <row r="16" spans="1:7">
      <c r="A16" s="35"/>
      <c r="B16" s="72"/>
      <c r="C16" s="35"/>
      <c r="D16" s="72"/>
      <c r="E16" s="72"/>
      <c r="F16" s="35"/>
    </row>
    <row r="17" spans="1:8">
      <c r="A17" s="44"/>
      <c r="B17" s="44"/>
      <c r="C17" s="44"/>
      <c r="D17" s="44"/>
      <c r="E17" s="44"/>
      <c r="F17" s="44"/>
    </row>
    <row r="18" spans="1:8">
      <c r="A18" s="44"/>
      <c r="B18" s="44"/>
      <c r="C18" s="44"/>
      <c r="D18" s="44"/>
      <c r="E18" s="44"/>
      <c r="F18" s="44"/>
    </row>
    <row r="24" spans="1:8">
      <c r="A24" s="57"/>
      <c r="B24" s="57"/>
      <c r="C24" s="57"/>
      <c r="D24" s="35"/>
      <c r="E24" s="35"/>
      <c r="F24" s="35"/>
      <c r="G24" s="35"/>
      <c r="H24" s="35"/>
    </row>
    <row r="25" spans="1:8">
      <c r="A25" s="57"/>
      <c r="B25" s="57"/>
      <c r="C25" s="57"/>
      <c r="D25" s="35"/>
      <c r="E25" s="35"/>
      <c r="F25" s="35"/>
      <c r="G25" s="35"/>
      <c r="H25" s="35"/>
    </row>
    <row r="26" spans="1:8">
      <c r="A26" s="57"/>
      <c r="B26" s="57"/>
      <c r="C26" s="57"/>
      <c r="D26" s="57"/>
      <c r="E26" s="57"/>
      <c r="F26" s="57"/>
      <c r="G26" s="57"/>
      <c r="H26" s="35"/>
    </row>
    <row r="27" spans="1:8" ht="15.75">
      <c r="A27" s="35"/>
      <c r="B27" s="35"/>
      <c r="C27" s="35"/>
      <c r="D27" s="35"/>
      <c r="E27" s="73"/>
      <c r="F27" s="74"/>
      <c r="G27" s="35"/>
      <c r="H27" s="35"/>
    </row>
    <row r="28" spans="1:8" ht="15.75">
      <c r="A28" s="35"/>
      <c r="B28" s="35"/>
      <c r="C28" s="35"/>
      <c r="D28" s="35"/>
      <c r="E28" s="73"/>
      <c r="F28" s="74"/>
      <c r="G28" s="35"/>
      <c r="H28" s="35"/>
    </row>
    <row r="29" spans="1:8" ht="15.75">
      <c r="A29" s="35"/>
      <c r="B29" s="35"/>
      <c r="C29" s="35"/>
      <c r="D29" s="35"/>
      <c r="E29" s="73"/>
      <c r="F29" s="74"/>
      <c r="G29" s="35"/>
      <c r="H29" s="35"/>
    </row>
    <row r="30" spans="1:8" ht="15.75">
      <c r="A30" s="35"/>
      <c r="B30" s="35"/>
      <c r="C30" s="35"/>
      <c r="D30" s="35"/>
      <c r="E30" s="73"/>
      <c r="F30" s="74"/>
      <c r="G30" s="35"/>
      <c r="H30" s="35"/>
    </row>
    <row r="31" spans="1:8" ht="15.75">
      <c r="A31" s="35"/>
      <c r="B31" s="35"/>
      <c r="C31" s="35"/>
      <c r="D31" s="35"/>
      <c r="E31" s="73"/>
      <c r="F31" s="74"/>
      <c r="G31" s="35"/>
      <c r="H31" s="35"/>
    </row>
    <row r="32" spans="1:8" ht="15.75">
      <c r="A32" s="35"/>
      <c r="B32" s="35"/>
      <c r="C32" s="35"/>
      <c r="D32" s="35"/>
      <c r="E32" s="73"/>
      <c r="F32" s="74"/>
      <c r="G32" s="35"/>
      <c r="H32" s="35"/>
    </row>
    <row r="33" spans="1:8" ht="15.75">
      <c r="A33" s="35"/>
      <c r="B33" s="35"/>
      <c r="C33" s="35"/>
      <c r="D33" s="35"/>
      <c r="E33" s="73"/>
      <c r="F33" s="74"/>
      <c r="G33" s="35"/>
      <c r="H33" s="35"/>
    </row>
    <row r="34" spans="1:8" ht="15.75">
      <c r="A34" s="35"/>
      <c r="B34" s="35"/>
      <c r="C34" s="35"/>
      <c r="D34" s="35"/>
      <c r="E34" s="73"/>
      <c r="F34" s="74"/>
      <c r="G34" s="35"/>
      <c r="H34" s="35"/>
    </row>
    <row r="35" spans="1:8" ht="15.75">
      <c r="A35" s="35"/>
      <c r="B35" s="35"/>
      <c r="C35" s="35"/>
      <c r="D35" s="35"/>
      <c r="E35" s="75"/>
      <c r="F35" s="74"/>
      <c r="G35" s="35"/>
      <c r="H35" s="35"/>
    </row>
    <row r="36" spans="1:8">
      <c r="A36" s="35"/>
      <c r="B36" s="35"/>
      <c r="C36" s="35"/>
      <c r="D36" s="35"/>
      <c r="E36" s="35"/>
      <c r="F36" s="35"/>
      <c r="G36" s="35"/>
      <c r="H36" s="35"/>
    </row>
    <row r="37" spans="1:8">
      <c r="A37" s="35"/>
      <c r="B37" s="35"/>
      <c r="C37" s="35"/>
      <c r="D37" s="35"/>
      <c r="E37" s="35"/>
      <c r="F37" s="35"/>
      <c r="G37" s="35"/>
      <c r="H37" s="35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4:H83"/>
  <sheetViews>
    <sheetView topLeftCell="A65" workbookViewId="0">
      <selection activeCell="C2" sqref="C2"/>
    </sheetView>
  </sheetViews>
  <sheetFormatPr baseColWidth="10" defaultRowHeight="15"/>
  <cols>
    <col min="2" max="2" width="50.42578125" customWidth="1"/>
    <col min="3" max="3" width="10.28515625" customWidth="1"/>
    <col min="4" max="4" width="14.85546875" customWidth="1"/>
    <col min="5" max="5" width="14.28515625" customWidth="1"/>
    <col min="6" max="6" width="20.7109375" customWidth="1"/>
    <col min="7" max="7" width="21.5703125" customWidth="1"/>
    <col min="8" max="8" width="14.85546875" customWidth="1"/>
  </cols>
  <sheetData>
    <row r="4" spans="2:8">
      <c r="B4" s="41" t="s">
        <v>1</v>
      </c>
      <c r="C4" s="96" t="s">
        <v>0</v>
      </c>
      <c r="D4" s="41" t="s">
        <v>187</v>
      </c>
      <c r="E4" s="41" t="s">
        <v>130</v>
      </c>
      <c r="F4" s="41" t="s">
        <v>189</v>
      </c>
      <c r="G4" s="161" t="s">
        <v>249</v>
      </c>
      <c r="H4" s="40" t="s">
        <v>190</v>
      </c>
    </row>
    <row r="5" spans="2:8">
      <c r="B5" s="76"/>
      <c r="C5" s="77"/>
      <c r="D5" s="76"/>
      <c r="E5" s="76"/>
      <c r="F5" s="76"/>
      <c r="G5" s="76"/>
      <c r="H5" s="76"/>
    </row>
    <row r="6" spans="2:8">
      <c r="B6" s="20" t="s">
        <v>125</v>
      </c>
      <c r="C6" s="78"/>
      <c r="D6" s="3"/>
      <c r="E6" s="3"/>
      <c r="F6" s="3"/>
      <c r="G6" s="9"/>
      <c r="H6" s="20"/>
    </row>
    <row r="7" spans="2:8">
      <c r="B7" s="79" t="s">
        <v>132</v>
      </c>
      <c r="C7" s="78">
        <v>7</v>
      </c>
      <c r="D7" s="3"/>
      <c r="E7" s="9">
        <v>250</v>
      </c>
      <c r="F7" s="9">
        <f>(E7*C7)</f>
        <v>1750</v>
      </c>
      <c r="G7" s="9"/>
      <c r="H7" s="20"/>
    </row>
    <row r="8" spans="2:8">
      <c r="B8" s="80" t="s">
        <v>186</v>
      </c>
      <c r="C8" s="78">
        <v>1</v>
      </c>
      <c r="D8" s="3"/>
      <c r="E8" s="9">
        <v>250</v>
      </c>
      <c r="F8" s="9">
        <f>(E8*C8)</f>
        <v>250</v>
      </c>
      <c r="G8" s="9"/>
      <c r="H8" s="20"/>
    </row>
    <row r="9" spans="2:8">
      <c r="B9" s="81" t="s">
        <v>133</v>
      </c>
      <c r="C9" s="78">
        <v>8</v>
      </c>
      <c r="D9" s="3"/>
      <c r="E9" s="9">
        <v>169</v>
      </c>
      <c r="F9" s="9">
        <f t="shared" ref="F9:F29" si="0">(E9*C9)</f>
        <v>1352</v>
      </c>
      <c r="G9" s="9"/>
      <c r="H9" s="20"/>
    </row>
    <row r="10" spans="2:8">
      <c r="B10" s="81" t="s">
        <v>134</v>
      </c>
      <c r="C10" s="78">
        <v>1</v>
      </c>
      <c r="D10" s="3"/>
      <c r="E10" s="9">
        <v>55</v>
      </c>
      <c r="F10" s="9">
        <f t="shared" si="0"/>
        <v>55</v>
      </c>
      <c r="G10" s="9"/>
      <c r="H10" s="20"/>
    </row>
    <row r="11" spans="2:8">
      <c r="B11" s="81" t="s">
        <v>135</v>
      </c>
      <c r="C11" s="78">
        <v>29</v>
      </c>
      <c r="D11" s="3"/>
      <c r="E11" s="9">
        <v>45</v>
      </c>
      <c r="F11" s="9">
        <f t="shared" si="0"/>
        <v>1305</v>
      </c>
      <c r="G11" s="9"/>
      <c r="H11" s="20"/>
    </row>
    <row r="12" spans="2:8">
      <c r="B12" s="82" t="s">
        <v>136</v>
      </c>
      <c r="C12" s="78">
        <v>8</v>
      </c>
      <c r="D12" s="3"/>
      <c r="E12" s="9">
        <v>151</v>
      </c>
      <c r="F12" s="9">
        <f t="shared" si="0"/>
        <v>1208</v>
      </c>
      <c r="G12" s="9"/>
      <c r="H12" s="20"/>
    </row>
    <row r="13" spans="2:8">
      <c r="B13" s="83" t="s">
        <v>137</v>
      </c>
      <c r="C13" s="78">
        <v>4</v>
      </c>
      <c r="D13" s="3"/>
      <c r="E13" s="9">
        <v>85</v>
      </c>
      <c r="F13" s="9">
        <f t="shared" si="0"/>
        <v>340</v>
      </c>
      <c r="G13" s="9"/>
      <c r="H13" s="20"/>
    </row>
    <row r="14" spans="2:8">
      <c r="B14" s="84" t="s">
        <v>138</v>
      </c>
      <c r="C14" s="78">
        <v>1</v>
      </c>
      <c r="D14" s="3"/>
      <c r="E14" s="9">
        <v>149</v>
      </c>
      <c r="F14" s="9">
        <f t="shared" si="0"/>
        <v>149</v>
      </c>
      <c r="G14" s="9"/>
      <c r="H14" s="20"/>
    </row>
    <row r="15" spans="2:8">
      <c r="B15" s="85" t="s">
        <v>139</v>
      </c>
      <c r="C15" s="78">
        <v>2</v>
      </c>
      <c r="D15" s="3"/>
      <c r="E15" s="9">
        <v>130</v>
      </c>
      <c r="F15" s="9">
        <f t="shared" si="0"/>
        <v>260</v>
      </c>
      <c r="G15" s="9"/>
      <c r="H15" s="20"/>
    </row>
    <row r="16" spans="2:8">
      <c r="B16" s="86" t="s">
        <v>140</v>
      </c>
      <c r="C16" s="78">
        <v>2</v>
      </c>
      <c r="D16" s="3"/>
      <c r="E16" s="9">
        <v>100</v>
      </c>
      <c r="F16" s="9">
        <f t="shared" si="0"/>
        <v>200</v>
      </c>
      <c r="G16" s="9"/>
      <c r="H16" s="20">
        <v>10</v>
      </c>
    </row>
    <row r="17" spans="2:8">
      <c r="B17" s="87" t="s">
        <v>138</v>
      </c>
      <c r="C17" s="78">
        <v>1</v>
      </c>
      <c r="D17" s="3"/>
      <c r="E17" s="9">
        <v>150</v>
      </c>
      <c r="F17" s="9">
        <f t="shared" si="0"/>
        <v>150</v>
      </c>
      <c r="G17" s="9"/>
      <c r="H17" s="20"/>
    </row>
    <row r="18" spans="2:8">
      <c r="B18" s="88" t="s">
        <v>126</v>
      </c>
      <c r="C18" s="78">
        <v>1</v>
      </c>
      <c r="D18" s="3"/>
      <c r="E18" s="9">
        <v>160</v>
      </c>
      <c r="F18" s="9">
        <f t="shared" si="0"/>
        <v>160</v>
      </c>
      <c r="G18" s="9"/>
      <c r="H18" s="20"/>
    </row>
    <row r="19" spans="2:8">
      <c r="B19" s="89" t="s">
        <v>141</v>
      </c>
      <c r="C19" s="78">
        <v>1</v>
      </c>
      <c r="D19" s="3"/>
      <c r="E19" s="9">
        <v>42</v>
      </c>
      <c r="F19" s="9">
        <f t="shared" si="0"/>
        <v>42</v>
      </c>
      <c r="G19" s="9"/>
      <c r="H19" s="20"/>
    </row>
    <row r="20" spans="2:8">
      <c r="B20" s="89" t="s">
        <v>142</v>
      </c>
      <c r="C20" s="78">
        <v>2</v>
      </c>
      <c r="D20" s="3"/>
      <c r="E20" s="9">
        <v>150</v>
      </c>
      <c r="F20" s="9">
        <f t="shared" si="0"/>
        <v>300</v>
      </c>
      <c r="G20" s="9"/>
      <c r="H20" s="20"/>
    </row>
    <row r="21" spans="2:8">
      <c r="B21" s="90" t="s">
        <v>188</v>
      </c>
      <c r="C21" s="78">
        <v>1</v>
      </c>
      <c r="D21" s="3"/>
      <c r="E21" s="9">
        <v>210</v>
      </c>
      <c r="F21" s="9">
        <f t="shared" si="0"/>
        <v>210</v>
      </c>
      <c r="G21" s="9"/>
      <c r="H21" s="20"/>
    </row>
    <row r="22" spans="2:8">
      <c r="B22" s="91" t="s">
        <v>127</v>
      </c>
      <c r="C22" s="78">
        <v>1</v>
      </c>
      <c r="D22" s="3"/>
      <c r="E22" s="9">
        <v>42</v>
      </c>
      <c r="F22" s="9">
        <f t="shared" si="0"/>
        <v>42</v>
      </c>
      <c r="G22" s="9"/>
      <c r="H22" s="20"/>
    </row>
    <row r="23" spans="2:8">
      <c r="B23" s="92" t="s">
        <v>143</v>
      </c>
      <c r="C23" s="78">
        <v>4</v>
      </c>
      <c r="D23" s="3"/>
      <c r="E23" s="9">
        <v>140</v>
      </c>
      <c r="F23" s="9">
        <f t="shared" si="0"/>
        <v>560</v>
      </c>
      <c r="G23" s="9"/>
      <c r="H23" s="20"/>
    </row>
    <row r="24" spans="2:8">
      <c r="B24" s="92" t="s">
        <v>131</v>
      </c>
      <c r="C24" s="78">
        <v>1</v>
      </c>
      <c r="D24" s="3"/>
      <c r="E24" s="9">
        <v>230</v>
      </c>
      <c r="F24" s="9">
        <f t="shared" si="0"/>
        <v>230</v>
      </c>
      <c r="G24" s="9"/>
      <c r="H24" s="20"/>
    </row>
    <row r="25" spans="2:8">
      <c r="B25" s="92" t="s">
        <v>144</v>
      </c>
      <c r="C25" s="78">
        <v>2</v>
      </c>
      <c r="D25" s="3"/>
      <c r="E25" s="9">
        <v>90</v>
      </c>
      <c r="F25" s="9">
        <f t="shared" si="0"/>
        <v>180</v>
      </c>
      <c r="G25" s="9"/>
      <c r="H25" s="20"/>
    </row>
    <row r="26" spans="2:8">
      <c r="B26" s="92" t="s">
        <v>145</v>
      </c>
      <c r="C26" s="78">
        <v>1</v>
      </c>
      <c r="D26" s="3"/>
      <c r="E26" s="9">
        <v>75</v>
      </c>
      <c r="F26" s="9">
        <f t="shared" si="0"/>
        <v>75</v>
      </c>
      <c r="G26" s="9"/>
      <c r="H26" s="20"/>
    </row>
    <row r="27" spans="2:8">
      <c r="B27" s="92" t="s">
        <v>146</v>
      </c>
      <c r="C27" s="78">
        <v>5</v>
      </c>
      <c r="D27" s="3"/>
      <c r="E27" s="9">
        <v>165</v>
      </c>
      <c r="F27" s="9">
        <f t="shared" si="0"/>
        <v>825</v>
      </c>
      <c r="G27" s="9"/>
      <c r="H27" s="20"/>
    </row>
    <row r="28" spans="2:8">
      <c r="B28" s="92" t="s">
        <v>128</v>
      </c>
      <c r="C28" s="78">
        <v>3</v>
      </c>
      <c r="D28" s="3"/>
      <c r="E28" s="9">
        <v>180</v>
      </c>
      <c r="F28" s="9">
        <f t="shared" si="0"/>
        <v>540</v>
      </c>
      <c r="G28" s="9"/>
      <c r="H28" s="20"/>
    </row>
    <row r="29" spans="2:8">
      <c r="B29" s="92" t="s">
        <v>129</v>
      </c>
      <c r="C29" s="78">
        <v>10</v>
      </c>
      <c r="D29" s="3"/>
      <c r="E29" s="9">
        <v>98</v>
      </c>
      <c r="F29" s="9">
        <f t="shared" si="0"/>
        <v>980</v>
      </c>
      <c r="G29" s="9"/>
      <c r="H29" s="20"/>
    </row>
    <row r="30" spans="2:8">
      <c r="B30" s="93" t="s">
        <v>62</v>
      </c>
      <c r="C30" s="94"/>
      <c r="D30" s="97">
        <f>SUM(C7:C29)</f>
        <v>96</v>
      </c>
      <c r="E30" s="98">
        <f>SUM(E7:E29)</f>
        <v>3116</v>
      </c>
      <c r="F30" s="98"/>
      <c r="G30" s="98">
        <f>SUM(F7:F29)</f>
        <v>11163</v>
      </c>
      <c r="H30" s="20"/>
    </row>
    <row r="31" spans="2:8">
      <c r="B31" s="20" t="s">
        <v>147</v>
      </c>
      <c r="C31" s="95"/>
      <c r="D31" s="3"/>
      <c r="E31" s="9"/>
      <c r="F31" s="9"/>
      <c r="G31" s="9"/>
      <c r="H31" s="20">
        <v>10</v>
      </c>
    </row>
    <row r="32" spans="2:8">
      <c r="B32" s="3" t="s">
        <v>148</v>
      </c>
      <c r="C32" s="78">
        <v>4</v>
      </c>
      <c r="D32" s="3"/>
      <c r="E32" s="9">
        <v>35</v>
      </c>
      <c r="F32" s="9">
        <f>(E32*C32)</f>
        <v>140</v>
      </c>
      <c r="G32" s="9"/>
      <c r="H32" s="20"/>
    </row>
    <row r="33" spans="2:8">
      <c r="B33" s="3" t="s">
        <v>149</v>
      </c>
      <c r="C33" s="78">
        <v>10</v>
      </c>
      <c r="D33" s="3"/>
      <c r="E33" s="9">
        <v>35</v>
      </c>
      <c r="F33" s="9">
        <f>(E33*C33)</f>
        <v>350</v>
      </c>
      <c r="G33" s="9"/>
      <c r="H33" s="20"/>
    </row>
    <row r="34" spans="2:8">
      <c r="B34" s="3" t="s">
        <v>150</v>
      </c>
      <c r="C34" s="78">
        <v>1</v>
      </c>
      <c r="D34" s="3"/>
      <c r="E34" s="9">
        <v>189</v>
      </c>
      <c r="F34" s="9">
        <f t="shared" ref="F34:F40" si="1">(E34*C34)</f>
        <v>189</v>
      </c>
      <c r="G34" s="9"/>
      <c r="H34" s="20"/>
    </row>
    <row r="35" spans="2:8">
      <c r="B35" s="3" t="s">
        <v>151</v>
      </c>
      <c r="C35" s="78">
        <v>6</v>
      </c>
      <c r="D35" s="3"/>
      <c r="E35" s="9">
        <v>400</v>
      </c>
      <c r="F35" s="9">
        <f t="shared" si="1"/>
        <v>2400</v>
      </c>
      <c r="G35" s="9"/>
      <c r="H35" s="20"/>
    </row>
    <row r="36" spans="2:8">
      <c r="B36" s="3" t="s">
        <v>152</v>
      </c>
      <c r="C36" s="78">
        <v>12</v>
      </c>
      <c r="D36" s="3"/>
      <c r="E36" s="9">
        <v>85</v>
      </c>
      <c r="F36" s="9">
        <f t="shared" si="1"/>
        <v>1020</v>
      </c>
      <c r="G36" s="9"/>
      <c r="H36" s="20"/>
    </row>
    <row r="37" spans="2:8">
      <c r="B37" s="3" t="s">
        <v>153</v>
      </c>
      <c r="C37" s="78">
        <v>3</v>
      </c>
      <c r="D37" s="3"/>
      <c r="E37" s="9">
        <v>450</v>
      </c>
      <c r="F37" s="9">
        <f t="shared" si="1"/>
        <v>1350</v>
      </c>
      <c r="G37" s="9"/>
      <c r="H37" s="20"/>
    </row>
    <row r="38" spans="2:8">
      <c r="B38" s="3" t="s">
        <v>154</v>
      </c>
      <c r="C38" s="78">
        <v>3</v>
      </c>
      <c r="D38" s="3"/>
      <c r="E38" s="9">
        <v>75</v>
      </c>
      <c r="F38" s="9">
        <f t="shared" si="1"/>
        <v>225</v>
      </c>
      <c r="G38" s="9"/>
      <c r="H38" s="20"/>
    </row>
    <row r="39" spans="2:8">
      <c r="B39" s="3" t="s">
        <v>155</v>
      </c>
      <c r="C39" s="78">
        <v>1</v>
      </c>
      <c r="D39" s="3"/>
      <c r="E39" s="9">
        <v>18</v>
      </c>
      <c r="F39" s="9">
        <f t="shared" si="1"/>
        <v>18</v>
      </c>
      <c r="G39" s="9"/>
      <c r="H39" s="20"/>
    </row>
    <row r="40" spans="2:8">
      <c r="B40" s="3" t="s">
        <v>156</v>
      </c>
      <c r="C40" s="78">
        <v>2</v>
      </c>
      <c r="D40" s="3"/>
      <c r="E40" s="9">
        <v>115</v>
      </c>
      <c r="F40" s="9">
        <f t="shared" si="1"/>
        <v>230</v>
      </c>
      <c r="G40" s="9"/>
      <c r="H40" s="20"/>
    </row>
    <row r="41" spans="2:8">
      <c r="B41" s="30" t="s">
        <v>62</v>
      </c>
      <c r="C41" s="94"/>
      <c r="D41" s="97">
        <f>SUM(C32:C40)</f>
        <v>42</v>
      </c>
      <c r="E41" s="98">
        <f>SUM(E32:E40)</f>
        <v>1402</v>
      </c>
      <c r="F41" s="98"/>
      <c r="G41" s="98">
        <f>SUM(F32:F40)</f>
        <v>5922</v>
      </c>
      <c r="H41" s="20"/>
    </row>
    <row r="42" spans="2:8">
      <c r="B42" s="20" t="s">
        <v>157</v>
      </c>
      <c r="C42" s="78"/>
      <c r="D42" s="3"/>
      <c r="E42" s="9"/>
      <c r="F42" s="9"/>
      <c r="G42" s="9"/>
      <c r="H42" s="20">
        <v>20</v>
      </c>
    </row>
    <row r="43" spans="2:8">
      <c r="B43" s="3" t="s">
        <v>158</v>
      </c>
      <c r="C43" s="78">
        <v>2</v>
      </c>
      <c r="D43" s="3"/>
      <c r="E43" s="9">
        <v>25</v>
      </c>
      <c r="F43" s="9">
        <f>(E43*C43)</f>
        <v>50</v>
      </c>
      <c r="G43" s="9"/>
      <c r="H43" s="20"/>
    </row>
    <row r="44" spans="2:8">
      <c r="B44" s="3" t="s">
        <v>159</v>
      </c>
      <c r="C44" s="78">
        <v>3</v>
      </c>
      <c r="D44" s="3"/>
      <c r="E44" s="9">
        <v>45</v>
      </c>
      <c r="F44" s="9">
        <f t="shared" ref="F44:F48" si="2">(E44*C44)</f>
        <v>135</v>
      </c>
      <c r="G44" s="9"/>
      <c r="H44" s="20"/>
    </row>
    <row r="45" spans="2:8">
      <c r="B45" s="3" t="s">
        <v>160</v>
      </c>
      <c r="C45" s="78">
        <v>1</v>
      </c>
      <c r="D45" s="3"/>
      <c r="E45" s="9">
        <v>30</v>
      </c>
      <c r="F45" s="9">
        <f t="shared" si="2"/>
        <v>30</v>
      </c>
      <c r="G45" s="9"/>
      <c r="H45" s="20"/>
    </row>
    <row r="46" spans="2:8">
      <c r="B46" s="3" t="s">
        <v>161</v>
      </c>
      <c r="C46" s="78">
        <v>1</v>
      </c>
      <c r="D46" s="3"/>
      <c r="E46" s="9">
        <v>50</v>
      </c>
      <c r="F46" s="9">
        <f t="shared" si="2"/>
        <v>50</v>
      </c>
      <c r="G46" s="9"/>
      <c r="H46" s="20"/>
    </row>
    <row r="47" spans="2:8">
      <c r="B47" s="3" t="s">
        <v>162</v>
      </c>
      <c r="C47" s="78">
        <v>1</v>
      </c>
      <c r="D47" s="3"/>
      <c r="E47" s="9">
        <v>30</v>
      </c>
      <c r="F47" s="9">
        <f t="shared" si="2"/>
        <v>30</v>
      </c>
      <c r="G47" s="9"/>
      <c r="H47" s="20"/>
    </row>
    <row r="48" spans="2:8">
      <c r="B48" s="3" t="s">
        <v>163</v>
      </c>
      <c r="C48" s="78">
        <v>1</v>
      </c>
      <c r="D48" s="3"/>
      <c r="E48" s="9">
        <v>65</v>
      </c>
      <c r="F48" s="9">
        <f t="shared" si="2"/>
        <v>65</v>
      </c>
      <c r="G48" s="9"/>
      <c r="H48" s="20"/>
    </row>
    <row r="49" spans="2:8">
      <c r="B49" s="30" t="s">
        <v>62</v>
      </c>
      <c r="C49" s="94"/>
      <c r="D49" s="97">
        <f>SUM(C43:C48)</f>
        <v>9</v>
      </c>
      <c r="E49" s="98">
        <f>SUM(E43:E48)</f>
        <v>245</v>
      </c>
      <c r="F49" s="98"/>
      <c r="G49" s="98">
        <f>SUM(F43:F48)</f>
        <v>360</v>
      </c>
      <c r="H49" s="20"/>
    </row>
    <row r="50" spans="2:8">
      <c r="B50" s="20" t="s">
        <v>164</v>
      </c>
      <c r="C50" s="78"/>
      <c r="D50" s="3"/>
      <c r="E50" s="9"/>
      <c r="F50" s="9"/>
      <c r="G50" s="9"/>
      <c r="H50" s="20">
        <v>5</v>
      </c>
    </row>
    <row r="51" spans="2:8">
      <c r="B51" s="3" t="s">
        <v>165</v>
      </c>
      <c r="C51" s="78">
        <v>9</v>
      </c>
      <c r="D51" s="3"/>
      <c r="E51" s="9">
        <v>590</v>
      </c>
      <c r="F51" s="9">
        <f>(E51*C51)</f>
        <v>5310</v>
      </c>
      <c r="G51" s="9"/>
      <c r="H51" s="20"/>
    </row>
    <row r="52" spans="2:8">
      <c r="B52" s="3" t="s">
        <v>166</v>
      </c>
      <c r="C52" s="78">
        <v>2</v>
      </c>
      <c r="D52" s="3"/>
      <c r="E52" s="9">
        <v>78</v>
      </c>
      <c r="F52" s="9">
        <f>(E52*C52)</f>
        <v>156</v>
      </c>
      <c r="G52" s="9"/>
      <c r="H52" s="20"/>
    </row>
    <row r="53" spans="2:8">
      <c r="B53" s="30" t="s">
        <v>62</v>
      </c>
      <c r="C53" s="94"/>
      <c r="D53" s="97">
        <f>SUM(C51:C52)</f>
        <v>11</v>
      </c>
      <c r="E53" s="98">
        <f>SUM(E51:E52)</f>
        <v>668</v>
      </c>
      <c r="F53" s="98"/>
      <c r="G53" s="98">
        <f>SUM(F51:F52)</f>
        <v>5466</v>
      </c>
      <c r="H53" s="20"/>
    </row>
    <row r="54" spans="2:8">
      <c r="B54" s="20" t="s">
        <v>167</v>
      </c>
      <c r="C54" s="78"/>
      <c r="D54" s="3"/>
      <c r="E54" s="9"/>
      <c r="F54" s="9"/>
      <c r="G54" s="9"/>
      <c r="H54" s="20">
        <v>10</v>
      </c>
    </row>
    <row r="55" spans="2:8">
      <c r="B55" s="3" t="s">
        <v>168</v>
      </c>
      <c r="C55" s="78">
        <v>4</v>
      </c>
      <c r="D55" s="3"/>
      <c r="E55" s="9">
        <v>780</v>
      </c>
      <c r="F55" s="9">
        <f>(E55*C55)</f>
        <v>3120</v>
      </c>
      <c r="G55" s="9"/>
      <c r="H55" s="20"/>
    </row>
    <row r="56" spans="2:8">
      <c r="B56" s="3" t="s">
        <v>169</v>
      </c>
      <c r="C56" s="78">
        <v>4</v>
      </c>
      <c r="D56" s="3"/>
      <c r="E56" s="9">
        <v>380</v>
      </c>
      <c r="F56" s="9">
        <f t="shared" ref="F56:F75" si="3">(E56*C56)</f>
        <v>1520</v>
      </c>
      <c r="G56" s="9"/>
      <c r="H56" s="20"/>
    </row>
    <row r="57" spans="2:8">
      <c r="B57" s="3" t="s">
        <v>170</v>
      </c>
      <c r="C57" s="78">
        <v>11</v>
      </c>
      <c r="D57" s="3"/>
      <c r="E57" s="9">
        <v>32</v>
      </c>
      <c r="F57" s="9">
        <f t="shared" si="3"/>
        <v>352</v>
      </c>
      <c r="G57" s="9"/>
      <c r="H57" s="20"/>
    </row>
    <row r="58" spans="2:8">
      <c r="B58" s="3" t="s">
        <v>171</v>
      </c>
      <c r="C58" s="78">
        <v>5</v>
      </c>
      <c r="D58" s="3"/>
      <c r="E58" s="9">
        <v>960</v>
      </c>
      <c r="F58" s="9">
        <f t="shared" si="3"/>
        <v>4800</v>
      </c>
      <c r="G58" s="9"/>
      <c r="H58" s="20"/>
    </row>
    <row r="59" spans="2:8">
      <c r="B59" s="3" t="s">
        <v>172</v>
      </c>
      <c r="C59" s="78">
        <v>1</v>
      </c>
      <c r="D59" s="3"/>
      <c r="E59" s="9">
        <v>70</v>
      </c>
      <c r="F59" s="9">
        <f t="shared" si="3"/>
        <v>70</v>
      </c>
      <c r="G59" s="9"/>
      <c r="H59" s="20"/>
    </row>
    <row r="60" spans="2:8">
      <c r="B60" s="3" t="s">
        <v>173</v>
      </c>
      <c r="C60" s="78">
        <v>2</v>
      </c>
      <c r="D60" s="3"/>
      <c r="E60" s="99">
        <v>13300</v>
      </c>
      <c r="F60" s="9">
        <f t="shared" si="3"/>
        <v>26600</v>
      </c>
      <c r="G60" s="9"/>
      <c r="H60" s="20"/>
    </row>
    <row r="61" spans="2:8">
      <c r="B61" s="3" t="s">
        <v>174</v>
      </c>
      <c r="C61" s="78">
        <v>1</v>
      </c>
      <c r="D61" s="3"/>
      <c r="E61" s="99">
        <v>2750</v>
      </c>
      <c r="F61" s="9">
        <f t="shared" si="3"/>
        <v>2750</v>
      </c>
      <c r="G61" s="9"/>
      <c r="H61" s="20"/>
    </row>
    <row r="62" spans="2:8">
      <c r="B62" s="3" t="s">
        <v>175</v>
      </c>
      <c r="C62" s="78">
        <v>1</v>
      </c>
      <c r="D62" s="3"/>
      <c r="E62" s="9">
        <v>11150</v>
      </c>
      <c r="F62" s="9">
        <f t="shared" si="3"/>
        <v>11150</v>
      </c>
      <c r="G62" s="9"/>
      <c r="H62" s="20"/>
    </row>
    <row r="63" spans="2:8">
      <c r="B63" s="3" t="s">
        <v>215</v>
      </c>
      <c r="C63" s="78">
        <v>2</v>
      </c>
      <c r="D63" s="3"/>
      <c r="E63" s="9">
        <v>100000</v>
      </c>
      <c r="F63" s="9">
        <f t="shared" si="3"/>
        <v>200000</v>
      </c>
      <c r="G63" s="9"/>
      <c r="H63" s="20"/>
    </row>
    <row r="64" spans="2:8">
      <c r="B64" s="3" t="s">
        <v>176</v>
      </c>
      <c r="C64" s="78">
        <v>2</v>
      </c>
      <c r="D64" s="3"/>
      <c r="E64" s="9">
        <v>95</v>
      </c>
      <c r="F64" s="9">
        <f t="shared" si="3"/>
        <v>190</v>
      </c>
      <c r="G64" s="9"/>
      <c r="H64" s="20"/>
    </row>
    <row r="65" spans="2:8">
      <c r="B65" s="3" t="s">
        <v>177</v>
      </c>
      <c r="C65" s="78">
        <v>1</v>
      </c>
      <c r="D65" s="3"/>
      <c r="E65" s="9">
        <v>1400</v>
      </c>
      <c r="F65" s="9">
        <f t="shared" si="3"/>
        <v>1400</v>
      </c>
      <c r="G65" s="9"/>
      <c r="H65" s="20"/>
    </row>
    <row r="66" spans="2:8">
      <c r="B66" s="3" t="s">
        <v>178</v>
      </c>
      <c r="C66" s="78">
        <v>1</v>
      </c>
      <c r="D66" s="3"/>
      <c r="E66" s="99">
        <v>950</v>
      </c>
      <c r="F66" s="9">
        <f t="shared" si="3"/>
        <v>950</v>
      </c>
      <c r="G66" s="9"/>
      <c r="H66" s="20"/>
    </row>
    <row r="67" spans="2:8">
      <c r="B67" s="3" t="s">
        <v>179</v>
      </c>
      <c r="C67" s="78">
        <v>2</v>
      </c>
      <c r="D67" s="3"/>
      <c r="E67" s="9">
        <v>280</v>
      </c>
      <c r="F67" s="9">
        <f t="shared" si="3"/>
        <v>560</v>
      </c>
      <c r="G67" s="9"/>
      <c r="H67" s="20"/>
    </row>
    <row r="68" spans="2:8">
      <c r="B68" s="3" t="s">
        <v>180</v>
      </c>
      <c r="C68" s="78">
        <v>18</v>
      </c>
      <c r="D68" s="3"/>
      <c r="E68" s="9">
        <v>43</v>
      </c>
      <c r="F68" s="9">
        <f t="shared" si="3"/>
        <v>774</v>
      </c>
      <c r="G68" s="9"/>
      <c r="H68" s="20"/>
    </row>
    <row r="69" spans="2:8">
      <c r="B69" s="3" t="s">
        <v>181</v>
      </c>
      <c r="C69" s="78">
        <v>10</v>
      </c>
      <c r="D69" s="30"/>
      <c r="E69" s="9">
        <v>260</v>
      </c>
      <c r="F69" s="9">
        <f t="shared" si="3"/>
        <v>2600</v>
      </c>
      <c r="G69" s="9"/>
      <c r="H69" s="20"/>
    </row>
    <row r="70" spans="2:8">
      <c r="B70" s="3" t="s">
        <v>214</v>
      </c>
      <c r="C70" s="78">
        <v>1</v>
      </c>
      <c r="D70" s="30"/>
      <c r="E70" s="9">
        <v>20000</v>
      </c>
      <c r="F70" s="9">
        <f t="shared" si="3"/>
        <v>20000</v>
      </c>
      <c r="G70" s="9"/>
      <c r="H70" s="20"/>
    </row>
    <row r="71" spans="2:8">
      <c r="B71" s="110" t="s">
        <v>4</v>
      </c>
      <c r="C71" s="78">
        <v>1</v>
      </c>
      <c r="D71" s="30"/>
      <c r="E71" s="9">
        <v>2900</v>
      </c>
      <c r="F71" s="9">
        <f t="shared" si="3"/>
        <v>2900</v>
      </c>
      <c r="G71" s="9"/>
      <c r="H71" s="20"/>
    </row>
    <row r="72" spans="2:8">
      <c r="B72" s="5" t="s">
        <v>6</v>
      </c>
      <c r="C72" s="78">
        <v>3</v>
      </c>
      <c r="D72" s="30"/>
      <c r="E72" s="9">
        <v>2340</v>
      </c>
      <c r="F72" s="9">
        <f t="shared" si="3"/>
        <v>7020</v>
      </c>
      <c r="G72" s="9"/>
      <c r="H72" s="20"/>
    </row>
    <row r="73" spans="2:8">
      <c r="B73" s="5" t="s">
        <v>7</v>
      </c>
      <c r="C73" s="78">
        <v>1</v>
      </c>
      <c r="D73" s="30"/>
      <c r="E73" s="9">
        <v>11150</v>
      </c>
      <c r="F73" s="9">
        <f t="shared" si="3"/>
        <v>11150</v>
      </c>
      <c r="G73" s="9"/>
      <c r="H73" s="20"/>
    </row>
    <row r="74" spans="2:8">
      <c r="B74" s="3" t="s">
        <v>9</v>
      </c>
      <c r="C74" s="78">
        <v>1</v>
      </c>
      <c r="D74" s="30"/>
      <c r="E74" s="9">
        <v>17000</v>
      </c>
      <c r="F74" s="9">
        <f t="shared" si="3"/>
        <v>17000</v>
      </c>
      <c r="G74" s="9"/>
      <c r="H74" s="20"/>
    </row>
    <row r="75" spans="2:8">
      <c r="B75" s="3" t="s">
        <v>11</v>
      </c>
      <c r="C75" s="78">
        <v>1</v>
      </c>
      <c r="D75" s="30"/>
      <c r="E75" s="9">
        <v>12000</v>
      </c>
      <c r="F75" s="9">
        <f t="shared" si="3"/>
        <v>12000</v>
      </c>
      <c r="G75" s="9"/>
      <c r="H75" s="20"/>
    </row>
    <row r="76" spans="2:8">
      <c r="B76" s="30" t="s">
        <v>62</v>
      </c>
      <c r="C76" s="94"/>
      <c r="D76" s="97">
        <f>SUM(C55:C75)</f>
        <v>73</v>
      </c>
      <c r="E76" s="98">
        <f>SUM(E55:E75)</f>
        <v>197840</v>
      </c>
      <c r="F76" s="98"/>
      <c r="G76" s="98">
        <f>SUM(F55:F75)</f>
        <v>326906</v>
      </c>
      <c r="H76" s="20"/>
    </row>
    <row r="77" spans="2:8">
      <c r="B77" s="20" t="s">
        <v>182</v>
      </c>
      <c r="C77" s="78"/>
      <c r="D77" s="3"/>
      <c r="E77" s="9"/>
      <c r="F77" s="9"/>
      <c r="G77" s="9"/>
      <c r="H77" s="20">
        <v>5</v>
      </c>
    </row>
    <row r="78" spans="2:8">
      <c r="B78" s="3" t="s">
        <v>183</v>
      </c>
      <c r="C78" s="78">
        <v>4</v>
      </c>
      <c r="D78" s="3"/>
      <c r="E78" s="9">
        <v>28</v>
      </c>
      <c r="F78" s="9">
        <f>(E78*C78)</f>
        <v>112</v>
      </c>
      <c r="G78" s="9"/>
      <c r="H78" s="20"/>
    </row>
    <row r="79" spans="2:8">
      <c r="B79" s="3" t="s">
        <v>184</v>
      </c>
      <c r="C79" s="78">
        <v>2</v>
      </c>
      <c r="D79" s="30"/>
      <c r="E79" s="9">
        <v>45</v>
      </c>
      <c r="F79" s="9">
        <f>(E79*C79)</f>
        <v>90</v>
      </c>
      <c r="G79" s="9"/>
      <c r="H79" s="20"/>
    </row>
    <row r="80" spans="2:8">
      <c r="B80" s="30" t="s">
        <v>62</v>
      </c>
      <c r="C80" s="78"/>
      <c r="D80" s="111">
        <f>C78+C79</f>
        <v>6</v>
      </c>
      <c r="E80" s="112">
        <f>SUM(E78:E79)</f>
        <v>73</v>
      </c>
      <c r="F80" s="112"/>
      <c r="G80" s="112">
        <f>F78+F79</f>
        <v>202</v>
      </c>
      <c r="H80" s="20"/>
    </row>
    <row r="81" spans="2:8">
      <c r="B81" s="20" t="s">
        <v>10</v>
      </c>
      <c r="C81" s="78">
        <v>1</v>
      </c>
      <c r="D81" s="111">
        <v>1</v>
      </c>
      <c r="E81" s="112">
        <v>40000</v>
      </c>
      <c r="F81" s="9">
        <f>C81*E81</f>
        <v>40000</v>
      </c>
      <c r="G81" s="112">
        <f>$F$81</f>
        <v>40000</v>
      </c>
      <c r="H81" s="20">
        <v>15</v>
      </c>
    </row>
    <row r="82" spans="2:8">
      <c r="B82" s="30" t="s">
        <v>185</v>
      </c>
      <c r="C82" s="30"/>
      <c r="D82" s="30"/>
      <c r="E82" s="22">
        <f>E30+E41+E49+E53+E76+E80+E81</f>
        <v>243344</v>
      </c>
      <c r="F82" s="9"/>
      <c r="G82" s="22">
        <f>G30+G41+G49+G53+G76+G80+G81</f>
        <v>390019</v>
      </c>
      <c r="H82" s="20"/>
    </row>
    <row r="83" spans="2:8">
      <c r="G83" s="66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L35"/>
  <sheetViews>
    <sheetView topLeftCell="D1" workbookViewId="0">
      <selection activeCell="C3" sqref="C3:L14"/>
    </sheetView>
  </sheetViews>
  <sheetFormatPr baseColWidth="10" defaultRowHeight="15"/>
  <cols>
    <col min="3" max="3" width="25" customWidth="1"/>
    <col min="4" max="4" width="12.28515625" bestFit="1" customWidth="1"/>
    <col min="6" max="10" width="11.5703125" bestFit="1" customWidth="1"/>
    <col min="11" max="12" width="12.28515625" bestFit="1" customWidth="1"/>
  </cols>
  <sheetData>
    <row r="3" spans="3:12">
      <c r="C3" s="40"/>
      <c r="D3" s="40"/>
      <c r="E3" s="40"/>
      <c r="F3" s="40"/>
      <c r="G3" s="40" t="s">
        <v>194</v>
      </c>
      <c r="H3" s="40"/>
      <c r="I3" s="40"/>
      <c r="J3" s="40"/>
      <c r="K3" s="40"/>
      <c r="L3" s="40"/>
    </row>
    <row r="4" spans="3:12">
      <c r="C4" s="40" t="s">
        <v>192</v>
      </c>
      <c r="D4" s="40"/>
      <c r="E4" s="40" t="s">
        <v>193</v>
      </c>
      <c r="F4" s="167">
        <v>1</v>
      </c>
      <c r="G4" s="167">
        <v>2</v>
      </c>
      <c r="H4" s="167">
        <v>3</v>
      </c>
      <c r="I4" s="167">
        <v>4</v>
      </c>
      <c r="J4" s="167">
        <v>5</v>
      </c>
      <c r="K4" s="41" t="s">
        <v>62</v>
      </c>
      <c r="L4" s="41" t="s">
        <v>191</v>
      </c>
    </row>
    <row r="5" spans="3:12">
      <c r="C5" s="3" t="s">
        <v>195</v>
      </c>
      <c r="D5" s="9">
        <v>60000</v>
      </c>
      <c r="E5" s="3">
        <v>0</v>
      </c>
      <c r="F5" s="9"/>
      <c r="G5" s="9"/>
      <c r="H5" s="9"/>
      <c r="I5" s="9"/>
      <c r="J5" s="9"/>
      <c r="K5" s="9"/>
      <c r="L5" s="9">
        <f t="shared" ref="L5:L13" si="0">D5-K5</f>
        <v>60000</v>
      </c>
    </row>
    <row r="6" spans="3:12">
      <c r="C6" s="3" t="s">
        <v>197</v>
      </c>
      <c r="D6" s="100">
        <f>DESCRIPCION!$E$94</f>
        <v>517500</v>
      </c>
      <c r="E6" s="3">
        <v>20</v>
      </c>
      <c r="F6" s="9">
        <f>+D6/E6</f>
        <v>25875</v>
      </c>
      <c r="G6" s="9">
        <f>$F$6</f>
        <v>25875</v>
      </c>
      <c r="H6" s="9">
        <f>$F$6</f>
        <v>25875</v>
      </c>
      <c r="I6" s="9">
        <f>$F$6</f>
        <v>25875</v>
      </c>
      <c r="J6" s="9">
        <f>$F$6</f>
        <v>25875</v>
      </c>
      <c r="K6" s="9">
        <f>SUM(F6:J6)</f>
        <v>129375</v>
      </c>
      <c r="L6" s="9">
        <f t="shared" si="0"/>
        <v>388125</v>
      </c>
    </row>
    <row r="7" spans="3:12">
      <c r="C7" s="3" t="s">
        <v>125</v>
      </c>
      <c r="D7" s="9">
        <f>'EQUIPOS, MUEBLES Y ENSERES'!$G$30</f>
        <v>11163</v>
      </c>
      <c r="E7" s="3">
        <v>10</v>
      </c>
      <c r="F7" s="9">
        <f t="shared" ref="F7:F13" si="1">+D7/E7</f>
        <v>1116.3</v>
      </c>
      <c r="G7" s="9">
        <f>$F$7</f>
        <v>1116.3</v>
      </c>
      <c r="H7" s="9">
        <f>$F$7</f>
        <v>1116.3</v>
      </c>
      <c r="I7" s="9">
        <f>$F$7</f>
        <v>1116.3</v>
      </c>
      <c r="J7" s="9">
        <f>$F$7</f>
        <v>1116.3</v>
      </c>
      <c r="K7" s="9">
        <f t="shared" ref="K7:K12" si="2">SUM(F7:J7)</f>
        <v>5581.5</v>
      </c>
      <c r="L7" s="9">
        <f t="shared" si="0"/>
        <v>5581.5</v>
      </c>
    </row>
    <row r="8" spans="3:12">
      <c r="C8" s="3" t="s">
        <v>196</v>
      </c>
      <c r="D8" s="9">
        <f>'EQUIPOS, MUEBLES Y ENSERES'!$G$41</f>
        <v>5922</v>
      </c>
      <c r="E8" s="3">
        <v>10</v>
      </c>
      <c r="F8" s="9">
        <f t="shared" si="1"/>
        <v>592.20000000000005</v>
      </c>
      <c r="G8" s="9">
        <f>$F$8</f>
        <v>592.20000000000005</v>
      </c>
      <c r="H8" s="9">
        <f>$F$8</f>
        <v>592.20000000000005</v>
      </c>
      <c r="I8" s="9">
        <f>$F$8</f>
        <v>592.20000000000005</v>
      </c>
      <c r="J8" s="9">
        <f>$F$8</f>
        <v>592.20000000000005</v>
      </c>
      <c r="K8" s="9">
        <f t="shared" si="2"/>
        <v>2961</v>
      </c>
      <c r="L8" s="9">
        <f t="shared" si="0"/>
        <v>2961</v>
      </c>
    </row>
    <row r="9" spans="3:12">
      <c r="C9" s="3" t="s">
        <v>164</v>
      </c>
      <c r="D9" s="9">
        <f>'EQUIPOS, MUEBLES Y ENSERES'!$G$53</f>
        <v>5466</v>
      </c>
      <c r="E9" s="3">
        <v>5</v>
      </c>
      <c r="F9" s="9">
        <f t="shared" si="1"/>
        <v>1093.2</v>
      </c>
      <c r="G9" s="9">
        <f>$F$9</f>
        <v>1093.2</v>
      </c>
      <c r="H9" s="9">
        <f>$F$9</f>
        <v>1093.2</v>
      </c>
      <c r="I9" s="9">
        <f>$F$9</f>
        <v>1093.2</v>
      </c>
      <c r="J9" s="9">
        <f>$F$9</f>
        <v>1093.2</v>
      </c>
      <c r="K9" s="9">
        <f t="shared" si="2"/>
        <v>5466</v>
      </c>
      <c r="L9" s="9">
        <f t="shared" si="0"/>
        <v>0</v>
      </c>
    </row>
    <row r="10" spans="3:12">
      <c r="C10" s="3" t="s">
        <v>167</v>
      </c>
      <c r="D10" s="9">
        <f>'EQUIPOS, MUEBLES Y ENSERES'!$G$76</f>
        <v>326906</v>
      </c>
      <c r="E10" s="3">
        <v>10</v>
      </c>
      <c r="F10" s="9">
        <f t="shared" si="1"/>
        <v>32690.6</v>
      </c>
      <c r="G10" s="9">
        <f>$F$10</f>
        <v>32690.6</v>
      </c>
      <c r="H10" s="9">
        <f>$F$10</f>
        <v>32690.6</v>
      </c>
      <c r="I10" s="9">
        <f>$F$10</f>
        <v>32690.6</v>
      </c>
      <c r="J10" s="9">
        <f>$F$10</f>
        <v>32690.6</v>
      </c>
      <c r="K10" s="9">
        <f t="shared" si="2"/>
        <v>163453</v>
      </c>
      <c r="L10" s="9">
        <f t="shared" si="0"/>
        <v>163453</v>
      </c>
    </row>
    <row r="11" spans="3:12">
      <c r="C11" s="3" t="s">
        <v>182</v>
      </c>
      <c r="D11" s="9">
        <f>'EQUIPOS, MUEBLES Y ENSERES'!$G$80</f>
        <v>202</v>
      </c>
      <c r="E11" s="3">
        <v>5</v>
      </c>
      <c r="F11" s="9">
        <f t="shared" si="1"/>
        <v>40.4</v>
      </c>
      <c r="G11" s="9">
        <f>$F$11</f>
        <v>40.4</v>
      </c>
      <c r="H11" s="9">
        <f>$F$11</f>
        <v>40.4</v>
      </c>
      <c r="I11" s="9">
        <f>$F$11</f>
        <v>40.4</v>
      </c>
      <c r="J11" s="9">
        <f>$F$11</f>
        <v>40.4</v>
      </c>
      <c r="K11" s="9">
        <f t="shared" si="2"/>
        <v>202</v>
      </c>
      <c r="L11" s="9">
        <f t="shared" si="0"/>
        <v>0</v>
      </c>
    </row>
    <row r="12" spans="3:12">
      <c r="C12" s="3" t="s">
        <v>157</v>
      </c>
      <c r="D12" s="9">
        <f>'EQUIPOS, MUEBLES Y ENSERES'!$G$49</f>
        <v>360</v>
      </c>
      <c r="E12" s="3">
        <v>20</v>
      </c>
      <c r="F12" s="9">
        <f t="shared" si="1"/>
        <v>18</v>
      </c>
      <c r="G12" s="9">
        <f>$F$12</f>
        <v>18</v>
      </c>
      <c r="H12" s="9">
        <f>$F$12</f>
        <v>18</v>
      </c>
      <c r="I12" s="9">
        <f>$F$12</f>
        <v>18</v>
      </c>
      <c r="J12" s="9">
        <f>$F$12</f>
        <v>18</v>
      </c>
      <c r="K12" s="9">
        <f t="shared" si="2"/>
        <v>90</v>
      </c>
      <c r="L12" s="9">
        <f t="shared" si="0"/>
        <v>270</v>
      </c>
    </row>
    <row r="13" spans="3:12">
      <c r="C13" s="3" t="s">
        <v>10</v>
      </c>
      <c r="D13" s="9">
        <f>'EQUIPOS, MUEBLES Y ENSERES'!$G$81</f>
        <v>40000</v>
      </c>
      <c r="E13" s="3">
        <v>15</v>
      </c>
      <c r="F13" s="9">
        <f t="shared" si="1"/>
        <v>2666.6666666666665</v>
      </c>
      <c r="G13" s="9">
        <f>$F$13</f>
        <v>2666.6666666666665</v>
      </c>
      <c r="H13" s="9">
        <f>$F$13</f>
        <v>2666.6666666666665</v>
      </c>
      <c r="I13" s="9">
        <f>$F$13</f>
        <v>2666.6666666666665</v>
      </c>
      <c r="J13" s="9">
        <f>$F$13</f>
        <v>2666.6666666666665</v>
      </c>
      <c r="K13" s="9">
        <f>SUM(F13:J13)</f>
        <v>13333.333333333332</v>
      </c>
      <c r="L13" s="9">
        <f t="shared" si="0"/>
        <v>26666.666666666668</v>
      </c>
    </row>
    <row r="14" spans="3:12">
      <c r="C14" s="20" t="s">
        <v>62</v>
      </c>
      <c r="D14" s="101">
        <f>SUM(D5:D12)</f>
        <v>927519</v>
      </c>
      <c r="E14" s="20"/>
      <c r="F14" s="101">
        <f t="shared" ref="F14:L14" si="3">SUM(F5:F13)</f>
        <v>64092.366666666669</v>
      </c>
      <c r="G14" s="101">
        <f t="shared" si="3"/>
        <v>64092.366666666669</v>
      </c>
      <c r="H14" s="101">
        <f t="shared" si="3"/>
        <v>64092.366666666669</v>
      </c>
      <c r="I14" s="101">
        <f t="shared" si="3"/>
        <v>64092.366666666669</v>
      </c>
      <c r="J14" s="101">
        <f t="shared" si="3"/>
        <v>64092.366666666669</v>
      </c>
      <c r="K14" s="101">
        <f t="shared" si="3"/>
        <v>320461.83333333331</v>
      </c>
      <c r="L14" s="101">
        <f t="shared" si="3"/>
        <v>647057.16666666663</v>
      </c>
    </row>
    <row r="26" spans="2:11">
      <c r="B26" s="44"/>
      <c r="C26" s="44"/>
      <c r="D26" s="44"/>
      <c r="E26" s="205"/>
      <c r="F26" s="205"/>
      <c r="G26" s="205"/>
      <c r="H26" s="205"/>
      <c r="I26" s="205"/>
      <c r="J26" s="205"/>
      <c r="K26" s="44"/>
    </row>
    <row r="27" spans="2:11">
      <c r="B27" s="102"/>
      <c r="C27" s="102"/>
      <c r="D27" s="102"/>
      <c r="E27" s="102"/>
      <c r="F27" s="102"/>
      <c r="G27" s="102"/>
      <c r="H27" s="102"/>
      <c r="I27" s="102"/>
      <c r="J27" s="102"/>
      <c r="K27" s="102"/>
    </row>
    <row r="28" spans="2:11">
      <c r="B28" s="44"/>
      <c r="C28" s="103"/>
      <c r="D28" s="103"/>
      <c r="E28" s="103"/>
      <c r="F28" s="103"/>
      <c r="G28" s="103"/>
      <c r="H28" s="103"/>
      <c r="I28" s="103"/>
      <c r="J28" s="103"/>
      <c r="K28" s="103"/>
    </row>
    <row r="29" spans="2:11">
      <c r="B29" s="44"/>
      <c r="C29" s="103"/>
      <c r="D29" s="103"/>
      <c r="E29" s="103"/>
      <c r="F29" s="103"/>
      <c r="G29" s="103"/>
      <c r="H29" s="103"/>
      <c r="I29" s="103"/>
      <c r="J29" s="103"/>
      <c r="K29" s="103"/>
    </row>
    <row r="30" spans="2:11">
      <c r="B30" s="44"/>
      <c r="C30" s="103"/>
      <c r="D30" s="103"/>
      <c r="E30" s="103"/>
      <c r="F30" s="103"/>
      <c r="G30" s="103"/>
      <c r="H30" s="103"/>
      <c r="I30" s="103"/>
      <c r="J30" s="103"/>
      <c r="K30" s="103"/>
    </row>
    <row r="31" spans="2:11">
      <c r="B31" s="44"/>
      <c r="C31" s="103"/>
      <c r="D31" s="103"/>
      <c r="E31" s="103"/>
      <c r="F31" s="103"/>
      <c r="G31" s="103"/>
      <c r="H31" s="103"/>
      <c r="I31" s="103"/>
      <c r="J31" s="103"/>
      <c r="K31" s="103"/>
    </row>
    <row r="32" spans="2:11">
      <c r="B32" s="44"/>
      <c r="C32" s="103"/>
      <c r="D32" s="103"/>
      <c r="E32" s="103"/>
      <c r="F32" s="103"/>
      <c r="G32" s="103"/>
      <c r="H32" s="103"/>
      <c r="I32" s="103"/>
      <c r="J32" s="103"/>
      <c r="K32" s="103"/>
    </row>
    <row r="33" spans="2:11">
      <c r="B33" s="104"/>
      <c r="C33" s="105"/>
      <c r="D33" s="105"/>
      <c r="E33" s="105"/>
      <c r="F33" s="105"/>
      <c r="G33" s="105"/>
      <c r="H33" s="105"/>
      <c r="I33" s="105"/>
      <c r="J33" s="105"/>
      <c r="K33" s="105"/>
    </row>
    <row r="34" spans="2:11"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2:11">
      <c r="B35" s="44"/>
      <c r="C35" s="44"/>
      <c r="D35" s="44"/>
      <c r="E35" s="44"/>
      <c r="F35" s="44"/>
      <c r="G35" s="44"/>
      <c r="H35" s="44"/>
      <c r="I35" s="44"/>
      <c r="J35" s="44"/>
      <c r="K35" s="44"/>
    </row>
  </sheetData>
  <mergeCells count="1">
    <mergeCell ref="E26:J26"/>
  </mergeCells>
  <pageMargins left="0.39" right="0.70866141732283472" top="0.74803149606299213" bottom="0.74803149606299213" header="0.31496062992125984" footer="0.31496062992125984"/>
  <pageSetup paperSize="9" scale="8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D9:T48"/>
  <sheetViews>
    <sheetView topLeftCell="B28" workbookViewId="0">
      <selection activeCell="D9" sqref="D9:L31"/>
    </sheetView>
  </sheetViews>
  <sheetFormatPr baseColWidth="10" defaultRowHeight="15"/>
  <cols>
    <col min="4" max="4" width="23.85546875" customWidth="1"/>
    <col min="5" max="5" width="13.7109375" customWidth="1"/>
    <col min="6" max="6" width="15.5703125" customWidth="1"/>
    <col min="7" max="7" width="13.5703125" customWidth="1"/>
    <col min="8" max="8" width="12.5703125" customWidth="1"/>
    <col min="9" max="10" width="13.140625" bestFit="1" customWidth="1"/>
    <col min="11" max="11" width="13.28515625" customWidth="1"/>
    <col min="12" max="12" width="13.140625" bestFit="1" customWidth="1"/>
    <col min="13" max="13" width="14.85546875" customWidth="1"/>
    <col min="14" max="14" width="15.42578125" customWidth="1"/>
    <col min="15" max="15" width="13.5703125" customWidth="1"/>
    <col min="16" max="16" width="14.85546875" customWidth="1"/>
    <col min="17" max="17" width="16.85546875" customWidth="1"/>
    <col min="18" max="18" width="14.28515625" customWidth="1"/>
    <col min="19" max="19" width="15.140625" customWidth="1"/>
  </cols>
  <sheetData>
    <row r="9" spans="4:20">
      <c r="E9" s="65"/>
      <c r="F9" s="65"/>
      <c r="H9" s="206" t="s">
        <v>222</v>
      </c>
      <c r="I9" s="207"/>
      <c r="J9" s="208"/>
      <c r="K9" s="129"/>
      <c r="L9" s="129"/>
      <c r="M9" s="129"/>
      <c r="N9" s="129"/>
    </row>
    <row r="10" spans="4:20">
      <c r="E10" s="65"/>
      <c r="F10" s="65"/>
      <c r="H10" s="209"/>
      <c r="I10" s="210"/>
      <c r="J10" s="211"/>
      <c r="K10" s="129"/>
      <c r="L10" s="129"/>
      <c r="M10" s="129"/>
      <c r="N10" s="129"/>
    </row>
    <row r="11" spans="4:20">
      <c r="D11" s="76"/>
      <c r="E11" s="76"/>
      <c r="F11" s="76"/>
      <c r="G11" s="167">
        <v>0</v>
      </c>
      <c r="H11" s="168">
        <v>1</v>
      </c>
      <c r="I11" s="168">
        <v>2</v>
      </c>
      <c r="J11" s="168">
        <v>3</v>
      </c>
      <c r="K11" s="167">
        <v>4</v>
      </c>
      <c r="L11" s="167">
        <v>5</v>
      </c>
      <c r="M11" s="57"/>
      <c r="N11" s="57"/>
      <c r="O11" s="57"/>
      <c r="P11" s="57"/>
      <c r="Q11" s="57"/>
      <c r="R11" s="57"/>
      <c r="S11" s="57"/>
    </row>
    <row r="12" spans="4:20">
      <c r="D12" s="20" t="s">
        <v>200</v>
      </c>
      <c r="E12" s="20"/>
      <c r="F12" s="20"/>
      <c r="G12" s="20"/>
      <c r="H12" s="147">
        <f>F41</f>
        <v>634074</v>
      </c>
      <c r="I12" s="147">
        <f>G41</f>
        <v>1228545.48</v>
      </c>
      <c r="J12" s="147">
        <f>H41</f>
        <v>1834906.3895999999</v>
      </c>
      <c r="K12" s="147">
        <f>I41</f>
        <v>2453394.5173920002</v>
      </c>
      <c r="L12" s="147">
        <f>J41</f>
        <v>3084252.40773984</v>
      </c>
      <c r="M12" s="131"/>
      <c r="N12" s="131"/>
      <c r="O12" s="131"/>
      <c r="P12" s="131"/>
      <c r="Q12" s="131"/>
      <c r="R12" s="131"/>
      <c r="S12" s="131"/>
      <c r="T12" s="56"/>
    </row>
    <row r="13" spans="4:20">
      <c r="D13" s="20" t="s">
        <v>223</v>
      </c>
      <c r="E13" s="20"/>
      <c r="F13" s="20"/>
      <c r="G13" s="20"/>
      <c r="H13" s="140">
        <f>DESCRIPCION!E110</f>
        <v>271687.5</v>
      </c>
      <c r="I13" s="140">
        <f>DESCRIPCION!F110</f>
        <v>284625</v>
      </c>
      <c r="J13" s="140">
        <f>DESCRIPCION!G110</f>
        <v>297562.5</v>
      </c>
      <c r="K13" s="140">
        <f>DESCRIPCION!H110</f>
        <v>310500</v>
      </c>
      <c r="L13" s="140">
        <f>DESCRIPCION!I110</f>
        <v>323437.5</v>
      </c>
      <c r="M13" s="132"/>
      <c r="N13" s="132"/>
      <c r="O13" s="132"/>
      <c r="P13" s="132"/>
      <c r="Q13" s="132"/>
      <c r="R13" s="132"/>
      <c r="S13" s="132"/>
      <c r="T13" s="56"/>
    </row>
    <row r="14" spans="4:20">
      <c r="D14" s="20" t="s">
        <v>206</v>
      </c>
      <c r="E14" s="20"/>
      <c r="F14" s="20"/>
      <c r="G14" s="20"/>
      <c r="H14" s="140">
        <f>H12-H13</f>
        <v>362386.5</v>
      </c>
      <c r="I14" s="140">
        <f>I12-I13</f>
        <v>943920.48</v>
      </c>
      <c r="J14" s="140">
        <f t="shared" ref="J14:L14" si="0">J12-J13</f>
        <v>1537343.8895999999</v>
      </c>
      <c r="K14" s="140">
        <f t="shared" si="0"/>
        <v>2142894.5173920002</v>
      </c>
      <c r="L14" s="140">
        <f t="shared" si="0"/>
        <v>2760814.90773984</v>
      </c>
      <c r="M14" s="132"/>
      <c r="N14" s="132"/>
      <c r="O14" s="132"/>
      <c r="P14" s="132"/>
      <c r="Q14" s="132"/>
      <c r="R14" s="132"/>
      <c r="S14" s="132"/>
    </row>
    <row r="15" spans="4:20">
      <c r="D15" s="3" t="s">
        <v>207</v>
      </c>
      <c r="E15" s="3"/>
      <c r="F15" s="3"/>
      <c r="G15" s="3"/>
      <c r="H15" s="138">
        <f>'PERSONAS REQUERIDAS O EST ADMIN'!$G$14</f>
        <v>161567.04000000001</v>
      </c>
      <c r="I15" s="138">
        <f>'PERSONAS REQUERIDAS O EST ADMIN'!$G$14</f>
        <v>161567.04000000001</v>
      </c>
      <c r="J15" s="138">
        <f>'PERSONAS REQUERIDAS O EST ADMIN'!$G$14</f>
        <v>161567.04000000001</v>
      </c>
      <c r="K15" s="138">
        <f>'PERSONAS REQUERIDAS O EST ADMIN'!$G$14</f>
        <v>161567.04000000001</v>
      </c>
      <c r="L15" s="138">
        <f>'PERSONAS REQUERIDAS O EST ADMIN'!$G$14</f>
        <v>161567.04000000001</v>
      </c>
      <c r="M15" s="133"/>
      <c r="N15" s="133"/>
      <c r="O15" s="133"/>
      <c r="P15" s="133"/>
      <c r="Q15" s="133"/>
      <c r="R15" s="133"/>
      <c r="S15" s="133"/>
    </row>
    <row r="16" spans="4:20">
      <c r="D16" s="3" t="s">
        <v>201</v>
      </c>
      <c r="E16" s="3"/>
      <c r="F16" s="3"/>
      <c r="G16" s="3"/>
      <c r="H16" s="138">
        <f>GASTOS!$G$45</f>
        <v>91588.680000000008</v>
      </c>
      <c r="I16" s="138">
        <f>GASTOS!$G$45</f>
        <v>91588.680000000008</v>
      </c>
      <c r="J16" s="138">
        <f>GASTOS!$G$45</f>
        <v>91588.680000000008</v>
      </c>
      <c r="K16" s="138">
        <f>GASTOS!$G$45</f>
        <v>91588.680000000008</v>
      </c>
      <c r="L16" s="138">
        <f>GASTOS!$G$45</f>
        <v>91588.680000000008</v>
      </c>
      <c r="M16" s="133"/>
      <c r="N16" s="133"/>
      <c r="O16" s="133"/>
      <c r="P16" s="133"/>
      <c r="Q16" s="133"/>
      <c r="R16" s="133"/>
      <c r="S16" s="133"/>
    </row>
    <row r="17" spans="4:19">
      <c r="D17" s="3" t="s">
        <v>202</v>
      </c>
      <c r="E17" s="3"/>
      <c r="F17" s="3"/>
      <c r="G17" s="3"/>
      <c r="H17" s="138">
        <f>DEPRECIACION!F14</f>
        <v>64092.366666666669</v>
      </c>
      <c r="I17" s="138">
        <f>DEPRECIACION!G14</f>
        <v>64092.366666666669</v>
      </c>
      <c r="J17" s="138">
        <f>DEPRECIACION!H14</f>
        <v>64092.366666666669</v>
      </c>
      <c r="K17" s="138">
        <f>DEPRECIACION!I14</f>
        <v>64092.366666666669</v>
      </c>
      <c r="L17" s="138">
        <f>DEPRECIACION!J14</f>
        <v>64092.366666666669</v>
      </c>
      <c r="M17" s="133"/>
      <c r="N17" s="133"/>
      <c r="O17" s="133"/>
      <c r="P17" s="133"/>
      <c r="Q17" s="133"/>
      <c r="R17" s="133"/>
      <c r="S17" s="133"/>
    </row>
    <row r="18" spans="4:19">
      <c r="D18" s="20" t="s">
        <v>208</v>
      </c>
      <c r="E18" s="20"/>
      <c r="F18" s="20"/>
      <c r="G18" s="20"/>
      <c r="H18" s="140">
        <f>H14-H15-H16-H17</f>
        <v>45138.413333333316</v>
      </c>
      <c r="I18" s="140">
        <f>I14-I15-I16-I17</f>
        <v>626672.3933333332</v>
      </c>
      <c r="J18" s="140">
        <f>J14-J15-J16-J17</f>
        <v>1220095.8029333332</v>
      </c>
      <c r="K18" s="140">
        <f t="shared" ref="K18:L18" si="1">K14-K15-K16-K17</f>
        <v>1825646.4307253335</v>
      </c>
      <c r="L18" s="140">
        <f t="shared" si="1"/>
        <v>2443566.8210731731</v>
      </c>
      <c r="M18" s="132"/>
      <c r="N18" s="132"/>
      <c r="O18" s="132"/>
      <c r="P18" s="132"/>
      <c r="Q18" s="132"/>
      <c r="R18" s="132"/>
      <c r="S18" s="132"/>
    </row>
    <row r="19" spans="4:19">
      <c r="D19" s="3" t="s">
        <v>209</v>
      </c>
      <c r="E19" s="3"/>
      <c r="F19" s="3"/>
      <c r="G19" s="3"/>
      <c r="H19" s="138">
        <f>DEPRECIACION!F14</f>
        <v>64092.366666666669</v>
      </c>
      <c r="I19" s="138">
        <f>DEPRECIACION!G14</f>
        <v>64092.366666666669</v>
      </c>
      <c r="J19" s="138">
        <f>DEPRECIACION!H14</f>
        <v>64092.366666666669</v>
      </c>
      <c r="K19" s="138">
        <f>DEPRECIACION!I14</f>
        <v>64092.366666666669</v>
      </c>
      <c r="L19" s="138">
        <f>DEPRECIACION!J14</f>
        <v>64092.366666666669</v>
      </c>
      <c r="M19" s="133"/>
      <c r="N19" s="133"/>
      <c r="O19" s="133"/>
      <c r="P19" s="133"/>
      <c r="Q19" s="133"/>
      <c r="R19" s="133"/>
      <c r="S19" s="133"/>
    </row>
    <row r="20" spans="4:19">
      <c r="D20" s="3"/>
      <c r="E20" s="3"/>
      <c r="F20" s="3"/>
      <c r="G20" s="3"/>
      <c r="H20" s="138"/>
      <c r="I20" s="9"/>
      <c r="J20" s="9"/>
      <c r="K20" s="9"/>
      <c r="L20" s="9"/>
      <c r="M20" s="133"/>
      <c r="N20" s="133"/>
      <c r="O20" s="133"/>
      <c r="P20" s="133"/>
      <c r="Q20" s="133"/>
      <c r="R20" s="133"/>
      <c r="S20" s="133"/>
    </row>
    <row r="21" spans="4:19">
      <c r="D21" s="20" t="s">
        <v>203</v>
      </c>
      <c r="E21" s="20"/>
      <c r="F21" s="20"/>
      <c r="G21" s="140">
        <f>INGRESOS!E14+INGRESOS!E35</f>
        <v>974007</v>
      </c>
      <c r="H21" s="140"/>
      <c r="I21" s="101"/>
      <c r="J21" s="101"/>
      <c r="K21" s="101"/>
      <c r="L21" s="101"/>
      <c r="M21" s="132"/>
      <c r="N21" s="132"/>
      <c r="O21" s="132"/>
      <c r="P21" s="132"/>
      <c r="Q21" s="132"/>
      <c r="R21" s="132"/>
      <c r="S21" s="132"/>
    </row>
    <row r="22" spans="4:19">
      <c r="D22" s="3" t="s">
        <v>195</v>
      </c>
      <c r="E22" s="3"/>
      <c r="F22" s="3"/>
      <c r="G22" s="138">
        <f>DEPRECIACION!$D$5</f>
        <v>60000</v>
      </c>
      <c r="H22" s="138"/>
      <c r="I22" s="3"/>
      <c r="J22" s="3"/>
      <c r="K22" s="3"/>
      <c r="L22" s="3"/>
      <c r="M22" s="35"/>
      <c r="N22" s="35"/>
      <c r="O22" s="35"/>
      <c r="P22" s="35"/>
      <c r="Q22" s="35"/>
      <c r="R22" s="35"/>
      <c r="S22" s="35"/>
    </row>
    <row r="23" spans="4:19">
      <c r="D23" s="20" t="s">
        <v>210</v>
      </c>
      <c r="E23" s="20"/>
      <c r="F23" s="20"/>
      <c r="G23" s="140">
        <f>SUM(G21:G22)</f>
        <v>1034007</v>
      </c>
      <c r="H23" s="140"/>
      <c r="I23" s="20"/>
      <c r="J23" s="20"/>
      <c r="K23" s="20"/>
      <c r="L23" s="20"/>
      <c r="M23" s="57"/>
      <c r="N23" s="57"/>
      <c r="O23" s="57"/>
      <c r="P23" s="57"/>
      <c r="Q23" s="57"/>
      <c r="R23" s="57"/>
      <c r="S23" s="57"/>
    </row>
    <row r="24" spans="4:19">
      <c r="D24" s="113" t="s">
        <v>221</v>
      </c>
      <c r="E24" s="20"/>
      <c r="F24" s="20"/>
      <c r="G24" s="148"/>
      <c r="H24" s="148"/>
      <c r="I24" s="148"/>
      <c r="J24" s="148"/>
      <c r="K24" s="148"/>
      <c r="L24" s="148">
        <f>DEPRECIACION!$L$14</f>
        <v>647057.16666666663</v>
      </c>
      <c r="M24" s="134"/>
      <c r="N24" s="134"/>
      <c r="O24" s="134"/>
      <c r="P24" s="134"/>
      <c r="Q24" s="134"/>
      <c r="R24" s="134"/>
      <c r="S24" s="134"/>
    </row>
    <row r="25" spans="4:19">
      <c r="D25" s="3" t="s">
        <v>204</v>
      </c>
      <c r="E25" s="3"/>
      <c r="F25" s="3"/>
      <c r="G25" s="138"/>
      <c r="H25" s="138"/>
      <c r="I25" s="3"/>
      <c r="J25" s="3"/>
      <c r="K25" s="3"/>
      <c r="L25" s="3"/>
      <c r="M25" s="35"/>
      <c r="N25" s="35"/>
      <c r="O25" s="35"/>
      <c r="P25" s="35"/>
      <c r="Q25" s="35"/>
      <c r="R25" s="35"/>
      <c r="S25" s="35"/>
    </row>
    <row r="26" spans="4:19">
      <c r="D26" s="3" t="s">
        <v>247</v>
      </c>
      <c r="E26" s="3"/>
      <c r="F26" s="3"/>
      <c r="G26" s="138"/>
      <c r="H26" s="138"/>
      <c r="I26" s="3"/>
      <c r="J26" s="3"/>
      <c r="K26" s="3"/>
      <c r="L26" s="138">
        <v>0</v>
      </c>
      <c r="M26" s="35"/>
      <c r="N26" s="35"/>
      <c r="O26" s="35"/>
      <c r="P26" s="35"/>
      <c r="Q26" s="35"/>
      <c r="R26" s="35"/>
      <c r="S26" s="35"/>
    </row>
    <row r="27" spans="4:19">
      <c r="D27" s="20" t="s">
        <v>205</v>
      </c>
      <c r="E27" s="20"/>
      <c r="F27" s="20"/>
      <c r="G27" s="147">
        <f>-1*(G23+G25)</f>
        <v>-1034007</v>
      </c>
      <c r="H27" s="147">
        <f t="shared" ref="H27:L27" si="2">H18+H19+H24</f>
        <v>109230.77999999998</v>
      </c>
      <c r="I27" s="147">
        <f>I18+I19+I24</f>
        <v>690764.75999999989</v>
      </c>
      <c r="J27" s="147">
        <f t="shared" si="2"/>
        <v>1284188.1695999999</v>
      </c>
      <c r="K27" s="147">
        <f t="shared" si="2"/>
        <v>1889738.7973920002</v>
      </c>
      <c r="L27" s="147">
        <f t="shared" si="2"/>
        <v>3154716.3544065063</v>
      </c>
      <c r="M27" s="131"/>
      <c r="N27" s="131"/>
      <c r="O27" s="131"/>
      <c r="P27" s="131"/>
      <c r="Q27" s="131"/>
      <c r="R27" s="131"/>
      <c r="S27" s="131"/>
    </row>
    <row r="28" spans="4:19">
      <c r="D28" s="20" t="s">
        <v>225</v>
      </c>
      <c r="E28" s="120">
        <v>0.12</v>
      </c>
      <c r="F28" s="20"/>
      <c r="G28" s="114"/>
      <c r="H28" s="3"/>
      <c r="I28" s="3"/>
      <c r="J28" s="3"/>
      <c r="K28" s="3"/>
      <c r="L28" s="3"/>
      <c r="M28" s="35"/>
      <c r="N28" s="35"/>
      <c r="O28" s="35"/>
      <c r="P28" s="35"/>
      <c r="Q28" s="35"/>
      <c r="R28" s="35"/>
      <c r="S28" s="35"/>
    </row>
    <row r="29" spans="4:19">
      <c r="D29" s="20" t="s">
        <v>226</v>
      </c>
      <c r="E29" s="138">
        <f>NPV(E28,G27:S27)</f>
        <v>3142221.1108128047</v>
      </c>
      <c r="F29" s="3"/>
      <c r="G29" s="118"/>
      <c r="H29" s="3"/>
      <c r="I29" s="3"/>
      <c r="J29" s="3"/>
      <c r="K29" s="3"/>
      <c r="L29" s="3"/>
      <c r="M29" s="35"/>
      <c r="N29" s="35"/>
      <c r="O29" s="35"/>
      <c r="P29" s="35"/>
      <c r="Q29" s="35"/>
      <c r="R29" s="35"/>
      <c r="S29" s="35"/>
    </row>
    <row r="30" spans="4:19">
      <c r="D30" s="20" t="s">
        <v>227</v>
      </c>
      <c r="E30" s="119">
        <f>IRR(G27:S27)</f>
        <v>0.68952316895289567</v>
      </c>
      <c r="F30" s="3"/>
      <c r="G30" s="118"/>
      <c r="H30" s="3"/>
      <c r="I30" s="3"/>
      <c r="J30" s="3"/>
      <c r="K30" s="3"/>
      <c r="L30" s="3"/>
      <c r="M30" s="35"/>
      <c r="N30" s="35"/>
      <c r="O30" s="35"/>
      <c r="P30" s="35"/>
      <c r="Q30" s="35"/>
      <c r="R30" s="35"/>
      <c r="S30" s="35"/>
    </row>
    <row r="31" spans="4:19">
      <c r="F31" t="s">
        <v>254</v>
      </c>
    </row>
    <row r="32" spans="4:19">
      <c r="J32" s="124"/>
    </row>
    <row r="33" spans="4:18">
      <c r="E33" s="66"/>
      <c r="F33" s="66"/>
      <c r="G33" s="149"/>
    </row>
    <row r="34" spans="4:18">
      <c r="I34" s="44"/>
      <c r="J34" s="44"/>
      <c r="K34" s="44"/>
      <c r="L34" s="44"/>
    </row>
    <row r="35" spans="4:18">
      <c r="I35" s="129"/>
      <c r="J35" s="129"/>
      <c r="K35" s="129"/>
      <c r="L35" s="129"/>
      <c r="M35" s="56"/>
      <c r="N35" s="56"/>
      <c r="O35" s="56"/>
      <c r="P35" s="56"/>
      <c r="Q35" s="56"/>
    </row>
    <row r="36" spans="4:18">
      <c r="D36" s="40" t="s">
        <v>199</v>
      </c>
      <c r="E36" s="40"/>
      <c r="F36" s="40">
        <v>1</v>
      </c>
      <c r="G36" s="40">
        <v>2</v>
      </c>
      <c r="H36" s="40">
        <v>3</v>
      </c>
      <c r="I36" s="40">
        <v>4</v>
      </c>
      <c r="J36" s="40">
        <v>5</v>
      </c>
      <c r="K36" s="57"/>
      <c r="L36" s="35"/>
      <c r="M36" s="35"/>
      <c r="N36" s="35"/>
      <c r="O36" s="35"/>
      <c r="P36" s="35"/>
      <c r="Q36" s="35"/>
      <c r="R36" s="44"/>
    </row>
    <row r="37" spans="4:18">
      <c r="D37" s="3" t="s">
        <v>211</v>
      </c>
      <c r="E37" s="3"/>
      <c r="F37" s="9">
        <f>INGRESOS!$F$14</f>
        <v>52284</v>
      </c>
      <c r="G37" s="115">
        <f>$F$41</f>
        <v>634074</v>
      </c>
      <c r="H37" s="115">
        <f>$G$41</f>
        <v>1228545.48</v>
      </c>
      <c r="I37" s="115">
        <f>$H$41</f>
        <v>1834906.3895999999</v>
      </c>
      <c r="J37" s="115">
        <f>$I$41</f>
        <v>2453394.5173920002</v>
      </c>
      <c r="K37" s="126"/>
      <c r="L37" s="127"/>
      <c r="M37" s="127"/>
      <c r="N37" s="127"/>
      <c r="O37" s="127"/>
      <c r="P37" s="127"/>
      <c r="Q37" s="127"/>
      <c r="R37" s="107"/>
    </row>
    <row r="38" spans="4:18">
      <c r="D38" s="3" t="s">
        <v>243</v>
      </c>
      <c r="E38" s="119">
        <v>0.02</v>
      </c>
      <c r="F38" s="9"/>
      <c r="G38" s="115">
        <f>G37*E38</f>
        <v>12681.48</v>
      </c>
      <c r="H38" s="115">
        <f>H37*E38</f>
        <v>24570.909599999999</v>
      </c>
      <c r="I38" s="115">
        <f>I37*E38</f>
        <v>36698.127791999999</v>
      </c>
      <c r="J38" s="115">
        <f>J37*E38</f>
        <v>49067.890347840003</v>
      </c>
      <c r="K38" s="126"/>
      <c r="L38" s="127"/>
      <c r="M38" s="127"/>
      <c r="N38" s="127"/>
      <c r="O38" s="127"/>
      <c r="P38" s="127"/>
      <c r="Q38" s="127"/>
      <c r="R38" s="107"/>
    </row>
    <row r="39" spans="4:18">
      <c r="D39" s="3" t="s">
        <v>242</v>
      </c>
      <c r="E39" s="3"/>
      <c r="F39" s="139">
        <f>$E$47</f>
        <v>581790</v>
      </c>
      <c r="G39" s="139">
        <f t="shared" ref="G39:J39" si="3">$E$47</f>
        <v>581790</v>
      </c>
      <c r="H39" s="139">
        <f t="shared" si="3"/>
        <v>581790</v>
      </c>
      <c r="I39" s="139">
        <f t="shared" si="3"/>
        <v>581790</v>
      </c>
      <c r="J39" s="139">
        <f t="shared" si="3"/>
        <v>581790</v>
      </c>
      <c r="K39" s="73"/>
      <c r="L39" s="73"/>
      <c r="M39" s="73"/>
      <c r="N39" s="73"/>
      <c r="O39" s="73"/>
      <c r="P39" s="73"/>
      <c r="Q39" s="73"/>
      <c r="R39" s="109"/>
    </row>
    <row r="40" spans="4:18">
      <c r="D40" s="3"/>
      <c r="E40" s="3"/>
      <c r="F40" s="9"/>
      <c r="G40" s="116"/>
      <c r="H40" s="116"/>
      <c r="I40" s="116"/>
      <c r="J40" s="116"/>
      <c r="K40" s="127"/>
      <c r="L40" s="127"/>
      <c r="M40" s="127"/>
      <c r="N40" s="127"/>
      <c r="O40" s="127"/>
      <c r="P40" s="127"/>
      <c r="Q40" s="127"/>
      <c r="R40" s="107"/>
    </row>
    <row r="41" spans="4:18">
      <c r="D41" s="20" t="s">
        <v>212</v>
      </c>
      <c r="E41" s="20"/>
      <c r="F41" s="101">
        <f>F37+F39</f>
        <v>634074</v>
      </c>
      <c r="G41" s="117">
        <f>G37+G38+G39</f>
        <v>1228545.48</v>
      </c>
      <c r="H41" s="117">
        <f>H37+H38+H39</f>
        <v>1834906.3895999999</v>
      </c>
      <c r="I41" s="117">
        <f>I37+I38+I39</f>
        <v>2453394.5173920002</v>
      </c>
      <c r="J41" s="117">
        <f>J37+J38+J39</f>
        <v>3084252.40773984</v>
      </c>
      <c r="K41" s="128"/>
      <c r="L41" s="127"/>
      <c r="M41" s="127"/>
      <c r="N41" s="127"/>
      <c r="O41" s="127"/>
      <c r="P41" s="127"/>
      <c r="Q41" s="127"/>
      <c r="R41" s="107"/>
    </row>
    <row r="42" spans="4:18">
      <c r="F42" t="s">
        <v>254</v>
      </c>
      <c r="M42" s="44"/>
      <c r="N42" s="44"/>
      <c r="O42" s="44"/>
      <c r="P42" s="44"/>
      <c r="Q42" s="44"/>
      <c r="R42" s="44"/>
    </row>
    <row r="43" spans="4:18">
      <c r="E43" s="44"/>
      <c r="F43" s="44"/>
    </row>
    <row r="44" spans="4:18">
      <c r="D44" s="3" t="s">
        <v>241</v>
      </c>
      <c r="E44" s="3">
        <f>INGRESOS!$E$35</f>
        <v>969650</v>
      </c>
      <c r="F44" s="44"/>
      <c r="G44" s="44"/>
    </row>
    <row r="45" spans="4:18">
      <c r="D45" s="3" t="s">
        <v>244</v>
      </c>
      <c r="E45" s="119">
        <v>0.05</v>
      </c>
      <c r="F45" s="44"/>
      <c r="G45" s="44"/>
    </row>
    <row r="46" spans="4:18">
      <c r="D46" s="3" t="s">
        <v>242</v>
      </c>
      <c r="E46" s="143">
        <f>E44*E45</f>
        <v>48482.5</v>
      </c>
      <c r="F46" s="44"/>
      <c r="G46" s="44"/>
    </row>
    <row r="47" spans="4:18">
      <c r="D47" s="142" t="s">
        <v>102</v>
      </c>
      <c r="E47" s="142">
        <f>E46*12</f>
        <v>581790</v>
      </c>
      <c r="F47" s="44"/>
    </row>
    <row r="48" spans="4:18">
      <c r="D48" t="s">
        <v>254</v>
      </c>
    </row>
  </sheetData>
  <mergeCells count="1">
    <mergeCell ref="H9:J10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r:id="rId1"/>
  <ignoredErrors>
    <ignoredError sqref="H18:L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B3:F42"/>
  <sheetViews>
    <sheetView topLeftCell="A10" workbookViewId="0">
      <selection activeCell="D40" sqref="D40"/>
    </sheetView>
  </sheetViews>
  <sheetFormatPr baseColWidth="10" defaultRowHeight="15"/>
  <cols>
    <col min="2" max="2" width="37.28515625" customWidth="1"/>
    <col min="3" max="3" width="16.5703125" bestFit="1" customWidth="1"/>
    <col min="4" max="4" width="23.7109375" customWidth="1"/>
    <col min="5" max="5" width="27.7109375" customWidth="1"/>
    <col min="6" max="6" width="20.42578125" customWidth="1"/>
  </cols>
  <sheetData>
    <row r="3" spans="2:6" ht="15.75" thickBot="1"/>
    <row r="4" spans="2:6" ht="15.75" thickBot="1">
      <c r="B4" s="188" t="s">
        <v>76</v>
      </c>
      <c r="C4" s="189"/>
      <c r="D4" s="189"/>
      <c r="E4" s="189"/>
      <c r="F4" s="190"/>
    </row>
    <row r="5" spans="2:6" ht="15.75" thickBot="1">
      <c r="B5" s="46" t="s">
        <v>63</v>
      </c>
      <c r="C5" s="47" t="s">
        <v>72</v>
      </c>
      <c r="D5" s="160" t="s">
        <v>73</v>
      </c>
      <c r="E5" s="48" t="s">
        <v>74</v>
      </c>
      <c r="F5" s="49" t="s">
        <v>198</v>
      </c>
    </row>
    <row r="6" spans="2:6">
      <c r="B6" s="45" t="s">
        <v>64</v>
      </c>
      <c r="C6" s="50">
        <v>10</v>
      </c>
      <c r="D6" s="156">
        <v>2</v>
      </c>
      <c r="E6" s="51">
        <f>(C6*D6)</f>
        <v>20</v>
      </c>
      <c r="F6" s="52">
        <f>(E6*12)</f>
        <v>240</v>
      </c>
    </row>
    <row r="7" spans="2:6">
      <c r="B7" s="33" t="s">
        <v>65</v>
      </c>
      <c r="C7" s="53">
        <v>6</v>
      </c>
      <c r="D7" s="157">
        <v>408</v>
      </c>
      <c r="E7" s="54">
        <f t="shared" ref="E7:E13" si="0">(C7*D7)</f>
        <v>2448</v>
      </c>
      <c r="F7" s="52">
        <f t="shared" ref="F7:F14" si="1">(E7*12)</f>
        <v>29376</v>
      </c>
    </row>
    <row r="8" spans="2:6">
      <c r="B8" s="33" t="s">
        <v>66</v>
      </c>
      <c r="C8" s="53">
        <v>6</v>
      </c>
      <c r="D8" s="157">
        <v>20</v>
      </c>
      <c r="E8" s="54">
        <f t="shared" si="0"/>
        <v>120</v>
      </c>
      <c r="F8" s="52">
        <f t="shared" si="1"/>
        <v>1440</v>
      </c>
    </row>
    <row r="9" spans="2:6">
      <c r="B9" s="33" t="s">
        <v>67</v>
      </c>
      <c r="C9" s="53">
        <v>6</v>
      </c>
      <c r="D9" s="157">
        <v>100</v>
      </c>
      <c r="E9" s="54">
        <f t="shared" si="0"/>
        <v>600</v>
      </c>
      <c r="F9" s="52">
        <f t="shared" si="1"/>
        <v>7200</v>
      </c>
    </row>
    <row r="10" spans="2:6">
      <c r="B10" s="33" t="s">
        <v>68</v>
      </c>
      <c r="C10" s="53">
        <v>3</v>
      </c>
      <c r="D10" s="157">
        <v>43</v>
      </c>
      <c r="E10" s="54">
        <f t="shared" si="0"/>
        <v>129</v>
      </c>
      <c r="F10" s="52">
        <f t="shared" si="1"/>
        <v>1548</v>
      </c>
    </row>
    <row r="11" spans="2:6">
      <c r="B11" s="33" t="s">
        <v>69</v>
      </c>
      <c r="C11" s="53">
        <v>3</v>
      </c>
      <c r="D11" s="157">
        <v>270</v>
      </c>
      <c r="E11" s="54">
        <f t="shared" si="0"/>
        <v>810</v>
      </c>
      <c r="F11" s="52">
        <f t="shared" si="1"/>
        <v>9720</v>
      </c>
    </row>
    <row r="12" spans="2:6">
      <c r="B12" s="33" t="s">
        <v>70</v>
      </c>
      <c r="C12" s="53">
        <v>4</v>
      </c>
      <c r="D12" s="157">
        <v>25</v>
      </c>
      <c r="E12" s="54">
        <f t="shared" si="0"/>
        <v>100</v>
      </c>
      <c r="F12" s="52">
        <f t="shared" si="1"/>
        <v>1200</v>
      </c>
    </row>
    <row r="13" spans="2:6">
      <c r="B13" s="33" t="s">
        <v>71</v>
      </c>
      <c r="C13" s="53">
        <v>5</v>
      </c>
      <c r="D13" s="157">
        <v>26</v>
      </c>
      <c r="E13" s="54">
        <f t="shared" si="0"/>
        <v>130</v>
      </c>
      <c r="F13" s="52">
        <f t="shared" si="1"/>
        <v>1560</v>
      </c>
    </row>
    <row r="14" spans="2:6">
      <c r="B14" s="34" t="s">
        <v>75</v>
      </c>
      <c r="C14" s="22"/>
      <c r="D14" s="22"/>
      <c r="E14" s="55">
        <f>SUM(E6:E13)</f>
        <v>4357</v>
      </c>
      <c r="F14" s="52">
        <f t="shared" si="1"/>
        <v>52284</v>
      </c>
    </row>
    <row r="19" spans="3:6" ht="15.75" thickBot="1"/>
    <row r="20" spans="3:6" ht="15.75" customHeight="1">
      <c r="C20" s="212" t="s">
        <v>13</v>
      </c>
      <c r="D20" s="213"/>
      <c r="E20" s="214"/>
    </row>
    <row r="21" spans="3:6">
      <c r="C21" s="215"/>
      <c r="D21" s="216"/>
      <c r="E21" s="217"/>
    </row>
    <row r="22" spans="3:6" ht="15.75" thickBot="1">
      <c r="C22" s="16"/>
      <c r="D22" s="17"/>
      <c r="E22" s="18"/>
    </row>
    <row r="23" spans="3:6">
      <c r="C23" s="23" t="s">
        <v>0</v>
      </c>
      <c r="D23" s="23" t="s">
        <v>1</v>
      </c>
      <c r="E23" s="23" t="s">
        <v>2</v>
      </c>
    </row>
    <row r="24" spans="3:6">
      <c r="C24" s="3"/>
      <c r="D24" s="3" t="s">
        <v>77</v>
      </c>
      <c r="E24" s="4">
        <v>750000</v>
      </c>
    </row>
    <row r="25" spans="3:6">
      <c r="C25" s="3">
        <v>1</v>
      </c>
      <c r="D25" s="5" t="s">
        <v>3</v>
      </c>
      <c r="E25" s="6">
        <v>20000</v>
      </c>
    </row>
    <row r="26" spans="3:6">
      <c r="C26" s="3">
        <v>1</v>
      </c>
      <c r="D26" s="7" t="s">
        <v>4</v>
      </c>
      <c r="E26" s="8">
        <v>2900</v>
      </c>
    </row>
    <row r="27" spans="3:6">
      <c r="C27" s="3">
        <v>1</v>
      </c>
      <c r="D27" s="5" t="s">
        <v>5</v>
      </c>
      <c r="E27" s="8">
        <v>13300</v>
      </c>
    </row>
    <row r="28" spans="3:6">
      <c r="C28" s="3">
        <v>3</v>
      </c>
      <c r="D28" s="5" t="s">
        <v>6</v>
      </c>
      <c r="E28" s="8">
        <v>2340</v>
      </c>
      <c r="F28" s="108"/>
    </row>
    <row r="29" spans="3:6">
      <c r="C29" s="3">
        <v>1</v>
      </c>
      <c r="D29" s="5" t="s">
        <v>7</v>
      </c>
      <c r="E29" s="9">
        <v>11150</v>
      </c>
    </row>
    <row r="30" spans="3:6">
      <c r="C30" s="3">
        <v>2</v>
      </c>
      <c r="D30" s="3" t="s">
        <v>171</v>
      </c>
      <c r="E30" s="9">
        <f>(480*2)</f>
        <v>960</v>
      </c>
    </row>
    <row r="31" spans="3:6">
      <c r="C31" s="3">
        <v>1</v>
      </c>
      <c r="D31" s="3" t="s">
        <v>8</v>
      </c>
      <c r="E31" s="4">
        <v>100000</v>
      </c>
    </row>
    <row r="32" spans="3:6">
      <c r="C32" s="3">
        <v>1</v>
      </c>
      <c r="D32" s="3" t="s">
        <v>9</v>
      </c>
      <c r="E32" s="4">
        <v>17000</v>
      </c>
    </row>
    <row r="33" spans="2:6">
      <c r="C33" s="3">
        <v>1</v>
      </c>
      <c r="D33" s="3" t="s">
        <v>10</v>
      </c>
      <c r="E33" s="4">
        <v>40000</v>
      </c>
    </row>
    <row r="34" spans="2:6">
      <c r="C34" s="3">
        <v>1</v>
      </c>
      <c r="D34" s="3" t="s">
        <v>11</v>
      </c>
      <c r="E34" s="4">
        <v>12000</v>
      </c>
    </row>
    <row r="35" spans="2:6">
      <c r="C35" s="3"/>
      <c r="D35" s="21" t="s">
        <v>12</v>
      </c>
      <c r="E35" s="22">
        <f>SUM(E24:E34)</f>
        <v>969650</v>
      </c>
      <c r="F35" s="66"/>
    </row>
    <row r="39" spans="2:6">
      <c r="B39" s="3" t="s">
        <v>250</v>
      </c>
      <c r="C39" s="164">
        <f>$E$35</f>
        <v>969650</v>
      </c>
      <c r="D39" s="163"/>
    </row>
    <row r="40" spans="2:6">
      <c r="B40" s="3" t="s">
        <v>251</v>
      </c>
      <c r="C40" s="164">
        <f>$E$14</f>
        <v>4357</v>
      </c>
    </row>
    <row r="41" spans="2:6">
      <c r="B41" s="3" t="s">
        <v>252</v>
      </c>
      <c r="C41" s="165">
        <f>'FLUJO DE CAJA CON SUBSIDIO'!$G$22</f>
        <v>60000</v>
      </c>
    </row>
    <row r="42" spans="2:6">
      <c r="B42" s="21" t="s">
        <v>253</v>
      </c>
      <c r="C42" s="166">
        <f>C39+C40+C41</f>
        <v>1034007</v>
      </c>
    </row>
  </sheetData>
  <mergeCells count="2">
    <mergeCell ref="B4:F4"/>
    <mergeCell ref="C20:E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C12:P28"/>
  <sheetViews>
    <sheetView tabSelected="1" topLeftCell="E5" workbookViewId="0">
      <selection activeCell="C12" sqref="C12:P28"/>
    </sheetView>
  </sheetViews>
  <sheetFormatPr baseColWidth="10" defaultRowHeight="15"/>
  <cols>
    <col min="3" max="3" width="33" bestFit="1" customWidth="1"/>
    <col min="4" max="6" width="10.5703125" bestFit="1" customWidth="1"/>
    <col min="7" max="7" width="10.85546875" customWidth="1"/>
    <col min="8" max="13" width="10.5703125" bestFit="1" customWidth="1"/>
    <col min="14" max="16" width="11.5703125" bestFit="1" customWidth="1"/>
  </cols>
  <sheetData>
    <row r="12" spans="3:16">
      <c r="F12" s="200" t="s">
        <v>220</v>
      </c>
      <c r="G12" s="218"/>
      <c r="H12" s="218"/>
      <c r="I12" s="201"/>
      <c r="J12" s="129"/>
      <c r="K12" s="129"/>
      <c r="L12" s="129"/>
    </row>
    <row r="13" spans="3:16">
      <c r="C13" s="3"/>
      <c r="D13" s="169">
        <v>0</v>
      </c>
      <c r="E13" s="169">
        <v>1</v>
      </c>
      <c r="F13" s="170">
        <v>2</v>
      </c>
      <c r="G13" s="170">
        <v>3</v>
      </c>
      <c r="H13" s="170">
        <v>4</v>
      </c>
      <c r="I13" s="170">
        <v>5</v>
      </c>
      <c r="J13" s="169">
        <v>6</v>
      </c>
      <c r="K13" s="169">
        <v>7</v>
      </c>
      <c r="L13" s="169">
        <v>8</v>
      </c>
      <c r="M13" s="169">
        <v>9</v>
      </c>
      <c r="N13" s="169">
        <v>10</v>
      </c>
      <c r="O13" s="169">
        <v>11</v>
      </c>
      <c r="P13" s="169">
        <v>12</v>
      </c>
    </row>
    <row r="14" spans="3:16">
      <c r="C14" s="20" t="str">
        <f>'FLUJO DE CAJA CON SUBSIDIO'!D12</f>
        <v>INGRESOS POR VENTAS</v>
      </c>
      <c r="D14" s="172">
        <f>'FLUJO DE CAJA CON SUBSIDIO'!$F$41/12</f>
        <v>52839.5</v>
      </c>
      <c r="E14" s="172">
        <f>'FLUJO DE CAJA CON SUBSIDIO'!$F$41/12</f>
        <v>52839.5</v>
      </c>
      <c r="F14" s="172">
        <f>'FLUJO DE CAJA CON SUBSIDIO'!$F$41/12</f>
        <v>52839.5</v>
      </c>
      <c r="G14" s="172">
        <f>'FLUJO DE CAJA CON SUBSIDIO'!$F$41/12</f>
        <v>52839.5</v>
      </c>
      <c r="H14" s="172">
        <f>'FLUJO DE CAJA CON SUBSIDIO'!$F$41/12</f>
        <v>52839.5</v>
      </c>
      <c r="I14" s="172">
        <f>'FLUJO DE CAJA CON SUBSIDIO'!$F$41/12</f>
        <v>52839.5</v>
      </c>
      <c r="J14" s="172">
        <f>'FLUJO DE CAJA CON SUBSIDIO'!$F$41/12</f>
        <v>52839.5</v>
      </c>
      <c r="K14" s="172">
        <f>'FLUJO DE CAJA CON SUBSIDIO'!$F$41/12</f>
        <v>52839.5</v>
      </c>
      <c r="L14" s="172">
        <f>'FLUJO DE CAJA CON SUBSIDIO'!$F$41/12</f>
        <v>52839.5</v>
      </c>
      <c r="M14" s="172">
        <f>'FLUJO DE CAJA CON SUBSIDIO'!$F$41/12</f>
        <v>52839.5</v>
      </c>
      <c r="N14" s="172">
        <f>'FLUJO DE CAJA CON SUBSIDIO'!$F$41/12</f>
        <v>52839.5</v>
      </c>
      <c r="O14" s="172">
        <f>'FLUJO DE CAJA CON SUBSIDIO'!$F$41/12</f>
        <v>52839.5</v>
      </c>
      <c r="P14" s="172">
        <f>'FLUJO DE CAJA CON SUBSIDIO'!$F$41/12</f>
        <v>52839.5</v>
      </c>
    </row>
    <row r="15" spans="3:16">
      <c r="C15" s="20" t="str">
        <f>'FLUJO DE CAJA CON SUBSIDIO'!D13</f>
        <v xml:space="preserve">(-) COSTOS  </v>
      </c>
      <c r="D15" s="172">
        <f>'FLUJO DE CAJA CON SUBSIDIO'!$H$13/12</f>
        <v>22640.625</v>
      </c>
      <c r="E15" s="172">
        <f>'FLUJO DE CAJA CON SUBSIDIO'!$H$13/12</f>
        <v>22640.625</v>
      </c>
      <c r="F15" s="172">
        <f>'FLUJO DE CAJA CON SUBSIDIO'!$H$13/12</f>
        <v>22640.625</v>
      </c>
      <c r="G15" s="172">
        <f>'FLUJO DE CAJA CON SUBSIDIO'!$H$13/12</f>
        <v>22640.625</v>
      </c>
      <c r="H15" s="172">
        <f>'FLUJO DE CAJA CON SUBSIDIO'!$H$13/12</f>
        <v>22640.625</v>
      </c>
      <c r="I15" s="172">
        <f>'FLUJO DE CAJA CON SUBSIDIO'!$H$13/12</f>
        <v>22640.625</v>
      </c>
      <c r="J15" s="172">
        <f>'FLUJO DE CAJA CON SUBSIDIO'!$H$13/12</f>
        <v>22640.625</v>
      </c>
      <c r="K15" s="172">
        <f>'FLUJO DE CAJA CON SUBSIDIO'!$H$13/12</f>
        <v>22640.625</v>
      </c>
      <c r="L15" s="172">
        <f>'FLUJO DE CAJA CON SUBSIDIO'!$H$13/12</f>
        <v>22640.625</v>
      </c>
      <c r="M15" s="172">
        <f>'FLUJO DE CAJA CON SUBSIDIO'!$H$13/12</f>
        <v>22640.625</v>
      </c>
      <c r="N15" s="172">
        <f>'FLUJO DE CAJA CON SUBSIDIO'!$H$13/12</f>
        <v>22640.625</v>
      </c>
      <c r="O15" s="172">
        <f>'FLUJO DE CAJA CON SUBSIDIO'!$H$13/12</f>
        <v>22640.625</v>
      </c>
      <c r="P15" s="172">
        <f>'FLUJO DE CAJA CON SUBSIDIO'!$H$13/12</f>
        <v>22640.625</v>
      </c>
    </row>
    <row r="16" spans="3:16">
      <c r="C16" s="20" t="str">
        <f>'FLUJO DE CAJA CON SUBSIDIO'!D14</f>
        <v>(=) UTILIDAD BRUTA</v>
      </c>
      <c r="D16" s="173">
        <f>D14-D15</f>
        <v>30198.875</v>
      </c>
      <c r="E16" s="173">
        <f t="shared" ref="E16:P16" si="0">E14-E15</f>
        <v>30198.875</v>
      </c>
      <c r="F16" s="173">
        <f t="shared" si="0"/>
        <v>30198.875</v>
      </c>
      <c r="G16" s="173">
        <f t="shared" si="0"/>
        <v>30198.875</v>
      </c>
      <c r="H16" s="173">
        <f t="shared" si="0"/>
        <v>30198.875</v>
      </c>
      <c r="I16" s="173">
        <f t="shared" si="0"/>
        <v>30198.875</v>
      </c>
      <c r="J16" s="173">
        <f t="shared" si="0"/>
        <v>30198.875</v>
      </c>
      <c r="K16" s="173">
        <f t="shared" si="0"/>
        <v>30198.875</v>
      </c>
      <c r="L16" s="173">
        <f t="shared" si="0"/>
        <v>30198.875</v>
      </c>
      <c r="M16" s="173">
        <f t="shared" si="0"/>
        <v>30198.875</v>
      </c>
      <c r="N16" s="173">
        <f t="shared" si="0"/>
        <v>30198.875</v>
      </c>
      <c r="O16" s="173">
        <f t="shared" si="0"/>
        <v>30198.875</v>
      </c>
      <c r="P16" s="173">
        <f t="shared" si="0"/>
        <v>30198.875</v>
      </c>
    </row>
    <row r="17" spans="3:16">
      <c r="C17" s="3" t="str">
        <f>'FLUJO DE CAJA CON SUBSIDIO'!D15</f>
        <v>(-) SUELDOS Y SALARIOS</v>
      </c>
      <c r="D17" s="172">
        <f>'FLUJO DE CAJA CON SUBSIDIO'!$H$15/12</f>
        <v>13463.92</v>
      </c>
      <c r="E17" s="172">
        <f>'FLUJO DE CAJA CON SUBSIDIO'!$H$15/12</f>
        <v>13463.92</v>
      </c>
      <c r="F17" s="172">
        <f>'FLUJO DE CAJA CON SUBSIDIO'!$H$15/12</f>
        <v>13463.92</v>
      </c>
      <c r="G17" s="172">
        <f>'FLUJO DE CAJA CON SUBSIDIO'!$H$15/12</f>
        <v>13463.92</v>
      </c>
      <c r="H17" s="172">
        <f>'FLUJO DE CAJA CON SUBSIDIO'!$H$15/12</f>
        <v>13463.92</v>
      </c>
      <c r="I17" s="172">
        <f>'FLUJO DE CAJA CON SUBSIDIO'!$H$15/12</f>
        <v>13463.92</v>
      </c>
      <c r="J17" s="172">
        <f>'FLUJO DE CAJA CON SUBSIDIO'!$H$15/12</f>
        <v>13463.92</v>
      </c>
      <c r="K17" s="172">
        <f>'FLUJO DE CAJA CON SUBSIDIO'!$H$15/12</f>
        <v>13463.92</v>
      </c>
      <c r="L17" s="172">
        <f>'FLUJO DE CAJA CON SUBSIDIO'!$H$15/12</f>
        <v>13463.92</v>
      </c>
      <c r="M17" s="172">
        <f>'FLUJO DE CAJA CON SUBSIDIO'!$H$15/12</f>
        <v>13463.92</v>
      </c>
      <c r="N17" s="172">
        <f>'FLUJO DE CAJA CON SUBSIDIO'!$H$15/12</f>
        <v>13463.92</v>
      </c>
      <c r="O17" s="172">
        <f>'FLUJO DE CAJA CON SUBSIDIO'!$H$15/12</f>
        <v>13463.92</v>
      </c>
      <c r="P17" s="172">
        <f>'FLUJO DE CAJA CON SUBSIDIO'!$H$15/12</f>
        <v>13463.92</v>
      </c>
    </row>
    <row r="18" spans="3:16">
      <c r="C18" s="3" t="str">
        <f>'FLUJO DE CAJA CON SUBSIDIO'!D16</f>
        <v>(-) GASTOS   ADMINISTRATIVOS</v>
      </c>
      <c r="D18" s="172">
        <f>'FLUJO DE CAJA CON SUBSIDIO'!$H$16/12</f>
        <v>7632.39</v>
      </c>
      <c r="E18" s="172">
        <f>'FLUJO DE CAJA CON SUBSIDIO'!$H$16/12</f>
        <v>7632.39</v>
      </c>
      <c r="F18" s="172">
        <f>'FLUJO DE CAJA CON SUBSIDIO'!$H$16/12</f>
        <v>7632.39</v>
      </c>
      <c r="G18" s="172">
        <f>'FLUJO DE CAJA CON SUBSIDIO'!$H$16/12</f>
        <v>7632.39</v>
      </c>
      <c r="H18" s="172">
        <f>'FLUJO DE CAJA CON SUBSIDIO'!$H$16/12</f>
        <v>7632.39</v>
      </c>
      <c r="I18" s="172">
        <f>'FLUJO DE CAJA CON SUBSIDIO'!$H$16/12</f>
        <v>7632.39</v>
      </c>
      <c r="J18" s="172">
        <f>'FLUJO DE CAJA CON SUBSIDIO'!$H$16/12</f>
        <v>7632.39</v>
      </c>
      <c r="K18" s="172">
        <f>'FLUJO DE CAJA CON SUBSIDIO'!$H$16/12</f>
        <v>7632.39</v>
      </c>
      <c r="L18" s="172">
        <f>'FLUJO DE CAJA CON SUBSIDIO'!$H$16/12</f>
        <v>7632.39</v>
      </c>
      <c r="M18" s="172">
        <f>'FLUJO DE CAJA CON SUBSIDIO'!$H$16/12</f>
        <v>7632.39</v>
      </c>
      <c r="N18" s="172">
        <f>'FLUJO DE CAJA CON SUBSIDIO'!$H$16/12</f>
        <v>7632.39</v>
      </c>
      <c r="O18" s="172">
        <f>'FLUJO DE CAJA CON SUBSIDIO'!$H$16/12</f>
        <v>7632.39</v>
      </c>
      <c r="P18" s="172">
        <f>'FLUJO DE CAJA CON SUBSIDIO'!$H$16/12</f>
        <v>7632.39</v>
      </c>
    </row>
    <row r="19" spans="3:16">
      <c r="C19" s="3" t="str">
        <f>'FLUJO DE CAJA CON SUBSIDIO'!D17</f>
        <v>(-) DEP. ACTIVO FIJO</v>
      </c>
      <c r="D19" s="172">
        <f>'FLUJO DE CAJA CON SUBSIDIO'!$H$17/12</f>
        <v>5341.030555555556</v>
      </c>
      <c r="E19" s="172">
        <f>'FLUJO DE CAJA CON SUBSIDIO'!$H$17/12</f>
        <v>5341.030555555556</v>
      </c>
      <c r="F19" s="172">
        <f>'FLUJO DE CAJA CON SUBSIDIO'!$H$17/12</f>
        <v>5341.030555555556</v>
      </c>
      <c r="G19" s="172">
        <f>'FLUJO DE CAJA CON SUBSIDIO'!$H$17/12</f>
        <v>5341.030555555556</v>
      </c>
      <c r="H19" s="172">
        <f>'FLUJO DE CAJA CON SUBSIDIO'!$H$17/12</f>
        <v>5341.030555555556</v>
      </c>
      <c r="I19" s="172">
        <f>'FLUJO DE CAJA CON SUBSIDIO'!$H$17/12</f>
        <v>5341.030555555556</v>
      </c>
      <c r="J19" s="172">
        <f>'FLUJO DE CAJA CON SUBSIDIO'!$H$17/12</f>
        <v>5341.030555555556</v>
      </c>
      <c r="K19" s="172">
        <f>'FLUJO DE CAJA CON SUBSIDIO'!$H$17/12</f>
        <v>5341.030555555556</v>
      </c>
      <c r="L19" s="172">
        <f>'FLUJO DE CAJA CON SUBSIDIO'!$H$17/12</f>
        <v>5341.030555555556</v>
      </c>
      <c r="M19" s="172">
        <f>'FLUJO DE CAJA CON SUBSIDIO'!$H$17/12</f>
        <v>5341.030555555556</v>
      </c>
      <c r="N19" s="172">
        <f>'FLUJO DE CAJA CON SUBSIDIO'!$H$17/12</f>
        <v>5341.030555555556</v>
      </c>
      <c r="O19" s="172">
        <f>'FLUJO DE CAJA CON SUBSIDIO'!$H$17/12</f>
        <v>5341.030555555556</v>
      </c>
      <c r="P19" s="172">
        <f>'FLUJO DE CAJA CON SUBSIDIO'!$H$17/12</f>
        <v>5341.030555555556</v>
      </c>
    </row>
    <row r="20" spans="3:16">
      <c r="C20" s="20" t="str">
        <f>'FLUJO DE CAJA CON SUBSIDIO'!D18</f>
        <v>(=) UTILIDAD OPERACIONAL</v>
      </c>
      <c r="D20" s="173">
        <f>D16-D17-D18-D19</f>
        <v>3761.5344444444463</v>
      </c>
      <c r="E20" s="173">
        <f t="shared" ref="E20:P20" si="1">E16-E17-E18-E19</f>
        <v>3761.5344444444463</v>
      </c>
      <c r="F20" s="173">
        <f t="shared" si="1"/>
        <v>3761.5344444444463</v>
      </c>
      <c r="G20" s="173">
        <f t="shared" si="1"/>
        <v>3761.5344444444463</v>
      </c>
      <c r="H20" s="173">
        <f t="shared" si="1"/>
        <v>3761.5344444444463</v>
      </c>
      <c r="I20" s="173">
        <f t="shared" si="1"/>
        <v>3761.5344444444463</v>
      </c>
      <c r="J20" s="173">
        <f t="shared" si="1"/>
        <v>3761.5344444444463</v>
      </c>
      <c r="K20" s="173">
        <f t="shared" si="1"/>
        <v>3761.5344444444463</v>
      </c>
      <c r="L20" s="173">
        <f t="shared" si="1"/>
        <v>3761.5344444444463</v>
      </c>
      <c r="M20" s="173">
        <f t="shared" si="1"/>
        <v>3761.5344444444463</v>
      </c>
      <c r="N20" s="173">
        <f t="shared" si="1"/>
        <v>3761.5344444444463</v>
      </c>
      <c r="O20" s="173">
        <f t="shared" si="1"/>
        <v>3761.5344444444463</v>
      </c>
      <c r="P20" s="173">
        <f t="shared" si="1"/>
        <v>3761.5344444444463</v>
      </c>
    </row>
    <row r="21" spans="3:16">
      <c r="C21" s="3" t="str">
        <f>'FLUJO DE CAJA CON SUBSIDIO'!D19</f>
        <v>(+) DEPRECIACION DE ACTIVO FIJO</v>
      </c>
      <c r="D21" s="172">
        <f>$D$19</f>
        <v>5341.030555555556</v>
      </c>
      <c r="E21" s="172">
        <f t="shared" ref="E21:P21" si="2">$D$19</f>
        <v>5341.030555555556</v>
      </c>
      <c r="F21" s="172">
        <f t="shared" si="2"/>
        <v>5341.030555555556</v>
      </c>
      <c r="G21" s="172">
        <f t="shared" si="2"/>
        <v>5341.030555555556</v>
      </c>
      <c r="H21" s="172">
        <f t="shared" si="2"/>
        <v>5341.030555555556</v>
      </c>
      <c r="I21" s="172">
        <f t="shared" si="2"/>
        <v>5341.030555555556</v>
      </c>
      <c r="J21" s="172">
        <f t="shared" si="2"/>
        <v>5341.030555555556</v>
      </c>
      <c r="K21" s="172">
        <f t="shared" si="2"/>
        <v>5341.030555555556</v>
      </c>
      <c r="L21" s="172">
        <f t="shared" si="2"/>
        <v>5341.030555555556</v>
      </c>
      <c r="M21" s="172">
        <f t="shared" si="2"/>
        <v>5341.030555555556</v>
      </c>
      <c r="N21" s="172">
        <f t="shared" si="2"/>
        <v>5341.030555555556</v>
      </c>
      <c r="O21" s="172">
        <f t="shared" si="2"/>
        <v>5341.030555555556</v>
      </c>
      <c r="P21" s="172">
        <f t="shared" si="2"/>
        <v>5341.030555555556</v>
      </c>
    </row>
    <row r="22" spans="3:16">
      <c r="C22" s="3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</row>
    <row r="23" spans="3:16">
      <c r="C23" s="3" t="s">
        <v>216</v>
      </c>
      <c r="D23" s="172">
        <f>$D$14</f>
        <v>52839.5</v>
      </c>
      <c r="E23" s="172">
        <f t="shared" ref="E23:P23" si="3">$D$14</f>
        <v>52839.5</v>
      </c>
      <c r="F23" s="172">
        <f t="shared" si="3"/>
        <v>52839.5</v>
      </c>
      <c r="G23" s="172">
        <f t="shared" si="3"/>
        <v>52839.5</v>
      </c>
      <c r="H23" s="172">
        <f t="shared" si="3"/>
        <v>52839.5</v>
      </c>
      <c r="I23" s="172">
        <f t="shared" si="3"/>
        <v>52839.5</v>
      </c>
      <c r="J23" s="172">
        <f t="shared" si="3"/>
        <v>52839.5</v>
      </c>
      <c r="K23" s="172">
        <f t="shared" si="3"/>
        <v>52839.5</v>
      </c>
      <c r="L23" s="172">
        <f t="shared" si="3"/>
        <v>52839.5</v>
      </c>
      <c r="M23" s="172">
        <f t="shared" si="3"/>
        <v>52839.5</v>
      </c>
      <c r="N23" s="172">
        <f t="shared" si="3"/>
        <v>52839.5</v>
      </c>
      <c r="O23" s="172">
        <f t="shared" si="3"/>
        <v>52839.5</v>
      </c>
      <c r="P23" s="172">
        <f t="shared" si="3"/>
        <v>52839.5</v>
      </c>
    </row>
    <row r="24" spans="3:16">
      <c r="C24" s="3" t="s">
        <v>217</v>
      </c>
      <c r="D24" s="172">
        <f>D15+D17+D18</f>
        <v>43736.934999999998</v>
      </c>
      <c r="E24" s="172">
        <f t="shared" ref="E24:P24" si="4">E15+E17+E18</f>
        <v>43736.934999999998</v>
      </c>
      <c r="F24" s="172">
        <f t="shared" si="4"/>
        <v>43736.934999999998</v>
      </c>
      <c r="G24" s="172">
        <f t="shared" si="4"/>
        <v>43736.934999999998</v>
      </c>
      <c r="H24" s="172">
        <f t="shared" si="4"/>
        <v>43736.934999999998</v>
      </c>
      <c r="I24" s="172">
        <f t="shared" si="4"/>
        <v>43736.934999999998</v>
      </c>
      <c r="J24" s="172">
        <f t="shared" si="4"/>
        <v>43736.934999999998</v>
      </c>
      <c r="K24" s="172">
        <f t="shared" si="4"/>
        <v>43736.934999999998</v>
      </c>
      <c r="L24" s="172">
        <f t="shared" si="4"/>
        <v>43736.934999999998</v>
      </c>
      <c r="M24" s="172">
        <f t="shared" si="4"/>
        <v>43736.934999999998</v>
      </c>
      <c r="N24" s="172">
        <f t="shared" si="4"/>
        <v>43736.934999999998</v>
      </c>
      <c r="O24" s="172">
        <f t="shared" si="4"/>
        <v>43736.934999999998</v>
      </c>
      <c r="P24" s="172">
        <f t="shared" si="4"/>
        <v>43736.934999999998</v>
      </c>
    </row>
    <row r="25" spans="3:16">
      <c r="C25" s="3" t="s">
        <v>218</v>
      </c>
      <c r="D25" s="172">
        <f>D23-D24</f>
        <v>9102.5650000000023</v>
      </c>
      <c r="E25" s="172">
        <f t="shared" ref="E25:P25" si="5">E23-E24</f>
        <v>9102.5650000000023</v>
      </c>
      <c r="F25" s="172">
        <f t="shared" si="5"/>
        <v>9102.5650000000023</v>
      </c>
      <c r="G25" s="172">
        <f t="shared" si="5"/>
        <v>9102.5650000000023</v>
      </c>
      <c r="H25" s="172">
        <f t="shared" si="5"/>
        <v>9102.5650000000023</v>
      </c>
      <c r="I25" s="172">
        <f t="shared" si="5"/>
        <v>9102.5650000000023</v>
      </c>
      <c r="J25" s="172">
        <f t="shared" si="5"/>
        <v>9102.5650000000023</v>
      </c>
      <c r="K25" s="172">
        <f t="shared" si="5"/>
        <v>9102.5650000000023</v>
      </c>
      <c r="L25" s="172">
        <f t="shared" si="5"/>
        <v>9102.5650000000023</v>
      </c>
      <c r="M25" s="172">
        <f t="shared" si="5"/>
        <v>9102.5650000000023</v>
      </c>
      <c r="N25" s="172">
        <f t="shared" si="5"/>
        <v>9102.5650000000023</v>
      </c>
      <c r="O25" s="172">
        <f t="shared" si="5"/>
        <v>9102.5650000000023</v>
      </c>
      <c r="P25" s="172">
        <f t="shared" si="5"/>
        <v>9102.5650000000023</v>
      </c>
    </row>
    <row r="26" spans="3:16">
      <c r="C26" s="3" t="s">
        <v>219</v>
      </c>
      <c r="D26" s="172">
        <f>$D$25</f>
        <v>9102.5650000000023</v>
      </c>
      <c r="E26" s="172">
        <f>D26+E25</f>
        <v>18205.130000000005</v>
      </c>
      <c r="F26" s="172">
        <f t="shared" ref="F26:J26" si="6">E26+F25</f>
        <v>27307.695000000007</v>
      </c>
      <c r="G26" s="172">
        <f t="shared" si="6"/>
        <v>36410.260000000009</v>
      </c>
      <c r="H26" s="172">
        <f t="shared" si="6"/>
        <v>45512.825000000012</v>
      </c>
      <c r="I26" s="172">
        <f t="shared" si="6"/>
        <v>54615.390000000014</v>
      </c>
      <c r="J26" s="172">
        <f t="shared" si="6"/>
        <v>63717.955000000016</v>
      </c>
      <c r="K26" s="172">
        <f t="shared" ref="K26" si="7">J26+K25</f>
        <v>72820.520000000019</v>
      </c>
      <c r="L26" s="172">
        <f t="shared" ref="L26" si="8">K26+L25</f>
        <v>81923.085000000021</v>
      </c>
      <c r="M26" s="172">
        <f t="shared" ref="M26" si="9">L26+M25</f>
        <v>91025.650000000023</v>
      </c>
      <c r="N26" s="172">
        <f t="shared" ref="N26:O26" si="10">M26+N25</f>
        <v>100128.21500000003</v>
      </c>
      <c r="O26" s="172">
        <f t="shared" si="10"/>
        <v>109230.78000000003</v>
      </c>
      <c r="P26" s="172">
        <f t="shared" ref="P26" si="11">O26+P25</f>
        <v>118333.34500000003</v>
      </c>
    </row>
    <row r="27" spans="3:16">
      <c r="C27" s="20" t="s">
        <v>220</v>
      </c>
      <c r="D27" s="173">
        <f>MIN(D26:P26)</f>
        <v>9102.5650000000023</v>
      </c>
      <c r="E27" s="173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</row>
    <row r="28" spans="3:16">
      <c r="G28" t="s">
        <v>254</v>
      </c>
    </row>
  </sheetData>
  <mergeCells count="1">
    <mergeCell ref="F12:I1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G45"/>
  <sheetViews>
    <sheetView workbookViewId="0">
      <selection activeCell="B2" sqref="B2:G2"/>
    </sheetView>
  </sheetViews>
  <sheetFormatPr baseColWidth="10" defaultRowHeight="15"/>
  <cols>
    <col min="2" max="2" width="8" bestFit="1" customWidth="1"/>
    <col min="3" max="3" width="46.42578125" bestFit="1" customWidth="1"/>
    <col min="4" max="4" width="11.28515625" bestFit="1" customWidth="1"/>
    <col min="5" max="5" width="17.42578125" bestFit="1" customWidth="1"/>
    <col min="6" max="6" width="10.5703125" bestFit="1" customWidth="1"/>
    <col min="7" max="7" width="14.7109375" bestFit="1" customWidth="1"/>
  </cols>
  <sheetData>
    <row r="1" spans="2:7" ht="15.75" thickBot="1"/>
    <row r="2" spans="2:7" ht="15.75" thickBot="1">
      <c r="B2" s="191" t="s">
        <v>14</v>
      </c>
      <c r="C2" s="192"/>
      <c r="D2" s="192"/>
      <c r="E2" s="192"/>
      <c r="F2" s="192"/>
      <c r="G2" s="193"/>
    </row>
    <row r="3" spans="2:7">
      <c r="B3" s="174"/>
      <c r="C3" s="174"/>
      <c r="D3" s="175" t="s">
        <v>17</v>
      </c>
      <c r="E3" s="175" t="s">
        <v>46</v>
      </c>
      <c r="F3" s="175" t="s">
        <v>121</v>
      </c>
      <c r="G3" s="175" t="s">
        <v>102</v>
      </c>
    </row>
    <row r="4" spans="2:7">
      <c r="B4" s="176" t="s">
        <v>15</v>
      </c>
      <c r="C4" s="177" t="s">
        <v>16</v>
      </c>
      <c r="D4" s="178"/>
      <c r="E4" s="178">
        <f>SUM(D5:D20)</f>
        <v>13463.92</v>
      </c>
      <c r="F4" s="179"/>
      <c r="G4" s="180">
        <f>(E4*12)</f>
        <v>161567.04000000001</v>
      </c>
    </row>
    <row r="5" spans="2:7">
      <c r="B5" s="181"/>
      <c r="C5" s="182" t="s">
        <v>18</v>
      </c>
      <c r="D5" s="179">
        <v>2353.5500000000002</v>
      </c>
      <c r="E5" s="179"/>
      <c r="F5" s="179">
        <f>(D5*12)</f>
        <v>28242.600000000002</v>
      </c>
      <c r="G5" s="179"/>
    </row>
    <row r="6" spans="2:7">
      <c r="B6" s="181"/>
      <c r="C6" s="182" t="s">
        <v>19</v>
      </c>
      <c r="D6" s="179">
        <v>957.45</v>
      </c>
      <c r="E6" s="179"/>
      <c r="F6" s="179">
        <f t="shared" ref="F6:F20" si="0">(D6*12)</f>
        <v>11489.400000000001</v>
      </c>
      <c r="G6" s="179"/>
    </row>
    <row r="7" spans="2:7">
      <c r="B7" s="181"/>
      <c r="C7" s="182" t="s">
        <v>20</v>
      </c>
      <c r="D7" s="179">
        <v>1311.55</v>
      </c>
      <c r="E7" s="179"/>
      <c r="F7" s="179">
        <f t="shared" si="0"/>
        <v>15738.599999999999</v>
      </c>
      <c r="G7" s="179"/>
    </row>
    <row r="8" spans="2:7">
      <c r="B8" s="181"/>
      <c r="C8" s="182" t="s">
        <v>21</v>
      </c>
      <c r="D8" s="179">
        <v>675.16</v>
      </c>
      <c r="E8" s="179"/>
      <c r="F8" s="179">
        <f t="shared" si="0"/>
        <v>8101.92</v>
      </c>
      <c r="G8" s="179"/>
    </row>
    <row r="9" spans="2:7">
      <c r="B9" s="181"/>
      <c r="C9" s="182" t="s">
        <v>22</v>
      </c>
      <c r="D9" s="179">
        <v>145.36000000000001</v>
      </c>
      <c r="E9" s="179"/>
      <c r="F9" s="179">
        <f t="shared" si="0"/>
        <v>1744.3200000000002</v>
      </c>
      <c r="G9" s="179"/>
    </row>
    <row r="10" spans="2:7">
      <c r="B10" s="181"/>
      <c r="C10" s="182" t="s">
        <v>23</v>
      </c>
      <c r="D10" s="179">
        <v>109</v>
      </c>
      <c r="E10" s="179"/>
      <c r="F10" s="179">
        <f t="shared" si="0"/>
        <v>1308</v>
      </c>
      <c r="G10" s="179"/>
    </row>
    <row r="11" spans="2:7">
      <c r="B11" s="181"/>
      <c r="C11" s="182" t="s">
        <v>24</v>
      </c>
      <c r="D11" s="179">
        <v>106.89</v>
      </c>
      <c r="E11" s="179"/>
      <c r="F11" s="179">
        <f t="shared" si="0"/>
        <v>1282.68</v>
      </c>
      <c r="G11" s="179"/>
    </row>
    <row r="12" spans="2:7">
      <c r="B12" s="181"/>
      <c r="C12" s="182" t="s">
        <v>25</v>
      </c>
      <c r="D12" s="179">
        <v>1100</v>
      </c>
      <c r="E12" s="179"/>
      <c r="F12" s="179">
        <f t="shared" si="0"/>
        <v>13200</v>
      </c>
      <c r="G12" s="179"/>
    </row>
    <row r="13" spans="2:7">
      <c r="B13" s="181"/>
      <c r="C13" s="182" t="s">
        <v>26</v>
      </c>
      <c r="D13" s="179">
        <v>23.34</v>
      </c>
      <c r="E13" s="179"/>
      <c r="F13" s="179">
        <f t="shared" si="0"/>
        <v>280.08</v>
      </c>
      <c r="G13" s="179"/>
    </row>
    <row r="14" spans="2:7">
      <c r="B14" s="181"/>
      <c r="C14" s="182" t="s">
        <v>27</v>
      </c>
      <c r="D14" s="179">
        <v>15</v>
      </c>
      <c r="E14" s="179"/>
      <c r="F14" s="179">
        <f t="shared" si="0"/>
        <v>180</v>
      </c>
      <c r="G14" s="179"/>
    </row>
    <row r="15" spans="2:7">
      <c r="B15" s="181"/>
      <c r="C15" s="182" t="s">
        <v>28</v>
      </c>
      <c r="D15" s="179">
        <v>110</v>
      </c>
      <c r="E15" s="179"/>
      <c r="F15" s="179">
        <f t="shared" si="0"/>
        <v>1320</v>
      </c>
      <c r="G15" s="179"/>
    </row>
    <row r="16" spans="2:7">
      <c r="B16" s="181"/>
      <c r="C16" s="182" t="s">
        <v>29</v>
      </c>
      <c r="D16" s="179">
        <v>2954.82</v>
      </c>
      <c r="E16" s="179"/>
      <c r="F16" s="179">
        <f t="shared" si="0"/>
        <v>35457.840000000004</v>
      </c>
      <c r="G16" s="179"/>
    </row>
    <row r="17" spans="2:7">
      <c r="B17" s="181"/>
      <c r="C17" s="182" t="s">
        <v>30</v>
      </c>
      <c r="D17" s="179">
        <v>2046.98</v>
      </c>
      <c r="E17" s="179"/>
      <c r="F17" s="179">
        <f t="shared" si="0"/>
        <v>24563.760000000002</v>
      </c>
      <c r="G17" s="179"/>
    </row>
    <row r="18" spans="2:7">
      <c r="B18" s="181"/>
      <c r="C18" s="182" t="s">
        <v>31</v>
      </c>
      <c r="D18" s="179">
        <v>878.58</v>
      </c>
      <c r="E18" s="179"/>
      <c r="F18" s="179">
        <f t="shared" si="0"/>
        <v>10542.960000000001</v>
      </c>
      <c r="G18" s="179"/>
    </row>
    <row r="19" spans="2:7">
      <c r="B19" s="181"/>
      <c r="C19" s="182" t="s">
        <v>32</v>
      </c>
      <c r="D19" s="179">
        <v>656.64</v>
      </c>
      <c r="E19" s="179"/>
      <c r="F19" s="179">
        <f t="shared" si="0"/>
        <v>7879.68</v>
      </c>
      <c r="G19" s="179"/>
    </row>
    <row r="20" spans="2:7">
      <c r="B20" s="181"/>
      <c r="C20" s="182" t="s">
        <v>33</v>
      </c>
      <c r="D20" s="179">
        <v>19.600000000000001</v>
      </c>
      <c r="E20" s="179"/>
      <c r="F20" s="179">
        <f t="shared" si="0"/>
        <v>235.20000000000002</v>
      </c>
      <c r="G20" s="179"/>
    </row>
    <row r="21" spans="2:7">
      <c r="B21" s="183" t="s">
        <v>34</v>
      </c>
      <c r="C21" s="181" t="s">
        <v>35</v>
      </c>
      <c r="D21" s="180"/>
      <c r="E21" s="180">
        <f>SUM(D22:D31)</f>
        <v>1109.6299999999999</v>
      </c>
      <c r="F21" s="179"/>
      <c r="G21" s="180">
        <f>(E21*12)</f>
        <v>13315.559999999998</v>
      </c>
    </row>
    <row r="22" spans="2:7">
      <c r="B22" s="181"/>
      <c r="C22" s="182" t="s">
        <v>36</v>
      </c>
      <c r="D22" s="179">
        <v>45.5</v>
      </c>
      <c r="E22" s="179"/>
      <c r="F22" s="179">
        <f>(D22*12)</f>
        <v>546</v>
      </c>
      <c r="G22" s="179"/>
    </row>
    <row r="23" spans="2:7">
      <c r="B23" s="181"/>
      <c r="C23" s="182" t="s">
        <v>37</v>
      </c>
      <c r="D23" s="179">
        <v>13.77</v>
      </c>
      <c r="E23" s="179"/>
      <c r="F23" s="179">
        <f t="shared" ref="F23:F31" si="1">(D23*12)</f>
        <v>165.24</v>
      </c>
      <c r="G23" s="179"/>
    </row>
    <row r="24" spans="2:7">
      <c r="B24" s="181"/>
      <c r="C24" s="182" t="s">
        <v>38</v>
      </c>
      <c r="D24" s="179">
        <v>66.27</v>
      </c>
      <c r="E24" s="179"/>
      <c r="F24" s="179">
        <f t="shared" si="1"/>
        <v>795.24</v>
      </c>
      <c r="G24" s="179"/>
    </row>
    <row r="25" spans="2:7">
      <c r="B25" s="181"/>
      <c r="C25" s="182" t="s">
        <v>39</v>
      </c>
      <c r="D25" s="179">
        <v>60</v>
      </c>
      <c r="E25" s="179"/>
      <c r="F25" s="179">
        <f t="shared" si="1"/>
        <v>720</v>
      </c>
      <c r="G25" s="179"/>
    </row>
    <row r="26" spans="2:7">
      <c r="B26" s="181"/>
      <c r="C26" s="182" t="s">
        <v>40</v>
      </c>
      <c r="D26" s="179">
        <v>6.59</v>
      </c>
      <c r="E26" s="179"/>
      <c r="F26" s="179">
        <f t="shared" si="1"/>
        <v>79.08</v>
      </c>
      <c r="G26" s="179"/>
    </row>
    <row r="27" spans="2:7">
      <c r="B27" s="181"/>
      <c r="C27" s="182" t="s">
        <v>41</v>
      </c>
      <c r="D27" s="179">
        <v>207.73</v>
      </c>
      <c r="E27" s="179"/>
      <c r="F27" s="179">
        <f t="shared" si="1"/>
        <v>2492.7599999999998</v>
      </c>
      <c r="G27" s="179"/>
    </row>
    <row r="28" spans="2:7">
      <c r="B28" s="181"/>
      <c r="C28" s="182" t="s">
        <v>42</v>
      </c>
      <c r="D28" s="179">
        <v>623.36</v>
      </c>
      <c r="E28" s="179"/>
      <c r="F28" s="179">
        <f t="shared" si="1"/>
        <v>7480.32</v>
      </c>
      <c r="G28" s="179"/>
    </row>
    <row r="29" spans="2:7">
      <c r="B29" s="181"/>
      <c r="C29" s="182" t="s">
        <v>43</v>
      </c>
      <c r="D29" s="179">
        <v>9.84</v>
      </c>
      <c r="E29" s="179"/>
      <c r="F29" s="179">
        <f t="shared" si="1"/>
        <v>118.08</v>
      </c>
      <c r="G29" s="179"/>
    </row>
    <row r="30" spans="2:7">
      <c r="B30" s="181"/>
      <c r="C30" s="182" t="s">
        <v>44</v>
      </c>
      <c r="D30" s="179">
        <v>0.98</v>
      </c>
      <c r="E30" s="179"/>
      <c r="F30" s="179">
        <f t="shared" si="1"/>
        <v>11.76</v>
      </c>
      <c r="G30" s="179"/>
    </row>
    <row r="31" spans="2:7">
      <c r="B31" s="181"/>
      <c r="C31" s="182" t="s">
        <v>45</v>
      </c>
      <c r="D31" s="179">
        <v>75.59</v>
      </c>
      <c r="E31" s="179"/>
      <c r="F31" s="179">
        <f t="shared" si="1"/>
        <v>907.08</v>
      </c>
      <c r="G31" s="179"/>
    </row>
    <row r="32" spans="2:7">
      <c r="B32" s="183" t="s">
        <v>47</v>
      </c>
      <c r="C32" s="181" t="s">
        <v>48</v>
      </c>
      <c r="D32" s="180"/>
      <c r="E32" s="180">
        <f>SUM(D33:D41)</f>
        <v>382.69000000000005</v>
      </c>
      <c r="F32" s="179"/>
      <c r="G32" s="180">
        <f>(E32*12)</f>
        <v>4592.2800000000007</v>
      </c>
    </row>
    <row r="33" spans="2:7">
      <c r="B33" s="181"/>
      <c r="C33" s="182" t="s">
        <v>49</v>
      </c>
      <c r="D33" s="179">
        <v>10.53</v>
      </c>
      <c r="E33" s="179"/>
      <c r="F33" s="179">
        <f>(D33*12)</f>
        <v>126.35999999999999</v>
      </c>
      <c r="G33" s="179"/>
    </row>
    <row r="34" spans="2:7">
      <c r="B34" s="181"/>
      <c r="C34" s="182" t="s">
        <v>50</v>
      </c>
      <c r="D34" s="179">
        <v>29.25</v>
      </c>
      <c r="E34" s="179"/>
      <c r="F34" s="179">
        <f t="shared" ref="F34:F41" si="2">(D34*12)</f>
        <v>351</v>
      </c>
      <c r="G34" s="179"/>
    </row>
    <row r="35" spans="2:7">
      <c r="B35" s="181"/>
      <c r="C35" s="182" t="s">
        <v>51</v>
      </c>
      <c r="D35" s="179">
        <v>24.89</v>
      </c>
      <c r="E35" s="179"/>
      <c r="F35" s="179">
        <f t="shared" si="2"/>
        <v>298.68</v>
      </c>
      <c r="G35" s="179"/>
    </row>
    <row r="36" spans="2:7">
      <c r="B36" s="181"/>
      <c r="C36" s="182" t="s">
        <v>52</v>
      </c>
      <c r="D36" s="179">
        <v>110</v>
      </c>
      <c r="E36" s="179"/>
      <c r="F36" s="179">
        <f t="shared" si="2"/>
        <v>1320</v>
      </c>
      <c r="G36" s="179"/>
    </row>
    <row r="37" spans="2:7">
      <c r="B37" s="181"/>
      <c r="C37" s="182" t="s">
        <v>53</v>
      </c>
      <c r="D37" s="179">
        <v>2.29</v>
      </c>
      <c r="E37" s="179"/>
      <c r="F37" s="179">
        <f t="shared" si="2"/>
        <v>27.48</v>
      </c>
      <c r="G37" s="179"/>
    </row>
    <row r="38" spans="2:7">
      <c r="B38" s="181"/>
      <c r="C38" s="182" t="s">
        <v>54</v>
      </c>
      <c r="D38" s="179">
        <v>27.33</v>
      </c>
      <c r="E38" s="179"/>
      <c r="F38" s="179">
        <f t="shared" si="2"/>
        <v>327.96</v>
      </c>
      <c r="G38" s="179"/>
    </row>
    <row r="39" spans="2:7">
      <c r="B39" s="181"/>
      <c r="C39" s="182" t="s">
        <v>55</v>
      </c>
      <c r="D39" s="179">
        <v>162.75</v>
      </c>
      <c r="E39" s="179"/>
      <c r="F39" s="179">
        <f t="shared" si="2"/>
        <v>1953</v>
      </c>
      <c r="G39" s="179"/>
    </row>
    <row r="40" spans="2:7">
      <c r="B40" s="181"/>
      <c r="C40" s="182" t="s">
        <v>56</v>
      </c>
      <c r="D40" s="179">
        <v>4.17</v>
      </c>
      <c r="E40" s="179"/>
      <c r="F40" s="179">
        <f t="shared" si="2"/>
        <v>50.04</v>
      </c>
      <c r="G40" s="179"/>
    </row>
    <row r="41" spans="2:7">
      <c r="B41" s="181"/>
      <c r="C41" s="182" t="s">
        <v>57</v>
      </c>
      <c r="D41" s="179">
        <v>11.48</v>
      </c>
      <c r="E41" s="179"/>
      <c r="F41" s="179">
        <f t="shared" si="2"/>
        <v>137.76</v>
      </c>
      <c r="G41" s="179"/>
    </row>
    <row r="42" spans="2:7">
      <c r="B42" s="183" t="s">
        <v>58</v>
      </c>
      <c r="C42" s="181" t="s">
        <v>59</v>
      </c>
      <c r="D42" s="180"/>
      <c r="E42" s="180">
        <f>SUM(D43:D44)</f>
        <v>308.54000000000002</v>
      </c>
      <c r="F42" s="179"/>
      <c r="G42" s="180">
        <f>(E42*12)</f>
        <v>3702.4800000000005</v>
      </c>
    </row>
    <row r="43" spans="2:7">
      <c r="B43" s="181"/>
      <c r="C43" s="182" t="s">
        <v>60</v>
      </c>
      <c r="D43" s="179">
        <v>188.43</v>
      </c>
      <c r="E43" s="179"/>
      <c r="F43" s="179">
        <f>(D43*12)</f>
        <v>2261.16</v>
      </c>
      <c r="G43" s="179"/>
    </row>
    <row r="44" spans="2:7">
      <c r="B44" s="181"/>
      <c r="C44" s="182" t="s">
        <v>61</v>
      </c>
      <c r="D44" s="179">
        <v>120.11</v>
      </c>
      <c r="E44" s="179"/>
      <c r="F44" s="179">
        <f>(D44*12)</f>
        <v>1441.32</v>
      </c>
      <c r="G44" s="179"/>
    </row>
    <row r="45" spans="2:7">
      <c r="B45" s="184" t="s">
        <v>62</v>
      </c>
      <c r="C45" s="185"/>
      <c r="D45" s="186"/>
      <c r="E45" s="187">
        <f>SUM(E4:E44)</f>
        <v>15264.78</v>
      </c>
      <c r="F45" s="179"/>
      <c r="G45" s="187">
        <f>(E45*6)</f>
        <v>91588.680000000008</v>
      </c>
    </row>
  </sheetData>
  <mergeCells count="1">
    <mergeCell ref="B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C9:R22"/>
  <sheetViews>
    <sheetView topLeftCell="A4" workbookViewId="0">
      <selection activeCell="C11" sqref="C11:I22"/>
    </sheetView>
  </sheetViews>
  <sheetFormatPr baseColWidth="10" defaultRowHeight="15"/>
  <cols>
    <col min="3" max="3" width="36.28515625" customWidth="1"/>
    <col min="5" max="5" width="12.85546875" customWidth="1"/>
    <col min="6" max="9" width="13.140625" bestFit="1" customWidth="1"/>
  </cols>
  <sheetData>
    <row r="9" spans="3:18">
      <c r="C9" s="121"/>
    </row>
    <row r="10" spans="3:18">
      <c r="C10" s="35"/>
    </row>
    <row r="11" spans="3:18">
      <c r="C11" s="76"/>
      <c r="D11" s="76"/>
      <c r="E11" s="200" t="s">
        <v>246</v>
      </c>
      <c r="F11" s="218"/>
      <c r="G11" s="201"/>
      <c r="H11" s="69"/>
      <c r="I11" s="154"/>
      <c r="J11" s="129"/>
      <c r="K11" s="129"/>
      <c r="L11" s="129"/>
      <c r="M11" s="129"/>
      <c r="N11" s="129"/>
      <c r="O11" s="129"/>
      <c r="P11" s="129"/>
    </row>
    <row r="12" spans="3:18">
      <c r="C12" s="76"/>
      <c r="D12" s="76"/>
      <c r="E12" s="167">
        <v>1</v>
      </c>
      <c r="F12" s="167">
        <v>2</v>
      </c>
      <c r="G12" s="167">
        <v>3</v>
      </c>
      <c r="H12" s="171">
        <v>4</v>
      </c>
      <c r="I12" s="167">
        <v>5</v>
      </c>
      <c r="J12" s="57"/>
      <c r="K12" s="57"/>
      <c r="L12" s="57"/>
      <c r="M12" s="57"/>
      <c r="N12" s="57"/>
      <c r="O12" s="57"/>
      <c r="P12" s="57"/>
      <c r="Q12" s="35"/>
      <c r="R12" s="35"/>
    </row>
    <row r="13" spans="3:18">
      <c r="C13" s="3" t="s">
        <v>211</v>
      </c>
      <c r="D13" s="3"/>
      <c r="E13" s="3">
        <f>'FLUJO DE CAJA CON SUBSIDIO'!F41</f>
        <v>634074</v>
      </c>
      <c r="F13" s="3">
        <f>'FLUJO DE CAJA CON SUBSIDIO'!G41</f>
        <v>1228545.48</v>
      </c>
      <c r="G13" s="3">
        <f>'FLUJO DE CAJA CON SUBSIDIO'!H41</f>
        <v>1834906.3895999999</v>
      </c>
      <c r="H13" s="78">
        <f>'FLUJO DE CAJA CON SUBSIDIO'!I41</f>
        <v>2453394.5173920002</v>
      </c>
      <c r="I13" s="3">
        <f>'FLUJO DE CAJA CON SUBSIDIO'!J41</f>
        <v>3084252.40773984</v>
      </c>
      <c r="J13" s="35"/>
      <c r="K13" s="35"/>
      <c r="L13" s="35"/>
      <c r="M13" s="35"/>
      <c r="N13" s="35"/>
      <c r="O13" s="35"/>
      <c r="P13" s="35"/>
      <c r="Q13" s="35"/>
      <c r="R13" s="35"/>
    </row>
    <row r="14" spans="3:18">
      <c r="C14" s="3" t="s">
        <v>229</v>
      </c>
      <c r="D14" s="3"/>
      <c r="E14" s="3">
        <f>'FLUJO DE CAJA CON SUBSIDIO'!H13</f>
        <v>271687.5</v>
      </c>
      <c r="F14" s="3">
        <f>'FLUJO DE CAJA CON SUBSIDIO'!I13</f>
        <v>284625</v>
      </c>
      <c r="G14" s="3">
        <f>'FLUJO DE CAJA CON SUBSIDIO'!J13</f>
        <v>297562.5</v>
      </c>
      <c r="H14" s="78">
        <f>'FLUJO DE CAJA CON SUBSIDIO'!K13</f>
        <v>310500</v>
      </c>
      <c r="I14" s="3">
        <f>'FLUJO DE CAJA CON SUBSIDIO'!L13</f>
        <v>323437.5</v>
      </c>
      <c r="J14" s="35"/>
      <c r="K14" s="35"/>
      <c r="L14" s="35"/>
      <c r="M14" s="35"/>
      <c r="N14" s="35"/>
      <c r="O14" s="35"/>
      <c r="P14" s="35"/>
      <c r="Q14" s="35"/>
      <c r="R14" s="35"/>
    </row>
    <row r="15" spans="3:18">
      <c r="C15" s="20" t="s">
        <v>230</v>
      </c>
      <c r="D15" s="20"/>
      <c r="E15" s="20">
        <f>E13-E14</f>
        <v>362386.5</v>
      </c>
      <c r="F15" s="20">
        <f t="shared" ref="F15:I15" si="0">F13-F14</f>
        <v>943920.48</v>
      </c>
      <c r="G15" s="20">
        <f t="shared" si="0"/>
        <v>1537343.8895999999</v>
      </c>
      <c r="H15" s="130">
        <f t="shared" si="0"/>
        <v>2142894.5173920002</v>
      </c>
      <c r="I15" s="20">
        <f t="shared" si="0"/>
        <v>2760814.90773984</v>
      </c>
      <c r="J15" s="57"/>
      <c r="K15" s="57"/>
      <c r="L15" s="57"/>
      <c r="M15" s="57"/>
      <c r="N15" s="57"/>
      <c r="O15" s="57"/>
      <c r="P15" s="57"/>
      <c r="Q15" s="35"/>
      <c r="R15" s="35"/>
    </row>
    <row r="16" spans="3:18">
      <c r="C16" s="3" t="s">
        <v>231</v>
      </c>
      <c r="D16" s="3"/>
      <c r="E16" s="3">
        <f>'FLUJO DE CAJA CON SUBSIDIO'!H15</f>
        <v>161567.04000000001</v>
      </c>
      <c r="F16" s="3">
        <f>'FLUJO DE CAJA CON SUBSIDIO'!I15</f>
        <v>161567.04000000001</v>
      </c>
      <c r="G16" s="3">
        <f>'FLUJO DE CAJA CON SUBSIDIO'!J15</f>
        <v>161567.04000000001</v>
      </c>
      <c r="H16" s="78">
        <f>'FLUJO DE CAJA CON SUBSIDIO'!K15</f>
        <v>161567.04000000001</v>
      </c>
      <c r="I16" s="3">
        <f>'FLUJO DE CAJA CON SUBSIDIO'!L15</f>
        <v>161567.04000000001</v>
      </c>
      <c r="J16" s="35"/>
      <c r="K16" s="35"/>
      <c r="L16" s="35"/>
      <c r="M16" s="35"/>
      <c r="N16" s="35"/>
      <c r="O16" s="35"/>
      <c r="P16" s="35"/>
      <c r="Q16" s="35"/>
      <c r="R16" s="35"/>
    </row>
    <row r="17" spans="3:18">
      <c r="C17" s="3" t="s">
        <v>194</v>
      </c>
      <c r="D17" s="3"/>
      <c r="E17" s="3">
        <f>'FLUJO DE CAJA CON SUBSIDIO'!H17</f>
        <v>64092.366666666669</v>
      </c>
      <c r="F17" s="3">
        <f>'FLUJO DE CAJA CON SUBSIDIO'!I17</f>
        <v>64092.366666666669</v>
      </c>
      <c r="G17" s="3">
        <f>'FLUJO DE CAJA CON SUBSIDIO'!J17</f>
        <v>64092.366666666669</v>
      </c>
      <c r="H17" s="78">
        <f>'FLUJO DE CAJA CON SUBSIDIO'!K17</f>
        <v>64092.366666666669</v>
      </c>
      <c r="I17" s="3">
        <f>'FLUJO DE CAJA CON SUBSIDIO'!L17</f>
        <v>64092.366666666669</v>
      </c>
      <c r="J17" s="35"/>
      <c r="K17" s="35"/>
      <c r="L17" s="35"/>
      <c r="M17" s="35"/>
      <c r="N17" s="35"/>
      <c r="O17" s="35"/>
      <c r="P17" s="35"/>
      <c r="Q17" s="35"/>
      <c r="R17" s="35"/>
    </row>
    <row r="18" spans="3:18">
      <c r="C18" s="20" t="s">
        <v>232</v>
      </c>
      <c r="D18" s="20"/>
      <c r="E18" s="122">
        <f>E15-E16-E17</f>
        <v>136727.09333333332</v>
      </c>
      <c r="F18" s="122">
        <f t="shared" ref="F18:I18" si="1">F15-F16-F17</f>
        <v>718261.07333333325</v>
      </c>
      <c r="G18" s="122">
        <f t="shared" si="1"/>
        <v>1311684.4829333331</v>
      </c>
      <c r="H18" s="150">
        <f t="shared" si="1"/>
        <v>1917235.1107253334</v>
      </c>
      <c r="I18" s="122">
        <f t="shared" si="1"/>
        <v>2535155.5010731732</v>
      </c>
      <c r="J18" s="152"/>
      <c r="K18" s="152"/>
      <c r="L18" s="152"/>
      <c r="M18" s="152"/>
      <c r="N18" s="152"/>
      <c r="O18" s="152"/>
      <c r="P18" s="152"/>
      <c r="Q18" s="35"/>
      <c r="R18" s="35"/>
    </row>
    <row r="19" spans="3:18">
      <c r="C19" s="3" t="s">
        <v>233</v>
      </c>
      <c r="D19" s="119">
        <v>0.25</v>
      </c>
      <c r="E19" s="123">
        <f>E18*D19</f>
        <v>34181.773333333331</v>
      </c>
      <c r="F19" s="123">
        <f>F18*D19</f>
        <v>179565.26833333331</v>
      </c>
      <c r="G19" s="123">
        <f>G18*D19</f>
        <v>327921.12073333329</v>
      </c>
      <c r="H19" s="151">
        <f>H18*D19</f>
        <v>479308.77768133336</v>
      </c>
      <c r="I19" s="123">
        <f>I18*D19</f>
        <v>633788.87526829331</v>
      </c>
      <c r="J19" s="153"/>
      <c r="K19" s="153"/>
      <c r="L19" s="153"/>
      <c r="M19" s="153"/>
      <c r="N19" s="153"/>
      <c r="O19" s="153"/>
      <c r="P19" s="153"/>
      <c r="Q19" s="35"/>
      <c r="R19" s="35"/>
    </row>
    <row r="20" spans="3:18">
      <c r="C20" s="3" t="s">
        <v>234</v>
      </c>
      <c r="D20" s="119">
        <v>0.15</v>
      </c>
      <c r="E20" s="3">
        <f>E18*D20</f>
        <v>20509.063999999998</v>
      </c>
      <c r="F20" s="3">
        <f>F18*D20</f>
        <v>107739.16099999998</v>
      </c>
      <c r="G20" s="3">
        <f>G18*D20</f>
        <v>196752.67243999997</v>
      </c>
      <c r="H20" s="78">
        <f>H18*D20</f>
        <v>287585.26660879998</v>
      </c>
      <c r="I20" s="3">
        <f>I18*D20</f>
        <v>380273.32516097598</v>
      </c>
      <c r="J20" s="35"/>
      <c r="K20" s="35"/>
      <c r="L20" s="35"/>
      <c r="M20" s="35"/>
      <c r="N20" s="35"/>
      <c r="O20" s="35"/>
      <c r="P20" s="35"/>
      <c r="Q20" s="35"/>
      <c r="R20" s="35"/>
    </row>
    <row r="21" spans="3:18">
      <c r="C21" s="20" t="s">
        <v>228</v>
      </c>
      <c r="D21" s="20"/>
      <c r="E21" s="122">
        <f>E18-E19-E20</f>
        <v>82036.255999999994</v>
      </c>
      <c r="F21" s="122">
        <f t="shared" ref="F21:H21" si="2">F18-F19-F20</f>
        <v>430956.64399999997</v>
      </c>
      <c r="G21" s="122">
        <f t="shared" si="2"/>
        <v>787010.68975999986</v>
      </c>
      <c r="H21" s="150">
        <f t="shared" si="2"/>
        <v>1150341.0664351999</v>
      </c>
      <c r="I21" s="122">
        <f t="shared" ref="I21" si="3">I18-I19-I20</f>
        <v>1521093.3006439039</v>
      </c>
      <c r="J21" s="152"/>
      <c r="K21" s="152"/>
      <c r="L21" s="152"/>
      <c r="M21" s="152"/>
      <c r="N21" s="152"/>
      <c r="O21" s="152"/>
      <c r="P21" s="152"/>
      <c r="Q21" s="35"/>
      <c r="R21" s="35"/>
    </row>
    <row r="22" spans="3:18">
      <c r="E22" t="s">
        <v>254</v>
      </c>
      <c r="J22" s="35"/>
      <c r="K22" s="35"/>
      <c r="L22" s="35"/>
      <c r="M22" s="35"/>
      <c r="N22" s="35"/>
      <c r="O22" s="35"/>
      <c r="P22" s="35"/>
      <c r="Q22" s="35"/>
      <c r="R22" s="35"/>
    </row>
  </sheetData>
  <mergeCells count="1">
    <mergeCell ref="E11:G1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DESCRIPCION</vt:lpstr>
      <vt:lpstr>PERSONAS REQUERIDAS O EST ADMIN</vt:lpstr>
      <vt:lpstr>EQUIPOS, MUEBLES Y ENSERES</vt:lpstr>
      <vt:lpstr>DEPRECIACION</vt:lpstr>
      <vt:lpstr>FLUJO DE CAJA CON SUBSIDIO</vt:lpstr>
      <vt:lpstr>INGRESOS</vt:lpstr>
      <vt:lpstr>CAPITAL   DE TRABAJO</vt:lpstr>
      <vt:lpstr>GASTOS</vt:lpstr>
      <vt:lpstr>ESTADO DE RESULTADOS</vt:lpstr>
      <vt:lpstr>ANALISIS DE SENSIBILIDAD</vt:lpstr>
      <vt:lpstr>FLUJO DE CAJA SIN SUBSIDIO</vt:lpstr>
    </vt:vector>
  </TitlesOfParts>
  <Company>WINDOWS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2009-09-22T13:28:13Z</cp:lastPrinted>
  <dcterms:created xsi:type="dcterms:W3CDTF">2009-08-16T18:26:29Z</dcterms:created>
  <dcterms:modified xsi:type="dcterms:W3CDTF">2005-01-02T11:12:48Z</dcterms:modified>
</cp:coreProperties>
</file>