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50" windowHeight="5175" firstSheet="10" activeTab="10"/>
  </bookViews>
  <sheets>
    <sheet name="Hoja3" sheetId="1" r:id="rId1"/>
    <sheet name="Hoja5" sheetId="2" r:id="rId2"/>
    <sheet name="Hoja6" sheetId="3" r:id="rId3"/>
    <sheet name="Hoja7" sheetId="4" r:id="rId4"/>
    <sheet name="Hoja8" sheetId="5" r:id="rId5"/>
    <sheet name="Hoja11" sheetId="6" r:id="rId6"/>
    <sheet name="INV. FIJA" sheetId="7" r:id="rId7"/>
    <sheet name="INV. DIFERIDA" sheetId="8" r:id="rId8"/>
    <sheet name="CAP. TRABAJO" sheetId="9" r:id="rId9"/>
    <sheet name="FINANCIAMIENTO" sheetId="10" r:id="rId10"/>
    <sheet name="TABLA AMORT." sheetId="11" r:id="rId11"/>
    <sheet name="DEP Y AMORT." sheetId="12" r:id="rId12"/>
    <sheet name="COSTOS&amp;GASTOS" sheetId="13" r:id="rId13"/>
    <sheet name="INGRESOS" sheetId="14" r:id="rId14"/>
    <sheet name="EP&amp;GPROYECTADO" sheetId="15" r:id="rId15"/>
    <sheet name="FC1" sheetId="16" r:id="rId16"/>
    <sheet name="Analisis" sheetId="17" r:id="rId17"/>
    <sheet name="FC1_CB" sheetId="18" r:id="rId18"/>
    <sheet name="FC2" sheetId="19" r:id="rId19"/>
  </sheets>
  <definedNames>
    <definedName name="ZA0" localSheetId="17">"Crystal Ball Data : Ver. 4.0.3"</definedName>
    <definedName name="ZA0A" localSheetId="17">5+104</definedName>
    <definedName name="ZA0C" localSheetId="17">0+0</definedName>
    <definedName name="ZA0D" localSheetId="17">0+0</definedName>
    <definedName name="ZA0F" localSheetId="17">1+101</definedName>
    <definedName name="ZA0T" localSheetId="17">10576528+0</definedName>
    <definedName name="ZA100" localSheetId="17">'FC1_CB'!$C$1+"AC1"+16929+398502+39850.2+0+500000</definedName>
    <definedName name="ZA101" localSheetId="17">'FC1_CB'!$C$2+"AC2"+16929+21600+2160+0+"+"</definedName>
    <definedName name="ZA102" localSheetId="17">'FC1_CB'!$C$3+"AC3"+16929+10800+1080+0+"+"</definedName>
    <definedName name="ZA103" localSheetId="17">'FC1_CB'!#REF!+"AC4"+16929+19846.5+1984.65+0+"+"</definedName>
    <definedName name="ZA104" localSheetId="17">'FC1_CB'!$C$4+"AC5"+16929+12600+1260+0+"+"</definedName>
    <definedName name="ZF101" localSheetId="17">'FC1_CB'!$B$34+"VAN"+"$"+545+545+441+0+0+0+0+4+3+"-"+"+"+2.6+50+2</definedName>
  </definedNames>
  <calcPr fullCalcOnLoad="1"/>
</workbook>
</file>

<file path=xl/sharedStrings.xml><?xml version="1.0" encoding="utf-8"?>
<sst xmlns="http://schemas.openxmlformats.org/spreadsheetml/2006/main" count="327" uniqueCount="220">
  <si>
    <t>Manufacturero</t>
  </si>
  <si>
    <t>Agrícola</t>
  </si>
  <si>
    <t>Minero</t>
  </si>
  <si>
    <t>Pecuario</t>
  </si>
  <si>
    <t>COMPETIDORES</t>
  </si>
  <si>
    <t>ACTUALES</t>
  </si>
  <si>
    <t>COMPRADORES</t>
  </si>
  <si>
    <t>PROVEEDORES</t>
  </si>
  <si>
    <t>SUSTITUTOS</t>
  </si>
  <si>
    <r>
      <t>F2</t>
    </r>
    <r>
      <rPr>
        <sz val="10"/>
        <color indexed="12"/>
        <rFont val="Times New Roman"/>
        <family val="1"/>
      </rPr>
      <t>. POTENCIALES</t>
    </r>
  </si>
  <si>
    <r>
      <t>F4</t>
    </r>
    <r>
      <rPr>
        <sz val="10"/>
        <color indexed="12"/>
        <rFont val="Times New Roman"/>
        <family val="1"/>
      </rPr>
      <t>. Poder de los</t>
    </r>
  </si>
  <si>
    <r>
      <t>F1</t>
    </r>
    <r>
      <rPr>
        <sz val="10"/>
        <color indexed="12"/>
        <rFont val="Times New Roman"/>
        <family val="1"/>
      </rPr>
      <t>. COMPETIDORES</t>
    </r>
  </si>
  <si>
    <r>
      <t>F5</t>
    </r>
    <r>
      <rPr>
        <sz val="10"/>
        <color indexed="12"/>
        <rFont val="Times New Roman"/>
        <family val="1"/>
      </rPr>
      <t>. Poder de los</t>
    </r>
  </si>
  <si>
    <r>
      <t>F3.</t>
    </r>
    <r>
      <rPr>
        <sz val="10"/>
        <color indexed="12"/>
        <rFont val="Times New Roman"/>
        <family val="1"/>
      </rPr>
      <t xml:space="preserve"> PRODUCTOS</t>
    </r>
  </si>
  <si>
    <t>1 - 30 has.</t>
  </si>
  <si>
    <t>31 - 50 has.</t>
  </si>
  <si>
    <t>51 - 100 has.</t>
  </si>
  <si>
    <t>mayor a 100 has.</t>
  </si>
  <si>
    <t>Ranking</t>
  </si>
  <si>
    <t>-</t>
  </si>
  <si>
    <t>EXPORTADORA BANANERA NOBOA S.A EBN</t>
  </si>
  <si>
    <t>UINIÓN DE BANANEROS ECUATORIANOS S.A. UBESA</t>
  </si>
  <si>
    <t>KIMTECH S.A</t>
  </si>
  <si>
    <t>REYBANPAC REY BANANO DEL PACÍFICO C.A REYBANPAC</t>
  </si>
  <si>
    <t>JFC ECUADOR</t>
  </si>
  <si>
    <t>CIPAL CORP. INTERNACIONAL PALACIOS S.A.</t>
  </si>
  <si>
    <t>BANAFRESH S.A.</t>
  </si>
  <si>
    <t>PRETTY LIZA FRUIT S.A.</t>
  </si>
  <si>
    <t>SWT TRADER S.A.</t>
  </si>
  <si>
    <t>ISBELNI S.A.</t>
  </si>
  <si>
    <t>Nombre</t>
  </si>
  <si>
    <t>%</t>
  </si>
  <si>
    <t>TOTAL 10 PRIMERAS</t>
  </si>
  <si>
    <t>TOTAL GENERAL</t>
  </si>
  <si>
    <t>2006*</t>
  </si>
  <si>
    <t>C L A S E</t>
  </si>
  <si>
    <t xml:space="preserve">TOTAL DE </t>
  </si>
  <si>
    <t>CAPACIDAD  EN  TONELADAS</t>
  </si>
  <si>
    <t>TONELADAS</t>
  </si>
  <si>
    <t>VEHÍCULOS</t>
  </si>
  <si>
    <t>1/4 A 3</t>
  </si>
  <si>
    <t>31/4 A 6</t>
  </si>
  <si>
    <t>61/2 A 10</t>
  </si>
  <si>
    <t>101/2 A 15</t>
  </si>
  <si>
    <t xml:space="preserve">151/2 Y MÁS </t>
  </si>
  <si>
    <t>TOTAL PAÍS</t>
  </si>
  <si>
    <t>CAMIONETA</t>
  </si>
  <si>
    <t>FURGONETA (CARGA)</t>
  </si>
  <si>
    <t>CAMIÓN</t>
  </si>
  <si>
    <t>TANQUERO</t>
  </si>
  <si>
    <t>VOLQUETE</t>
  </si>
  <si>
    <t>TRÁILER</t>
  </si>
  <si>
    <t>OTRA CLASE</t>
  </si>
  <si>
    <t>TIPO DE</t>
  </si>
  <si>
    <t>CAJA</t>
  </si>
  <si>
    <t>PESO</t>
  </si>
  <si>
    <t>LIBRAS</t>
  </si>
  <si>
    <t>SUSTENTACIÓN</t>
  </si>
  <si>
    <t>Ref Exportación</t>
  </si>
  <si>
    <t>PRECIO MÍNIMO CAJA</t>
  </si>
  <si>
    <t>22 XU</t>
  </si>
  <si>
    <t>208 CH</t>
  </si>
  <si>
    <t>22 XUCS</t>
  </si>
  <si>
    <t>115KDP</t>
  </si>
  <si>
    <t>BB BM</t>
  </si>
  <si>
    <t>Cantidad</t>
  </si>
  <si>
    <t>Equipo</t>
  </si>
  <si>
    <t>Precio unitario</t>
  </si>
  <si>
    <t>en dólares</t>
  </si>
  <si>
    <t>Costo total</t>
  </si>
  <si>
    <t>Camiones "Mijachos"</t>
  </si>
  <si>
    <t>Camiones "Machoromo"</t>
  </si>
  <si>
    <t>Camiones "Mack"</t>
  </si>
  <si>
    <t>Total</t>
  </si>
  <si>
    <t>Concepto</t>
  </si>
  <si>
    <t>Computadoras e impresora</t>
  </si>
  <si>
    <t>Escritorio secretarial</t>
  </si>
  <si>
    <t>Silla secretarial</t>
  </si>
  <si>
    <t>Fax-copiadora-scanner</t>
  </si>
  <si>
    <t>Walkie-talkie</t>
  </si>
  <si>
    <t>Archivadores</t>
  </si>
  <si>
    <t>Costo en dólares</t>
  </si>
  <si>
    <t>Revistimento de oficinas</t>
  </si>
  <si>
    <t>Ampliación de oficinas</t>
  </si>
  <si>
    <t>Cálculo</t>
  </si>
  <si>
    <t>Inducción personal nuevo</t>
  </si>
  <si>
    <t>Estudio del proyecto</t>
  </si>
  <si>
    <t>Equipo de transporte</t>
  </si>
  <si>
    <t>Equipo de oficinas y administración</t>
  </si>
  <si>
    <t>Obra civil</t>
  </si>
  <si>
    <t>Activo diferido</t>
  </si>
  <si>
    <t>Subtotal</t>
  </si>
  <si>
    <t>Capital</t>
  </si>
  <si>
    <t>Plazo años</t>
  </si>
  <si>
    <t>Interés</t>
  </si>
  <si>
    <t>Pagos</t>
  </si>
  <si>
    <t>Trimestrales</t>
  </si>
  <si>
    <t>PERIODO</t>
  </si>
  <si>
    <t>PAGO</t>
  </si>
  <si>
    <t>INTERESES</t>
  </si>
  <si>
    <t>ABONO</t>
  </si>
  <si>
    <t>SALDO</t>
  </si>
  <si>
    <t>Valor</t>
  </si>
  <si>
    <t>VS</t>
  </si>
  <si>
    <t>Equipo de oficina</t>
  </si>
  <si>
    <t>Computadoras</t>
  </si>
  <si>
    <t>Obra Civil</t>
  </si>
  <si>
    <t>Activos diferidos</t>
  </si>
  <si>
    <t>Total:</t>
  </si>
  <si>
    <t>Aporte propio</t>
  </si>
  <si>
    <t>Crédito a largo plazo</t>
  </si>
  <si>
    <t xml:space="preserve">% </t>
  </si>
  <si>
    <t>financiamiento</t>
  </si>
  <si>
    <t>Monto aportado</t>
  </si>
  <si>
    <t>Ingreso mensual</t>
  </si>
  <si>
    <t xml:space="preserve">Cajas adicionales de banano </t>
  </si>
  <si>
    <t>Ventas ($)</t>
  </si>
  <si>
    <t>Ventas adicionales de cajas</t>
  </si>
  <si>
    <t>Ingreso mensual ($)</t>
  </si>
  <si>
    <t>Mano de obra directa</t>
  </si>
  <si>
    <t>Gastos de peaje</t>
  </si>
  <si>
    <t>Gastos de combustible</t>
  </si>
  <si>
    <t>Gastos de mantenimiento</t>
  </si>
  <si>
    <t>Gastos de seguro</t>
  </si>
  <si>
    <t>Gastos Administrativos</t>
  </si>
  <si>
    <t>Egreso mensual</t>
  </si>
  <si>
    <t>Egreso mensual ($)</t>
  </si>
  <si>
    <t>Saldo mensual</t>
  </si>
  <si>
    <t>Saldo acumulado</t>
  </si>
  <si>
    <t>Sin proyecto:</t>
  </si>
  <si>
    <t>3 camiones</t>
  </si>
  <si>
    <t>650 cajas</t>
  </si>
  <si>
    <t>cajas diarias</t>
  </si>
  <si>
    <t>cajas semanales</t>
  </si>
  <si>
    <t>cajas anuales</t>
  </si>
  <si>
    <t>precio x caja de banano</t>
  </si>
  <si>
    <t>Ingreso sin proyecto</t>
  </si>
  <si>
    <t>Con proyecto:</t>
  </si>
  <si>
    <t>1 camión</t>
  </si>
  <si>
    <t>1,200 cajas</t>
  </si>
  <si>
    <t>Ingreso con proyecto</t>
  </si>
  <si>
    <t>Ingreso diferencial</t>
  </si>
  <si>
    <t>Adicional, ventas de cajas vacias</t>
  </si>
  <si>
    <t>precio de cajas completas</t>
  </si>
  <si>
    <t>Ingreso adicional</t>
  </si>
  <si>
    <t>Total Ingresos anuales</t>
  </si>
  <si>
    <t>Naranjal</t>
  </si>
  <si>
    <t>Quevedo</t>
  </si>
  <si>
    <t>Milagro</t>
  </si>
  <si>
    <t>Diario</t>
  </si>
  <si>
    <t>Semanal</t>
  </si>
  <si>
    <t>Anual</t>
  </si>
  <si>
    <t>TOTAL</t>
  </si>
  <si>
    <t>Peaje</t>
  </si>
  <si>
    <t>Combustible</t>
  </si>
  <si>
    <t>Costo de repuestos</t>
  </si>
  <si>
    <t>Gasto de matrícula</t>
  </si>
  <si>
    <t>Mano de obra adicional</t>
  </si>
  <si>
    <t>Gasto en combustible</t>
  </si>
  <si>
    <t>Gasto en peaje</t>
  </si>
  <si>
    <t>Gasto adicional en seguro mercadería</t>
  </si>
  <si>
    <t>Gasto en seguro vehiculos</t>
  </si>
  <si>
    <t>Costo de repuestos y mantenimiento</t>
  </si>
  <si>
    <t>Utilidad antes de Impto a la renta</t>
  </si>
  <si>
    <t>25% Impuesto a la Renta</t>
  </si>
  <si>
    <t>Depreciación</t>
  </si>
  <si>
    <t>Amortización</t>
  </si>
  <si>
    <t>Gastos Financieros</t>
  </si>
  <si>
    <t>Inversión Fija</t>
  </si>
  <si>
    <t>Inversión Diferida</t>
  </si>
  <si>
    <t>Reinversiones</t>
  </si>
  <si>
    <t>Préstamo</t>
  </si>
  <si>
    <t>Pago de Capital</t>
  </si>
  <si>
    <t>FLUJO NETO DE CAJA</t>
  </si>
  <si>
    <t>TIR</t>
  </si>
  <si>
    <t>UTILIDAD BRUTA</t>
  </si>
  <si>
    <t>UTILIDAD NETA</t>
  </si>
  <si>
    <t>Ventas anuales</t>
  </si>
  <si>
    <t>Utilidad Operativa</t>
  </si>
  <si>
    <t>Utilidad antes de Imptos.</t>
  </si>
  <si>
    <t>15% participación trabajadores</t>
  </si>
  <si>
    <t>Utilidad antes Impto. a la Renta</t>
  </si>
  <si>
    <t>Utilidad disponible para accionistas</t>
  </si>
  <si>
    <t>40% repartición de Dividendos</t>
  </si>
  <si>
    <t>(-) Costos Directos</t>
  </si>
  <si>
    <t>(-) Gastos Administrativos</t>
  </si>
  <si>
    <t>(-) Gastos Financieros</t>
  </si>
  <si>
    <t>(-) Depreciación y amortización</t>
  </si>
  <si>
    <t>(-) 15% participación trabajadores</t>
  </si>
  <si>
    <t>(-) 25% Impto. a la Renta</t>
  </si>
  <si>
    <t>(-) 10% Reserva Legal</t>
  </si>
  <si>
    <t>Tarifas:</t>
  </si>
  <si>
    <t>Costo</t>
  </si>
  <si>
    <t>Unitario</t>
  </si>
  <si>
    <t>mensual</t>
  </si>
  <si>
    <t>anual</t>
  </si>
  <si>
    <t>Mano de obra directa*</t>
  </si>
  <si>
    <t>Seguro vehículos**</t>
  </si>
  <si>
    <t>Gastos Administrativos***</t>
  </si>
  <si>
    <t>Otros Gastos*</t>
  </si>
  <si>
    <t>Capital de Trabajo**</t>
  </si>
  <si>
    <t>Valor de desecho***</t>
  </si>
  <si>
    <t>Flujo Neto</t>
  </si>
  <si>
    <t>de efectivo</t>
  </si>
  <si>
    <t>Año 0</t>
  </si>
  <si>
    <t>Año 1</t>
  </si>
  <si>
    <t>Año 2</t>
  </si>
  <si>
    <t>Año 3</t>
  </si>
  <si>
    <t>Año 4</t>
  </si>
  <si>
    <t>Año 5</t>
  </si>
  <si>
    <t>Total en dólares</t>
  </si>
  <si>
    <t>VAN (27.72%)</t>
  </si>
  <si>
    <t>VAN</t>
  </si>
  <si>
    <t>precio x transporte de banano</t>
  </si>
  <si>
    <t>5 x 80</t>
  </si>
  <si>
    <t>1 x 1,500</t>
  </si>
  <si>
    <t>Precio por transporte</t>
  </si>
  <si>
    <t>VAN (14%)</t>
  </si>
  <si>
    <t>Capital de Trabajo</t>
  </si>
  <si>
    <t>Valor de desecho*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</si>
</sst>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.0"/>
    <numFmt numFmtId="205" formatCode="&quot;$&quot;#,##0.00"/>
    <numFmt numFmtId="206" formatCode="&quot;$&quot;#,##0"/>
    <numFmt numFmtId="207" formatCode="0.000000"/>
    <numFmt numFmtId="208" formatCode="0.00000"/>
    <numFmt numFmtId="209" formatCode="0.0000"/>
    <numFmt numFmtId="210" formatCode="0.000"/>
    <numFmt numFmtId="211" formatCode="_(* #,##0.0_);_(* \(#,##0.0\);_(* &quot;-&quot;??_);_(@_)"/>
    <numFmt numFmtId="212" formatCode="_(* #,##0_);_(* \(#,##0\);_(* &quot;-&quot;??_);_(@_)"/>
    <numFmt numFmtId="213" formatCode="[$$-409]#,##0"/>
    <numFmt numFmtId="214" formatCode="0.0%"/>
    <numFmt numFmtId="215" formatCode="#,##0.000000000"/>
    <numFmt numFmtId="216" formatCode="&quot;$&quot;#,##0.0"/>
    <numFmt numFmtId="217" formatCode="&quot;$&quot;\ #,##0"/>
    <numFmt numFmtId="218" formatCode="[$$-409]#,##0.00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.25"/>
      <color indexed="8"/>
      <name val="Arial"/>
      <family val="0"/>
    </font>
    <font>
      <b/>
      <sz val="11.5"/>
      <color indexed="8"/>
      <name val="Arial"/>
      <family val="0"/>
    </font>
    <font>
      <sz val="8.0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10" fontId="6" fillId="33" borderId="26" xfId="0" applyNumberFormat="1" applyFont="1" applyFill="1" applyBorder="1" applyAlignment="1">
      <alignment/>
    </xf>
    <xf numFmtId="10" fontId="7" fillId="33" borderId="26" xfId="0" applyNumberFormat="1" applyFont="1" applyFill="1" applyBorder="1" applyAlignment="1">
      <alignment/>
    </xf>
    <xf numFmtId="0" fontId="7" fillId="33" borderId="27" xfId="0" applyFont="1" applyFill="1" applyBorder="1" applyAlignment="1">
      <alignment/>
    </xf>
    <xf numFmtId="10" fontId="7" fillId="33" borderId="28" xfId="0" applyNumberFormat="1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1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1" fillId="35" borderId="21" xfId="0" applyFont="1" applyFill="1" applyBorder="1" applyAlignment="1">
      <alignment horizontal="center"/>
    </xf>
    <xf numFmtId="0" fontId="1" fillId="35" borderId="21" xfId="0" applyFont="1" applyFill="1" applyBorder="1" applyAlignment="1">
      <alignment/>
    </xf>
    <xf numFmtId="0" fontId="0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1" fillId="35" borderId="32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33" borderId="17" xfId="0" applyFont="1" applyFill="1" applyBorder="1" applyAlignment="1">
      <alignment/>
    </xf>
    <xf numFmtId="0" fontId="1" fillId="33" borderId="32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205" fontId="0" fillId="33" borderId="21" xfId="0" applyNumberForma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205" fontId="0" fillId="33" borderId="26" xfId="0" applyNumberForma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205" fontId="0" fillId="33" borderId="27" xfId="0" applyNumberFormat="1" applyFill="1" applyBorder="1" applyAlignment="1">
      <alignment horizontal="center"/>
    </xf>
    <xf numFmtId="205" fontId="0" fillId="33" borderId="28" xfId="0" applyNumberForma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20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05" fontId="0" fillId="0" borderId="0" xfId="0" applyNumberFormat="1" applyAlignment="1">
      <alignment/>
    </xf>
    <xf numFmtId="205" fontId="1" fillId="0" borderId="0" xfId="0" applyNumberFormat="1" applyFont="1" applyAlignment="1">
      <alignment/>
    </xf>
    <xf numFmtId="0" fontId="0" fillId="33" borderId="38" xfId="0" applyFill="1" applyBorder="1" applyAlignment="1">
      <alignment horizontal="center"/>
    </xf>
    <xf numFmtId="0" fontId="0" fillId="33" borderId="38" xfId="0" applyFill="1" applyBorder="1" applyAlignment="1">
      <alignment/>
    </xf>
    <xf numFmtId="0" fontId="0" fillId="33" borderId="32" xfId="0" applyFill="1" applyBorder="1" applyAlignment="1">
      <alignment/>
    </xf>
    <xf numFmtId="205" fontId="0" fillId="33" borderId="38" xfId="0" applyNumberFormat="1" applyFill="1" applyBorder="1" applyAlignment="1">
      <alignment horizontal="center"/>
    </xf>
    <xf numFmtId="205" fontId="0" fillId="33" borderId="39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205" fontId="1" fillId="33" borderId="12" xfId="0" applyNumberFormat="1" applyFont="1" applyFill="1" applyBorder="1" applyAlignment="1">
      <alignment horizontal="center"/>
    </xf>
    <xf numFmtId="0" fontId="0" fillId="33" borderId="39" xfId="0" applyFill="1" applyBorder="1" applyAlignment="1">
      <alignment/>
    </xf>
    <xf numFmtId="0" fontId="1" fillId="36" borderId="29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0" fillId="33" borderId="38" xfId="0" applyFill="1" applyBorder="1" applyAlignment="1">
      <alignment horizontal="left"/>
    </xf>
    <xf numFmtId="0" fontId="1" fillId="33" borderId="32" xfId="0" applyFont="1" applyFill="1" applyBorder="1" applyAlignment="1">
      <alignment/>
    </xf>
    <xf numFmtId="205" fontId="0" fillId="33" borderId="39" xfId="0" applyNumberFormat="1" applyFill="1" applyBorder="1" applyAlignment="1">
      <alignment/>
    </xf>
    <xf numFmtId="205" fontId="1" fillId="33" borderId="12" xfId="0" applyNumberFormat="1" applyFont="1" applyFill="1" applyBorder="1" applyAlignment="1">
      <alignment/>
    </xf>
    <xf numFmtId="206" fontId="0" fillId="0" borderId="0" xfId="0" applyNumberFormat="1" applyAlignment="1">
      <alignment/>
    </xf>
    <xf numFmtId="206" fontId="0" fillId="33" borderId="38" xfId="0" applyNumberFormat="1" applyFill="1" applyBorder="1" applyAlignment="1">
      <alignment/>
    </xf>
    <xf numFmtId="9" fontId="0" fillId="33" borderId="38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1" fillId="0" borderId="0" xfId="0" applyFont="1" applyAlignment="1">
      <alignment/>
    </xf>
    <xf numFmtId="205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4" fontId="0" fillId="33" borderId="21" xfId="0" applyNumberFormat="1" applyFill="1" applyBorder="1" applyAlignment="1">
      <alignment horizontal="center"/>
    </xf>
    <xf numFmtId="212" fontId="0" fillId="33" borderId="21" xfId="0" applyNumberFormat="1" applyFill="1" applyBorder="1" applyAlignment="1">
      <alignment horizontal="center"/>
    </xf>
    <xf numFmtId="4" fontId="0" fillId="33" borderId="21" xfId="0" applyNumberForma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4" fontId="0" fillId="33" borderId="26" xfId="0" applyNumberFormat="1" applyFill="1" applyBorder="1" applyAlignment="1">
      <alignment horizontal="center"/>
    </xf>
    <xf numFmtId="212" fontId="0" fillId="33" borderId="26" xfId="0" applyNumberFormat="1" applyFill="1" applyBorder="1" applyAlignment="1">
      <alignment horizontal="center"/>
    </xf>
    <xf numFmtId="0" fontId="0" fillId="33" borderId="26" xfId="0" applyFill="1" applyBorder="1" applyAlignment="1">
      <alignment/>
    </xf>
    <xf numFmtId="4" fontId="0" fillId="33" borderId="26" xfId="0" applyNumberFormat="1" applyFill="1" applyBorder="1" applyAlignment="1">
      <alignment/>
    </xf>
    <xf numFmtId="0" fontId="0" fillId="33" borderId="25" xfId="0" applyFill="1" applyBorder="1" applyAlignment="1">
      <alignment/>
    </xf>
    <xf numFmtId="0" fontId="0" fillId="36" borderId="40" xfId="0" applyFill="1" applyBorder="1" applyAlignment="1">
      <alignment/>
    </xf>
    <xf numFmtId="0" fontId="1" fillId="36" borderId="23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3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3" fontId="0" fillId="33" borderId="26" xfId="0" applyNumberFormat="1" applyFill="1" applyBorder="1" applyAlignment="1">
      <alignment/>
    </xf>
    <xf numFmtId="0" fontId="0" fillId="33" borderId="34" xfId="0" applyFill="1" applyBorder="1" applyAlignment="1">
      <alignment/>
    </xf>
    <xf numFmtId="0" fontId="0" fillId="36" borderId="22" xfId="0" applyFill="1" applyBorder="1" applyAlignment="1">
      <alignment/>
    </xf>
    <xf numFmtId="0" fontId="1" fillId="33" borderId="34" xfId="0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0" fontId="1" fillId="33" borderId="42" xfId="0" applyFont="1" applyFill="1" applyBorder="1" applyAlignment="1">
      <alignment/>
    </xf>
    <xf numFmtId="212" fontId="1" fillId="33" borderId="27" xfId="0" applyNumberFormat="1" applyFont="1" applyFill="1" applyBorder="1" applyAlignment="1">
      <alignment/>
    </xf>
    <xf numFmtId="212" fontId="1" fillId="33" borderId="28" xfId="0" applyNumberFormat="1" applyFont="1" applyFill="1" applyBorder="1" applyAlignment="1">
      <alignment/>
    </xf>
    <xf numFmtId="212" fontId="0" fillId="33" borderId="38" xfId="0" applyNumberFormat="1" applyFill="1" applyBorder="1" applyAlignment="1">
      <alignment/>
    </xf>
    <xf numFmtId="212" fontId="0" fillId="33" borderId="43" xfId="0" applyNumberFormat="1" applyFill="1" applyBorder="1" applyAlignment="1">
      <alignment/>
    </xf>
    <xf numFmtId="212" fontId="0" fillId="33" borderId="35" xfId="0" applyNumberFormat="1" applyFill="1" applyBorder="1" applyAlignment="1">
      <alignment/>
    </xf>
    <xf numFmtId="0" fontId="1" fillId="36" borderId="44" xfId="0" applyFont="1" applyFill="1" applyBorder="1" applyAlignment="1">
      <alignment horizontal="center"/>
    </xf>
    <xf numFmtId="212" fontId="0" fillId="33" borderId="45" xfId="0" applyNumberFormat="1" applyFill="1" applyBorder="1" applyAlignment="1">
      <alignment/>
    </xf>
    <xf numFmtId="0" fontId="0" fillId="33" borderId="17" xfId="0" applyFill="1" applyBorder="1" applyAlignment="1">
      <alignment/>
    </xf>
    <xf numFmtId="212" fontId="0" fillId="33" borderId="46" xfId="0" applyNumberFormat="1" applyFill="1" applyBorder="1" applyAlignment="1">
      <alignment/>
    </xf>
    <xf numFmtId="0" fontId="0" fillId="33" borderId="15" xfId="0" applyFill="1" applyBorder="1" applyAlignment="1">
      <alignment/>
    </xf>
    <xf numFmtId="212" fontId="0" fillId="33" borderId="47" xfId="0" applyNumberFormat="1" applyFill="1" applyBorder="1" applyAlignment="1">
      <alignment/>
    </xf>
    <xf numFmtId="212" fontId="10" fillId="33" borderId="43" xfId="0" applyNumberFormat="1" applyFont="1" applyFill="1" applyBorder="1" applyAlignment="1">
      <alignment/>
    </xf>
    <xf numFmtId="212" fontId="1" fillId="33" borderId="43" xfId="0" applyNumberFormat="1" applyFont="1" applyFill="1" applyBorder="1" applyAlignment="1">
      <alignment/>
    </xf>
    <xf numFmtId="212" fontId="1" fillId="33" borderId="46" xfId="0" applyNumberFormat="1" applyFont="1" applyFill="1" applyBorder="1" applyAlignment="1">
      <alignment/>
    </xf>
    <xf numFmtId="0" fontId="1" fillId="36" borderId="47" xfId="0" applyFont="1" applyFill="1" applyBorder="1" applyAlignment="1">
      <alignment horizontal="center"/>
    </xf>
    <xf numFmtId="205" fontId="0" fillId="33" borderId="45" xfId="0" applyNumberFormat="1" applyFill="1" applyBorder="1" applyAlignment="1">
      <alignment horizontal="center"/>
    </xf>
    <xf numFmtId="0" fontId="0" fillId="33" borderId="45" xfId="0" applyFill="1" applyBorder="1" applyAlignment="1">
      <alignment/>
    </xf>
    <xf numFmtId="205" fontId="1" fillId="33" borderId="46" xfId="0" applyNumberFormat="1" applyFont="1" applyFill="1" applyBorder="1" applyAlignment="1">
      <alignment/>
    </xf>
    <xf numFmtId="0" fontId="1" fillId="36" borderId="48" xfId="0" applyFont="1" applyFill="1" applyBorder="1" applyAlignment="1">
      <alignment horizontal="center"/>
    </xf>
    <xf numFmtId="0" fontId="1" fillId="33" borderId="49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49" xfId="0" applyFill="1" applyBorder="1" applyAlignment="1">
      <alignment/>
    </xf>
    <xf numFmtId="0" fontId="1" fillId="36" borderId="3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205" fontId="0" fillId="33" borderId="24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1" fillId="33" borderId="36" xfId="0" applyFont="1" applyFill="1" applyBorder="1" applyAlignment="1">
      <alignment horizontal="center"/>
    </xf>
    <xf numFmtId="0" fontId="0" fillId="33" borderId="50" xfId="0" applyFill="1" applyBorder="1" applyAlignment="1">
      <alignment/>
    </xf>
    <xf numFmtId="0" fontId="1" fillId="33" borderId="51" xfId="0" applyFont="1" applyFill="1" applyBorder="1" applyAlignment="1">
      <alignment horizontal="center"/>
    </xf>
    <xf numFmtId="175" fontId="1" fillId="33" borderId="43" xfId="0" applyNumberFormat="1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33" borderId="36" xfId="0" applyFill="1" applyBorder="1" applyAlignment="1">
      <alignment horizontal="center"/>
    </xf>
    <xf numFmtId="175" fontId="0" fillId="33" borderId="32" xfId="0" applyNumberFormat="1" applyFill="1" applyBorder="1" applyAlignment="1">
      <alignment/>
    </xf>
    <xf numFmtId="205" fontId="0" fillId="33" borderId="37" xfId="0" applyNumberFormat="1" applyFill="1" applyBorder="1" applyAlignment="1">
      <alignment/>
    </xf>
    <xf numFmtId="0" fontId="0" fillId="33" borderId="27" xfId="0" applyFill="1" applyBorder="1" applyAlignment="1">
      <alignment/>
    </xf>
    <xf numFmtId="0" fontId="1" fillId="33" borderId="44" xfId="0" applyFont="1" applyFill="1" applyBorder="1" applyAlignment="1">
      <alignment horizontal="center"/>
    </xf>
    <xf numFmtId="206" fontId="1" fillId="33" borderId="43" xfId="0" applyNumberFormat="1" applyFont="1" applyFill="1" applyBorder="1" applyAlignment="1">
      <alignment/>
    </xf>
    <xf numFmtId="206" fontId="0" fillId="33" borderId="45" xfId="0" applyNumberFormat="1" applyFill="1" applyBorder="1" applyAlignment="1">
      <alignment/>
    </xf>
    <xf numFmtId="206" fontId="1" fillId="33" borderId="46" xfId="0" applyNumberFormat="1" applyFont="1" applyFill="1" applyBorder="1" applyAlignment="1">
      <alignment/>
    </xf>
    <xf numFmtId="206" fontId="0" fillId="33" borderId="32" xfId="0" applyNumberFormat="1" applyFill="1" applyBorder="1" applyAlignment="1">
      <alignment/>
    </xf>
    <xf numFmtId="206" fontId="0" fillId="33" borderId="37" xfId="0" applyNumberFormat="1" applyFill="1" applyBorder="1" applyAlignment="1">
      <alignment/>
    </xf>
    <xf numFmtId="0" fontId="0" fillId="33" borderId="51" xfId="0" applyFill="1" applyBorder="1" applyAlignment="1">
      <alignment/>
    </xf>
    <xf numFmtId="206" fontId="0" fillId="33" borderId="51" xfId="0" applyNumberFormat="1" applyFill="1" applyBorder="1" applyAlignment="1">
      <alignment/>
    </xf>
    <xf numFmtId="206" fontId="0" fillId="33" borderId="26" xfId="0" applyNumberFormat="1" applyFill="1" applyBorder="1" applyAlignment="1">
      <alignment/>
    </xf>
    <xf numFmtId="0" fontId="1" fillId="33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10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0" fontId="0" fillId="33" borderId="26" xfId="0" applyNumberFormat="1" applyFill="1" applyBorder="1" applyAlignment="1">
      <alignment/>
    </xf>
    <xf numFmtId="206" fontId="2" fillId="33" borderId="21" xfId="0" applyNumberFormat="1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left"/>
    </xf>
    <xf numFmtId="205" fontId="0" fillId="33" borderId="21" xfId="0" applyNumberFormat="1" applyFill="1" applyBorder="1" applyAlignment="1">
      <alignment/>
    </xf>
    <xf numFmtId="9" fontId="0" fillId="33" borderId="21" xfId="0" applyNumberFormat="1" applyFill="1" applyBorder="1" applyAlignment="1">
      <alignment horizontal="center"/>
    </xf>
    <xf numFmtId="0" fontId="1" fillId="36" borderId="22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205" fontId="0" fillId="33" borderId="26" xfId="0" applyNumberFormat="1" applyFill="1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1" fillId="33" borderId="27" xfId="0" applyFont="1" applyFill="1" applyBorder="1" applyAlignment="1">
      <alignment horizontal="center"/>
    </xf>
    <xf numFmtId="205" fontId="1" fillId="33" borderId="28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21" xfId="0" applyFont="1" applyFill="1" applyBorder="1" applyAlignment="1">
      <alignment/>
    </xf>
    <xf numFmtId="206" fontId="2" fillId="33" borderId="21" xfId="0" applyNumberFormat="1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/>
    </xf>
    <xf numFmtId="0" fontId="2" fillId="33" borderId="38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206" fontId="12" fillId="33" borderId="32" xfId="0" applyNumberFormat="1" applyFont="1" applyFill="1" applyBorder="1" applyAlignment="1">
      <alignment/>
    </xf>
    <xf numFmtId="206" fontId="12" fillId="33" borderId="12" xfId="0" applyNumberFormat="1" applyFont="1" applyFill="1" applyBorder="1" applyAlignment="1">
      <alignment/>
    </xf>
    <xf numFmtId="0" fontId="2" fillId="33" borderId="21" xfId="0" applyFont="1" applyFill="1" applyBorder="1" applyAlignment="1">
      <alignment wrapText="1"/>
    </xf>
    <xf numFmtId="206" fontId="13" fillId="33" borderId="21" xfId="0" applyNumberFormat="1" applyFont="1" applyFill="1" applyBorder="1" applyAlignment="1">
      <alignment/>
    </xf>
    <xf numFmtId="216" fontId="2" fillId="33" borderId="21" xfId="0" applyNumberFormat="1" applyFont="1" applyFill="1" applyBorder="1" applyAlignment="1">
      <alignment/>
    </xf>
    <xf numFmtId="175" fontId="0" fillId="33" borderId="21" xfId="0" applyNumberFormat="1" applyFill="1" applyBorder="1" applyAlignment="1">
      <alignment/>
    </xf>
    <xf numFmtId="0" fontId="2" fillId="33" borderId="40" xfId="0" applyFont="1" applyFill="1" applyBorder="1" applyAlignment="1">
      <alignment/>
    </xf>
    <xf numFmtId="0" fontId="12" fillId="33" borderId="44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25" xfId="0" applyFont="1" applyFill="1" applyBorder="1" applyAlignment="1">
      <alignment wrapText="1"/>
    </xf>
    <xf numFmtId="213" fontId="2" fillId="33" borderId="21" xfId="0" applyNumberFormat="1" applyFont="1" applyFill="1" applyBorder="1" applyAlignment="1">
      <alignment/>
    </xf>
    <xf numFmtId="213" fontId="2" fillId="33" borderId="26" xfId="0" applyNumberFormat="1" applyFont="1" applyFill="1" applyBorder="1" applyAlignment="1">
      <alignment/>
    </xf>
    <xf numFmtId="0" fontId="2" fillId="33" borderId="16" xfId="0" applyFont="1" applyFill="1" applyBorder="1" applyAlignment="1">
      <alignment wrapText="1"/>
    </xf>
    <xf numFmtId="213" fontId="2" fillId="33" borderId="38" xfId="0" applyNumberFormat="1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2" fillId="33" borderId="41" xfId="0" applyFont="1" applyFill="1" applyBorder="1" applyAlignment="1">
      <alignment wrapText="1"/>
    </xf>
    <xf numFmtId="213" fontId="2" fillId="33" borderId="51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12" fillId="33" borderId="41" xfId="0" applyFont="1" applyFill="1" applyBorder="1" applyAlignment="1">
      <alignment wrapText="1"/>
    </xf>
    <xf numFmtId="213" fontId="12" fillId="33" borderId="51" xfId="0" applyNumberFormat="1" applyFont="1" applyFill="1" applyBorder="1" applyAlignment="1">
      <alignment/>
    </xf>
    <xf numFmtId="213" fontId="12" fillId="33" borderId="26" xfId="0" applyNumberFormat="1" applyFont="1" applyFill="1" applyBorder="1" applyAlignment="1">
      <alignment/>
    </xf>
    <xf numFmtId="0" fontId="2" fillId="33" borderId="34" xfId="0" applyFont="1" applyFill="1" applyBorder="1" applyAlignment="1">
      <alignment wrapText="1"/>
    </xf>
    <xf numFmtId="213" fontId="2" fillId="33" borderId="27" xfId="0" applyNumberFormat="1" applyFont="1" applyFill="1" applyBorder="1" applyAlignment="1">
      <alignment/>
    </xf>
    <xf numFmtId="213" fontId="2" fillId="33" borderId="28" xfId="0" applyNumberFormat="1" applyFont="1" applyFill="1" applyBorder="1" applyAlignment="1">
      <alignment/>
    </xf>
    <xf numFmtId="0" fontId="12" fillId="33" borderId="23" xfId="0" applyFont="1" applyFill="1" applyBorder="1" applyAlignment="1">
      <alignment horizontal="center"/>
    </xf>
    <xf numFmtId="0" fontId="2" fillId="33" borderId="36" xfId="0" applyFont="1" applyFill="1" applyBorder="1" applyAlignment="1">
      <alignment/>
    </xf>
    <xf numFmtId="206" fontId="2" fillId="33" borderId="32" xfId="0" applyNumberFormat="1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206" fontId="12" fillId="33" borderId="43" xfId="0" applyNumberFormat="1" applyFont="1" applyFill="1" applyBorder="1" applyAlignment="1">
      <alignment/>
    </xf>
    <xf numFmtId="206" fontId="12" fillId="33" borderId="46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2" fillId="33" borderId="22" xfId="0" applyFont="1" applyFill="1" applyBorder="1" applyAlignment="1">
      <alignment/>
    </xf>
    <xf numFmtId="10" fontId="12" fillId="0" borderId="0" xfId="0" applyNumberFormat="1" applyFont="1" applyAlignment="1">
      <alignment/>
    </xf>
    <xf numFmtId="0" fontId="12" fillId="33" borderId="53" xfId="0" applyFont="1" applyFill="1" applyBorder="1" applyAlignment="1">
      <alignment horizontal="center"/>
    </xf>
    <xf numFmtId="206" fontId="2" fillId="33" borderId="26" xfId="0" applyNumberFormat="1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206" fontId="2" fillId="33" borderId="21" xfId="0" applyNumberFormat="1" applyFont="1" applyFill="1" applyBorder="1" applyAlignment="1">
      <alignment/>
    </xf>
    <xf numFmtId="206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206" fontId="14" fillId="33" borderId="21" xfId="0" applyNumberFormat="1" applyFont="1" applyFill="1" applyBorder="1" applyAlignment="1">
      <alignment/>
    </xf>
    <xf numFmtId="0" fontId="2" fillId="33" borderId="40" xfId="0" applyFont="1" applyFill="1" applyBorder="1" applyAlignment="1">
      <alignment shrinkToFit="1"/>
    </xf>
    <xf numFmtId="0" fontId="14" fillId="33" borderId="21" xfId="0" applyFont="1" applyFill="1" applyBorder="1" applyAlignment="1">
      <alignment wrapText="1" shrinkToFit="1"/>
    </xf>
    <xf numFmtId="206" fontId="15" fillId="33" borderId="43" xfId="0" applyNumberFormat="1" applyFont="1" applyFill="1" applyBorder="1" applyAlignment="1">
      <alignment/>
    </xf>
    <xf numFmtId="216" fontId="15" fillId="0" borderId="0" xfId="0" applyNumberFormat="1" applyFont="1" applyAlignment="1">
      <alignment/>
    </xf>
    <xf numFmtId="9" fontId="0" fillId="0" borderId="0" xfId="0" applyNumberFormat="1" applyAlignment="1">
      <alignment horizontal="center"/>
    </xf>
    <xf numFmtId="218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3" fontId="1" fillId="33" borderId="0" xfId="0" applyNumberFormat="1" applyFont="1" applyFill="1" applyAlignment="1">
      <alignment horizontal="center"/>
    </xf>
    <xf numFmtId="3" fontId="0" fillId="33" borderId="0" xfId="0" applyNumberFormat="1" applyFont="1" applyFill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1" fillId="35" borderId="55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6" borderId="32" xfId="0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36" borderId="48" xfId="0" applyFont="1" applyFill="1" applyBorder="1" applyAlignment="1">
      <alignment horizontal="center" vertical="center" wrapText="1"/>
    </xf>
    <xf numFmtId="206" fontId="2" fillId="33" borderId="21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206" fontId="0" fillId="33" borderId="21" xfId="0" applyNumberForma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206" fontId="0" fillId="33" borderId="26" xfId="0" applyNumberForma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 Composición de la carga terrestre 2007
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"/>
          <c:y val="0.40925"/>
          <c:w val="0.6175"/>
          <c:h val="0.44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Hoja3!$A$1:$A$4</c:f>
              <c:strCache/>
            </c:strRef>
          </c:cat>
          <c:val>
            <c:numRef>
              <c:f>Hoja3!$B$1:$B$4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5"/>
          <c:y val="0.91125"/>
          <c:w val="0.52925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Estructura productiva del sector bananero nacional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5"/>
          <c:y val="0.271"/>
          <c:w val="0.683"/>
          <c:h val="0.47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Hoja6!$A$1:$A$4</c:f>
              <c:strCache/>
            </c:strRef>
          </c:cat>
          <c:val>
            <c:numRef>
              <c:f>Hoja6!$B$1:$B$4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5"/>
          <c:y val="0.90725"/>
          <c:w val="0.7407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Sensibilidad del VAN con respecto al Ingreso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275"/>
          <c:w val="0.968"/>
          <c:h val="0.7375"/>
        </c:manualLayout>
      </c:layout>
      <c:lineChart>
        <c:grouping val="standard"/>
        <c:varyColors val="0"/>
        <c:ser>
          <c:idx val="1"/>
          <c:order val="0"/>
          <c:tx>
            <c:strRef>
              <c:f>Analisis!$A$3</c:f>
              <c:strCache>
                <c:ptCount val="1"/>
                <c:pt idx="0">
                  <c:v>VAN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Analisis!$B$2:$J$2</c:f>
              <c:numCache/>
            </c:numRef>
          </c:cat>
          <c:val>
            <c:numRef>
              <c:f>Analisis!$B$3:$J$3</c:f>
              <c:numCache/>
            </c:numRef>
          </c:val>
          <c:smooth val="0"/>
        </c:ser>
        <c:marker val="1"/>
        <c:axId val="63916520"/>
        <c:axId val="38377769"/>
      </c:line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77769"/>
        <c:crosses val="autoZero"/>
        <c:auto val="0"/>
        <c:lblOffset val="100"/>
        <c:tickLblSkip val="1"/>
        <c:noMultiLvlLbl val="0"/>
      </c:catAx>
      <c:valAx>
        <c:axId val="38377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16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12"/>
          <c:y val="0.92225"/>
          <c:w val="0.108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Sensibilidad de la TIR con respecto al Ingreso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125"/>
          <c:w val="0.96725"/>
          <c:h val="0.7015"/>
        </c:manualLayout>
      </c:layout>
      <c:lineChart>
        <c:grouping val="standard"/>
        <c:varyColors val="0"/>
        <c:ser>
          <c:idx val="1"/>
          <c:order val="0"/>
          <c:tx>
            <c:strRef>
              <c:f>Analisis!$A$4</c:f>
              <c:strCache>
                <c:ptCount val="1"/>
                <c:pt idx="0">
                  <c:v>TIR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Analisis!$B$2:$J$2</c:f>
              <c:numCache/>
            </c:numRef>
          </c:cat>
          <c:val>
            <c:numRef>
              <c:f>Analisis!$B$4:$J$4</c:f>
              <c:numCache/>
            </c:numRef>
          </c:val>
          <c:smooth val="0"/>
        </c:ser>
        <c:marker val="1"/>
        <c:axId val="9855602"/>
        <c:axId val="21591555"/>
      </c:lineChart>
      <c:catAx>
        <c:axId val="98556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591555"/>
        <c:crosses val="autoZero"/>
        <c:auto val="0"/>
        <c:lblOffset val="100"/>
        <c:tickLblSkip val="1"/>
        <c:noMultiLvlLbl val="0"/>
      </c:catAx>
      <c:valAx>
        <c:axId val="21591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55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6"/>
          <c:y val="0.9095"/>
          <c:w val="0.098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152400</xdr:rowOff>
    </xdr:from>
    <xdr:to>
      <xdr:col>11</xdr:col>
      <xdr:colOff>476250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2276475" y="638175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295275</xdr:colOff>
      <xdr:row>6</xdr:row>
      <xdr:rowOff>123825</xdr:rowOff>
    </xdr:from>
    <xdr:to>
      <xdr:col>11</xdr:col>
      <xdr:colOff>190500</xdr:colOff>
      <xdr:row>12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19800" y="1095375"/>
          <a:ext cx="11144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Ferrosos y acera, bebidas, papel cartón, derivados del petróleo, equipos de transporte maquinaria y equipo alimentos y textiles</a:t>
          </a:r>
        </a:p>
      </xdr:txBody>
    </xdr:sp>
    <xdr:clientData/>
  </xdr:twoCellAnchor>
  <xdr:twoCellAnchor>
    <xdr:from>
      <xdr:col>6</xdr:col>
      <xdr:colOff>247650</xdr:colOff>
      <xdr:row>8</xdr:row>
      <xdr:rowOff>0</xdr:rowOff>
    </xdr:from>
    <xdr:to>
      <xdr:col>7</xdr:col>
      <xdr:colOff>352425</xdr:colOff>
      <xdr:row>9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43375" y="1295400"/>
          <a:ext cx="7143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ganadería</a:t>
          </a:r>
        </a:p>
      </xdr:txBody>
    </xdr:sp>
    <xdr:clientData/>
  </xdr:twoCellAnchor>
  <xdr:twoCellAnchor>
    <xdr:from>
      <xdr:col>3</xdr:col>
      <xdr:colOff>361950</xdr:colOff>
      <xdr:row>9</xdr:row>
      <xdr:rowOff>114300</xdr:rowOff>
    </xdr:from>
    <xdr:to>
      <xdr:col>4</xdr:col>
      <xdr:colOff>485775</xdr:colOff>
      <xdr:row>12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428875" y="1571625"/>
          <a:ext cx="7334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minerales no metálicos, cemento</a:t>
          </a:r>
        </a:p>
      </xdr:txBody>
    </xdr:sp>
    <xdr:clientData/>
  </xdr:twoCellAnchor>
  <xdr:twoCellAnchor>
    <xdr:from>
      <xdr:col>3</xdr:col>
      <xdr:colOff>419100</xdr:colOff>
      <xdr:row>17</xdr:row>
      <xdr:rowOff>47625</xdr:rowOff>
    </xdr:from>
    <xdr:to>
      <xdr:col>5</xdr:col>
      <xdr:colOff>0</xdr:colOff>
      <xdr:row>19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86025" y="2800350"/>
          <a:ext cx="8001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banano, cacao y otros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38100</xdr:rowOff>
    </xdr:from>
    <xdr:to>
      <xdr:col>4</xdr:col>
      <xdr:colOff>742950</xdr:colOff>
      <xdr:row>11</xdr:row>
      <xdr:rowOff>0</xdr:rowOff>
    </xdr:to>
    <xdr:sp>
      <xdr:nvSpPr>
        <xdr:cNvPr id="1" name="Oval 7"/>
        <xdr:cNvSpPr>
          <a:spLocks/>
        </xdr:cNvSpPr>
      </xdr:nvSpPr>
      <xdr:spPr>
        <a:xfrm>
          <a:off x="1219200" y="523875"/>
          <a:ext cx="2657475" cy="1257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2</xdr:row>
      <xdr:rowOff>152400</xdr:rowOff>
    </xdr:from>
    <xdr:to>
      <xdr:col>3</xdr:col>
      <xdr:colOff>571500</xdr:colOff>
      <xdr:row>5</xdr:row>
      <xdr:rowOff>152400</xdr:rowOff>
    </xdr:to>
    <xdr:sp>
      <xdr:nvSpPr>
        <xdr:cNvPr id="2" name="Line 1"/>
        <xdr:cNvSpPr>
          <a:spLocks/>
        </xdr:cNvSpPr>
      </xdr:nvSpPr>
      <xdr:spPr>
        <a:xfrm>
          <a:off x="2543175" y="476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152400</xdr:rowOff>
    </xdr:from>
    <xdr:to>
      <xdr:col>4</xdr:col>
      <xdr:colOff>742950</xdr:colOff>
      <xdr:row>6</xdr:row>
      <xdr:rowOff>152400</xdr:rowOff>
    </xdr:to>
    <xdr:sp>
      <xdr:nvSpPr>
        <xdr:cNvPr id="3" name="Line 2"/>
        <xdr:cNvSpPr>
          <a:spLocks/>
        </xdr:cNvSpPr>
      </xdr:nvSpPr>
      <xdr:spPr>
        <a:xfrm flipH="1">
          <a:off x="3133725" y="11239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152400</xdr:rowOff>
    </xdr:from>
    <xdr:to>
      <xdr:col>2</xdr:col>
      <xdr:colOff>752475</xdr:colOff>
      <xdr:row>6</xdr:row>
      <xdr:rowOff>152400</xdr:rowOff>
    </xdr:to>
    <xdr:sp>
      <xdr:nvSpPr>
        <xdr:cNvPr id="4" name="Line 3"/>
        <xdr:cNvSpPr>
          <a:spLocks/>
        </xdr:cNvSpPr>
      </xdr:nvSpPr>
      <xdr:spPr>
        <a:xfrm>
          <a:off x="1219200" y="11239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8</xdr:row>
      <xdr:rowOff>19050</xdr:rowOff>
    </xdr:from>
    <xdr:to>
      <xdr:col>3</xdr:col>
      <xdr:colOff>571500</xdr:colOff>
      <xdr:row>10</xdr:row>
      <xdr:rowOff>152400</xdr:rowOff>
    </xdr:to>
    <xdr:sp>
      <xdr:nvSpPr>
        <xdr:cNvPr id="5" name="Line 4"/>
        <xdr:cNvSpPr>
          <a:spLocks/>
        </xdr:cNvSpPr>
      </xdr:nvSpPr>
      <xdr:spPr>
        <a:xfrm flipV="1">
          <a:off x="2543175" y="1314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2</xdr:row>
      <xdr:rowOff>9525</xdr:rowOff>
    </xdr:from>
    <xdr:to>
      <xdr:col>9</xdr:col>
      <xdr:colOff>123825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495550" y="333375"/>
        <a:ext cx="47529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142875</xdr:rowOff>
    </xdr:from>
    <xdr:to>
      <xdr:col>2</xdr:col>
      <xdr:colOff>809625</xdr:colOff>
      <xdr:row>19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57425"/>
          <a:ext cx="301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27</xdr:row>
      <xdr:rowOff>85725</xdr:rowOff>
    </xdr:from>
    <xdr:to>
      <xdr:col>3</xdr:col>
      <xdr:colOff>323850</xdr:colOff>
      <xdr:row>27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24860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5</xdr:row>
      <xdr:rowOff>9525</xdr:rowOff>
    </xdr:from>
    <xdr:to>
      <xdr:col>11</xdr:col>
      <xdr:colOff>619125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2943225" y="819150"/>
        <a:ext cx="60579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27</xdr:row>
      <xdr:rowOff>9525</xdr:rowOff>
    </xdr:from>
    <xdr:to>
      <xdr:col>12</xdr:col>
      <xdr:colOff>28575</xdr:colOff>
      <xdr:row>45</xdr:row>
      <xdr:rowOff>19050</xdr:rowOff>
    </xdr:to>
    <xdr:graphicFrame>
      <xdr:nvGraphicFramePr>
        <xdr:cNvPr id="2" name="Chart 3"/>
        <xdr:cNvGraphicFramePr/>
      </xdr:nvGraphicFramePr>
      <xdr:xfrm>
        <a:off x="3286125" y="4381500"/>
        <a:ext cx="58864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2.7109375" style="0" bestFit="1" customWidth="1"/>
  </cols>
  <sheetData>
    <row r="1" spans="1:2" ht="12.75">
      <c r="A1" t="s">
        <v>0</v>
      </c>
      <c r="B1" s="3">
        <v>0.5</v>
      </c>
    </row>
    <row r="2" spans="1:2" ht="12.75">
      <c r="A2" t="s">
        <v>1</v>
      </c>
      <c r="B2" s="3">
        <v>0.26</v>
      </c>
    </row>
    <row r="3" spans="1:2" ht="12.75">
      <c r="A3" t="s">
        <v>2</v>
      </c>
      <c r="B3" s="3">
        <v>0.19</v>
      </c>
    </row>
    <row r="4" spans="1:2" ht="12.75">
      <c r="A4" t="s">
        <v>3</v>
      </c>
      <c r="B4" s="3">
        <v>0.05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5">
      <selection activeCell="A10" sqref="A10"/>
    </sheetView>
  </sheetViews>
  <sheetFormatPr defaultColWidth="11.421875" defaultRowHeight="12.75"/>
  <cols>
    <col min="1" max="1" width="30.7109375" style="0" bestFit="1" customWidth="1"/>
    <col min="2" max="2" width="16.28125" style="0" bestFit="1" customWidth="1"/>
    <col min="4" max="4" width="18.140625" style="0" bestFit="1" customWidth="1"/>
    <col min="5" max="5" width="14.57421875" style="0" bestFit="1" customWidth="1"/>
    <col min="6" max="6" width="15.28125" style="0" bestFit="1" customWidth="1"/>
  </cols>
  <sheetData>
    <row r="2" spans="1:2" ht="12.75">
      <c r="A2" s="261" t="s">
        <v>74</v>
      </c>
      <c r="B2" s="263" t="s">
        <v>81</v>
      </c>
    </row>
    <row r="3" spans="1:2" ht="12.75">
      <c r="A3" s="266"/>
      <c r="B3" s="267"/>
    </row>
    <row r="4" spans="1:2" ht="12.75">
      <c r="A4" s="167" t="s">
        <v>87</v>
      </c>
      <c r="B4" s="169">
        <f>+'INV. FIJA'!D7</f>
        <v>242000</v>
      </c>
    </row>
    <row r="5" spans="1:2" ht="12.75">
      <c r="A5" s="167" t="s">
        <v>88</v>
      </c>
      <c r="B5" s="169">
        <f>+'INV. FIJA'!D19</f>
        <v>2000</v>
      </c>
    </row>
    <row r="6" spans="1:2" ht="12.75">
      <c r="A6" s="167" t="s">
        <v>89</v>
      </c>
      <c r="B6" s="169">
        <f>+'INV. FIJA'!F27</f>
        <v>2000</v>
      </c>
    </row>
    <row r="7" spans="1:2" ht="12.75">
      <c r="A7" s="167" t="s">
        <v>90</v>
      </c>
      <c r="B7" s="169">
        <f>+'INV. DIFERIDA'!C6</f>
        <v>1900</v>
      </c>
    </row>
    <row r="8" spans="1:2" ht="12.75">
      <c r="A8" s="66"/>
      <c r="B8" s="79"/>
    </row>
    <row r="9" spans="1:2" ht="12.75">
      <c r="A9" s="78" t="s">
        <v>73</v>
      </c>
      <c r="B9" s="80">
        <f>SUM(B4:B7)</f>
        <v>247900</v>
      </c>
    </row>
    <row r="10" spans="4:6" ht="12.75">
      <c r="D10" s="261" t="s">
        <v>74</v>
      </c>
      <c r="E10" s="73" t="s">
        <v>111</v>
      </c>
      <c r="F10" s="74" t="s">
        <v>113</v>
      </c>
    </row>
    <row r="11" spans="4:6" ht="12.75">
      <c r="D11" s="262"/>
      <c r="E11" s="75" t="s">
        <v>112</v>
      </c>
      <c r="F11" s="76" t="s">
        <v>68</v>
      </c>
    </row>
    <row r="12" spans="4:6" ht="12.75">
      <c r="D12" s="66" t="s">
        <v>109</v>
      </c>
      <c r="E12" s="83">
        <v>0.4</v>
      </c>
      <c r="F12" s="69">
        <f>E12*$B$9</f>
        <v>99160</v>
      </c>
    </row>
    <row r="13" spans="4:6" ht="12.75">
      <c r="D13" s="167" t="s">
        <v>110</v>
      </c>
      <c r="E13" s="170">
        <v>0.6</v>
      </c>
      <c r="F13" s="50">
        <f>E13*$B$9</f>
        <v>148740</v>
      </c>
    </row>
    <row r="14" spans="4:6" ht="12.75">
      <c r="D14" s="66"/>
      <c r="E14" s="66"/>
      <c r="F14" s="69"/>
    </row>
    <row r="15" spans="4:6" ht="12.75">
      <c r="D15" s="67"/>
      <c r="E15" s="48" t="s">
        <v>73</v>
      </c>
      <c r="F15" s="71">
        <f>SUM(F12:F14)</f>
        <v>247900</v>
      </c>
    </row>
  </sheetData>
  <sheetProtection/>
  <mergeCells count="3">
    <mergeCell ref="A2:A3"/>
    <mergeCell ref="B2:B3"/>
    <mergeCell ref="D10:D11"/>
  </mergeCells>
  <printOptions/>
  <pageMargins left="0.75" right="0.75" top="1" bottom="1" header="0" footer="0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:E29"/>
    </sheetView>
  </sheetViews>
  <sheetFormatPr defaultColWidth="11.421875" defaultRowHeight="12.75"/>
  <sheetData>
    <row r="1" spans="1:5" ht="13.5" thickBot="1">
      <c r="A1" s="124"/>
      <c r="B1" s="84"/>
      <c r="C1" s="84"/>
      <c r="D1" s="84"/>
      <c r="E1" s="138"/>
    </row>
    <row r="2" spans="1:5" ht="12.75">
      <c r="A2" s="89"/>
      <c r="B2" s="107" t="s">
        <v>92</v>
      </c>
      <c r="C2" s="139">
        <f>+FINANCIAMIENTO!F13</f>
        <v>148740</v>
      </c>
      <c r="D2" s="91"/>
      <c r="E2" s="92"/>
    </row>
    <row r="3" spans="1:5" ht="12.75">
      <c r="A3" s="89"/>
      <c r="B3" s="102" t="s">
        <v>93</v>
      </c>
      <c r="C3" s="100">
        <v>5</v>
      </c>
      <c r="D3" s="91"/>
      <c r="E3" s="92"/>
    </row>
    <row r="4" spans="1:5" ht="12.75">
      <c r="A4" s="89"/>
      <c r="B4" s="102" t="s">
        <v>94</v>
      </c>
      <c r="C4" s="165">
        <v>0.0935</v>
      </c>
      <c r="D4" s="91"/>
      <c r="E4" s="92"/>
    </row>
    <row r="5" spans="1:5" ht="13.5" thickBot="1">
      <c r="A5" s="89"/>
      <c r="B5" s="109" t="s">
        <v>95</v>
      </c>
      <c r="C5" s="140" t="s">
        <v>96</v>
      </c>
      <c r="D5" s="91"/>
      <c r="E5" s="92"/>
    </row>
    <row r="6" spans="1:5" ht="12.75">
      <c r="A6" s="135"/>
      <c r="B6" s="2"/>
      <c r="C6" s="2"/>
      <c r="D6" s="2"/>
      <c r="E6" s="142"/>
    </row>
    <row r="7" spans="1:5" ht="12.75">
      <c r="A7" s="141" t="s">
        <v>97</v>
      </c>
      <c r="B7" s="143" t="s">
        <v>98</v>
      </c>
      <c r="C7" s="143" t="s">
        <v>99</v>
      </c>
      <c r="D7" s="143" t="s">
        <v>100</v>
      </c>
      <c r="E7" s="145" t="s">
        <v>101</v>
      </c>
    </row>
    <row r="8" spans="1:5" ht="12.75">
      <c r="A8" s="49">
        <v>0</v>
      </c>
      <c r="B8" s="167"/>
      <c r="C8" s="167"/>
      <c r="D8" s="167"/>
      <c r="E8" s="169">
        <f>+C2</f>
        <v>148740</v>
      </c>
    </row>
    <row r="9" spans="1:5" ht="12.75">
      <c r="A9" s="49">
        <v>1</v>
      </c>
      <c r="B9" s="193">
        <f>PMT(9.35%/4,C3*4,-C2)</f>
        <v>9395.401226232412</v>
      </c>
      <c r="C9" s="193">
        <f>E8*($C$4/4)</f>
        <v>3476.7975</v>
      </c>
      <c r="D9" s="193">
        <f>B9-C9</f>
        <v>5918.603726232412</v>
      </c>
      <c r="E9" s="169">
        <f>E8-D9</f>
        <v>142821.39627376758</v>
      </c>
    </row>
    <row r="10" spans="1:5" ht="12.75">
      <c r="A10" s="49">
        <v>2</v>
      </c>
      <c r="B10" s="193">
        <f>+B9</f>
        <v>9395.401226232412</v>
      </c>
      <c r="C10" s="193">
        <f aca="true" t="shared" si="0" ref="C10:C28">E9*($C$4/4)</f>
        <v>3338.4501378993173</v>
      </c>
      <c r="D10" s="193">
        <f aca="true" t="shared" si="1" ref="D10:D28">B10-C10</f>
        <v>6056.951088333095</v>
      </c>
      <c r="E10" s="169">
        <f aca="true" t="shared" si="2" ref="E10:E28">E9-D10</f>
        <v>136764.44518543448</v>
      </c>
    </row>
    <row r="11" spans="1:5" ht="12.75">
      <c r="A11" s="49">
        <v>3</v>
      </c>
      <c r="B11" s="193">
        <f aca="true" t="shared" si="3" ref="B11:B28">+B10</f>
        <v>9395.401226232412</v>
      </c>
      <c r="C11" s="193">
        <f t="shared" si="0"/>
        <v>3196.868906209531</v>
      </c>
      <c r="D11" s="193">
        <f t="shared" si="1"/>
        <v>6198.532320022881</v>
      </c>
      <c r="E11" s="169">
        <f t="shared" si="2"/>
        <v>130565.9128654116</v>
      </c>
    </row>
    <row r="12" spans="1:5" ht="12.75">
      <c r="A12" s="49">
        <v>4</v>
      </c>
      <c r="B12" s="193">
        <f t="shared" si="3"/>
        <v>9395.401226232412</v>
      </c>
      <c r="C12" s="193">
        <f t="shared" si="0"/>
        <v>3051.978213228996</v>
      </c>
      <c r="D12" s="193">
        <f t="shared" si="1"/>
        <v>6343.423013003416</v>
      </c>
      <c r="E12" s="169">
        <f t="shared" si="2"/>
        <v>124222.4898524082</v>
      </c>
    </row>
    <row r="13" spans="1:5" ht="12.75">
      <c r="A13" s="49">
        <v>5</v>
      </c>
      <c r="B13" s="193">
        <f t="shared" si="3"/>
        <v>9395.401226232412</v>
      </c>
      <c r="C13" s="193">
        <f t="shared" si="0"/>
        <v>2903.7007003000417</v>
      </c>
      <c r="D13" s="193">
        <f t="shared" si="1"/>
        <v>6491.7005259323705</v>
      </c>
      <c r="E13" s="169">
        <f t="shared" si="2"/>
        <v>117730.78932647582</v>
      </c>
    </row>
    <row r="14" spans="1:5" ht="12.75">
      <c r="A14" s="49">
        <v>6</v>
      </c>
      <c r="B14" s="193">
        <f t="shared" si="3"/>
        <v>9395.401226232412</v>
      </c>
      <c r="C14" s="193">
        <f t="shared" si="0"/>
        <v>2751.9572005063724</v>
      </c>
      <c r="D14" s="193">
        <f t="shared" si="1"/>
        <v>6643.444025726039</v>
      </c>
      <c r="E14" s="169">
        <f t="shared" si="2"/>
        <v>111087.34530074977</v>
      </c>
    </row>
    <row r="15" spans="1:5" ht="12.75">
      <c r="A15" s="49">
        <v>7</v>
      </c>
      <c r="B15" s="193">
        <f t="shared" si="3"/>
        <v>9395.401226232412</v>
      </c>
      <c r="C15" s="193">
        <f t="shared" si="0"/>
        <v>2596.666696405026</v>
      </c>
      <c r="D15" s="193">
        <f t="shared" si="1"/>
        <v>6798.734529827387</v>
      </c>
      <c r="E15" s="169">
        <f t="shared" si="2"/>
        <v>104288.61077092239</v>
      </c>
    </row>
    <row r="16" spans="1:5" ht="12.75">
      <c r="A16" s="49">
        <v>8</v>
      </c>
      <c r="B16" s="193">
        <f t="shared" si="3"/>
        <v>9395.401226232412</v>
      </c>
      <c r="C16" s="193">
        <f t="shared" si="0"/>
        <v>2437.746276770311</v>
      </c>
      <c r="D16" s="193">
        <f t="shared" si="1"/>
        <v>6957.654949462101</v>
      </c>
      <c r="E16" s="169">
        <f t="shared" si="2"/>
        <v>97330.95582146029</v>
      </c>
    </row>
    <row r="17" spans="1:5" ht="12.75">
      <c r="A17" s="49">
        <v>9</v>
      </c>
      <c r="B17" s="193">
        <f t="shared" si="3"/>
        <v>9395.401226232412</v>
      </c>
      <c r="C17" s="193">
        <f t="shared" si="0"/>
        <v>2275.111092326634</v>
      </c>
      <c r="D17" s="193">
        <f t="shared" si="1"/>
        <v>7120.290133905778</v>
      </c>
      <c r="E17" s="169">
        <f t="shared" si="2"/>
        <v>90210.66568755452</v>
      </c>
    </row>
    <row r="18" spans="1:5" ht="12.75">
      <c r="A18" s="49">
        <v>10</v>
      </c>
      <c r="B18" s="193">
        <f t="shared" si="3"/>
        <v>9395.401226232412</v>
      </c>
      <c r="C18" s="193">
        <f t="shared" si="0"/>
        <v>2108.674310446587</v>
      </c>
      <c r="D18" s="193">
        <f t="shared" si="1"/>
        <v>7286.726915785825</v>
      </c>
      <c r="E18" s="169">
        <f t="shared" si="2"/>
        <v>82923.93877176869</v>
      </c>
    </row>
    <row r="19" spans="1:5" ht="12.75">
      <c r="A19" s="49">
        <v>11</v>
      </c>
      <c r="B19" s="193">
        <f t="shared" si="3"/>
        <v>9395.401226232412</v>
      </c>
      <c r="C19" s="193">
        <f t="shared" si="0"/>
        <v>1938.347068790093</v>
      </c>
      <c r="D19" s="193">
        <f t="shared" si="1"/>
        <v>7457.054157442319</v>
      </c>
      <c r="E19" s="169">
        <f t="shared" si="2"/>
        <v>75466.88461432638</v>
      </c>
    </row>
    <row r="20" spans="1:5" ht="12.75">
      <c r="A20" s="49">
        <v>12</v>
      </c>
      <c r="B20" s="193">
        <f t="shared" si="3"/>
        <v>9395.401226232412</v>
      </c>
      <c r="C20" s="193">
        <f t="shared" si="0"/>
        <v>1764.0384278598792</v>
      </c>
      <c r="D20" s="193">
        <f t="shared" si="1"/>
        <v>7631.362798372533</v>
      </c>
      <c r="E20" s="169">
        <f t="shared" si="2"/>
        <v>67835.52181595385</v>
      </c>
    </row>
    <row r="21" spans="1:5" ht="12.75">
      <c r="A21" s="49">
        <v>13</v>
      </c>
      <c r="B21" s="193">
        <f t="shared" si="3"/>
        <v>9395.401226232412</v>
      </c>
      <c r="C21" s="193">
        <f t="shared" si="0"/>
        <v>1585.6553224479212</v>
      </c>
      <c r="D21" s="193">
        <f t="shared" si="1"/>
        <v>7809.745903784491</v>
      </c>
      <c r="E21" s="169">
        <f t="shared" si="2"/>
        <v>60025.77591216936</v>
      </c>
    </row>
    <row r="22" spans="1:5" ht="12.75">
      <c r="A22" s="49">
        <v>14</v>
      </c>
      <c r="B22" s="193">
        <f t="shared" si="3"/>
        <v>9395.401226232412</v>
      </c>
      <c r="C22" s="193">
        <f t="shared" si="0"/>
        <v>1403.1025119469589</v>
      </c>
      <c r="D22" s="193">
        <f t="shared" si="1"/>
        <v>7992.298714285454</v>
      </c>
      <c r="E22" s="169">
        <f t="shared" si="2"/>
        <v>52033.477197883905</v>
      </c>
    </row>
    <row r="23" spans="1:5" ht="12.75">
      <c r="A23" s="49">
        <v>15</v>
      </c>
      <c r="B23" s="193">
        <f t="shared" si="3"/>
        <v>9395.401226232412</v>
      </c>
      <c r="C23" s="193">
        <f t="shared" si="0"/>
        <v>1216.2825295005364</v>
      </c>
      <c r="D23" s="193">
        <f t="shared" si="1"/>
        <v>8179.118696731875</v>
      </c>
      <c r="E23" s="169">
        <f t="shared" si="2"/>
        <v>43854.35850115203</v>
      </c>
    </row>
    <row r="24" spans="1:5" ht="12.75">
      <c r="A24" s="49">
        <v>16</v>
      </c>
      <c r="B24" s="193">
        <f t="shared" si="3"/>
        <v>9395.401226232412</v>
      </c>
      <c r="C24" s="193">
        <f t="shared" si="0"/>
        <v>1025.0956299644288</v>
      </c>
      <c r="D24" s="193">
        <f t="shared" si="1"/>
        <v>8370.305596267983</v>
      </c>
      <c r="E24" s="169">
        <f t="shared" si="2"/>
        <v>35484.052904884054</v>
      </c>
    </row>
    <row r="25" spans="1:5" ht="12.75">
      <c r="A25" s="49">
        <v>17</v>
      </c>
      <c r="B25" s="193">
        <f t="shared" si="3"/>
        <v>9395.401226232412</v>
      </c>
      <c r="C25" s="193">
        <f t="shared" si="0"/>
        <v>829.4397366516648</v>
      </c>
      <c r="D25" s="193">
        <f t="shared" si="1"/>
        <v>8565.961489580748</v>
      </c>
      <c r="E25" s="169">
        <f t="shared" si="2"/>
        <v>26918.091415303308</v>
      </c>
    </row>
    <row r="26" spans="1:5" ht="12.75">
      <c r="A26" s="49">
        <v>18</v>
      </c>
      <c r="B26" s="193">
        <f t="shared" si="3"/>
        <v>9395.401226232412</v>
      </c>
      <c r="C26" s="193">
        <f t="shared" si="0"/>
        <v>629.2103868327148</v>
      </c>
      <c r="D26" s="193">
        <f t="shared" si="1"/>
        <v>8766.190839399698</v>
      </c>
      <c r="E26" s="169">
        <f t="shared" si="2"/>
        <v>18151.900575903608</v>
      </c>
    </row>
    <row r="27" spans="1:5" ht="12.75">
      <c r="A27" s="49">
        <v>19</v>
      </c>
      <c r="B27" s="193">
        <f t="shared" si="3"/>
        <v>9395.401226232412</v>
      </c>
      <c r="C27" s="193">
        <f t="shared" si="0"/>
        <v>424.30067596174683</v>
      </c>
      <c r="D27" s="193">
        <f t="shared" si="1"/>
        <v>8971.100550270665</v>
      </c>
      <c r="E27" s="169">
        <f t="shared" si="2"/>
        <v>9180.800025632943</v>
      </c>
    </row>
    <row r="28" spans="1:5" ht="12.75">
      <c r="A28" s="147">
        <v>20</v>
      </c>
      <c r="B28" s="148">
        <f t="shared" si="3"/>
        <v>9395.401226232412</v>
      </c>
      <c r="C28" s="148">
        <f t="shared" si="0"/>
        <v>214.60120059917006</v>
      </c>
      <c r="D28" s="148">
        <f t="shared" si="1"/>
        <v>9180.800025633242</v>
      </c>
      <c r="E28" s="149">
        <f t="shared" si="2"/>
        <v>-2.9831426218152046E-10</v>
      </c>
    </row>
    <row r="29" spans="1:5" ht="13.5" thickBot="1">
      <c r="A29" s="122"/>
      <c r="B29" s="150"/>
      <c r="C29" s="144">
        <f>SUM(C9:C28)</f>
        <v>39168.02452464794</v>
      </c>
      <c r="D29" s="144">
        <f>SUM(D9:D28)</f>
        <v>148740.00000000032</v>
      </c>
      <c r="E29" s="146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:N9"/>
    </sheetView>
  </sheetViews>
  <sheetFormatPr defaultColWidth="11.421875" defaultRowHeight="12.75"/>
  <cols>
    <col min="1" max="1" width="9.140625" style="179" customWidth="1"/>
    <col min="2" max="2" width="6.28125" style="179" customWidth="1"/>
    <col min="3" max="3" width="2.421875" style="179" customWidth="1"/>
    <col min="4" max="13" width="6.28125" style="179" customWidth="1"/>
    <col min="14" max="14" width="5.57421875" style="179" customWidth="1"/>
    <col min="15" max="16384" width="11.421875" style="179" customWidth="1"/>
  </cols>
  <sheetData>
    <row r="1" spans="1:14" ht="11.25">
      <c r="A1" s="268" t="s">
        <v>74</v>
      </c>
      <c r="B1" s="268" t="s">
        <v>102</v>
      </c>
      <c r="C1" s="268" t="s">
        <v>31</v>
      </c>
      <c r="D1" s="268">
        <v>1</v>
      </c>
      <c r="E1" s="268">
        <v>2</v>
      </c>
      <c r="F1" s="268">
        <v>3</v>
      </c>
      <c r="G1" s="268">
        <v>4</v>
      </c>
      <c r="H1" s="268">
        <v>5</v>
      </c>
      <c r="I1" s="268">
        <v>6</v>
      </c>
      <c r="J1" s="268">
        <v>7</v>
      </c>
      <c r="K1" s="268">
        <v>8</v>
      </c>
      <c r="L1" s="268">
        <v>9</v>
      </c>
      <c r="M1" s="268">
        <v>10</v>
      </c>
      <c r="N1" s="268" t="s">
        <v>103</v>
      </c>
    </row>
    <row r="2" spans="1:14" ht="11.2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14" ht="22.5">
      <c r="A3" s="190" t="s">
        <v>87</v>
      </c>
      <c r="B3" s="191">
        <f>+FINANCIAMIENTO!B4</f>
        <v>242000</v>
      </c>
      <c r="C3" s="182">
        <v>10</v>
      </c>
      <c r="D3" s="191">
        <f>B3/10</f>
        <v>24200</v>
      </c>
      <c r="E3" s="191">
        <f aca="true" t="shared" si="0" ref="E3:M4">+D3</f>
        <v>24200</v>
      </c>
      <c r="F3" s="191">
        <f t="shared" si="0"/>
        <v>24200</v>
      </c>
      <c r="G3" s="191">
        <f t="shared" si="0"/>
        <v>24200</v>
      </c>
      <c r="H3" s="191">
        <f t="shared" si="0"/>
        <v>24200</v>
      </c>
      <c r="I3" s="191">
        <f t="shared" si="0"/>
        <v>24200</v>
      </c>
      <c r="J3" s="191">
        <f t="shared" si="0"/>
        <v>24200</v>
      </c>
      <c r="K3" s="191">
        <f t="shared" si="0"/>
        <v>24200</v>
      </c>
      <c r="L3" s="191">
        <f t="shared" si="0"/>
        <v>24200</v>
      </c>
      <c r="M3" s="191">
        <f t="shared" si="0"/>
        <v>24200</v>
      </c>
      <c r="N3" s="181">
        <v>0</v>
      </c>
    </row>
    <row r="4" spans="1:14" ht="22.5">
      <c r="A4" s="190" t="s">
        <v>104</v>
      </c>
      <c r="B4" s="181">
        <f>+'INV. FIJA'!D19-'INV. FIJA'!D12</f>
        <v>700</v>
      </c>
      <c r="C4" s="182">
        <v>10</v>
      </c>
      <c r="D4" s="181">
        <f>B4/C4</f>
        <v>70</v>
      </c>
      <c r="E4" s="181">
        <f t="shared" si="0"/>
        <v>70</v>
      </c>
      <c r="F4" s="181">
        <f t="shared" si="0"/>
        <v>70</v>
      </c>
      <c r="G4" s="181">
        <f t="shared" si="0"/>
        <v>70</v>
      </c>
      <c r="H4" s="181">
        <f t="shared" si="0"/>
        <v>70</v>
      </c>
      <c r="I4" s="181">
        <f t="shared" si="0"/>
        <v>70</v>
      </c>
      <c r="J4" s="181">
        <f t="shared" si="0"/>
        <v>70</v>
      </c>
      <c r="K4" s="181">
        <f t="shared" si="0"/>
        <v>70</v>
      </c>
      <c r="L4" s="181">
        <f t="shared" si="0"/>
        <v>70</v>
      </c>
      <c r="M4" s="181">
        <f t="shared" si="0"/>
        <v>70</v>
      </c>
      <c r="N4" s="181">
        <f>B4-(5*D4)</f>
        <v>350</v>
      </c>
    </row>
    <row r="5" spans="1:14" ht="11.25" customHeight="1">
      <c r="A5" s="190" t="s">
        <v>105</v>
      </c>
      <c r="B5" s="181">
        <f>+'INV. FIJA'!D12</f>
        <v>1300</v>
      </c>
      <c r="C5" s="183">
        <f>100/3</f>
        <v>33.333333333333336</v>
      </c>
      <c r="D5" s="192">
        <f>B5/3</f>
        <v>433.3333333333333</v>
      </c>
      <c r="E5" s="192">
        <f>+D5</f>
        <v>433.3333333333333</v>
      </c>
      <c r="F5" s="192">
        <f>+E5</f>
        <v>433.3333333333333</v>
      </c>
      <c r="G5" s="180">
        <v>0</v>
      </c>
      <c r="H5" s="180">
        <v>0</v>
      </c>
      <c r="I5" s="180">
        <v>0</v>
      </c>
      <c r="J5" s="180">
        <v>0</v>
      </c>
      <c r="K5" s="180">
        <v>0</v>
      </c>
      <c r="L5" s="180">
        <v>0</v>
      </c>
      <c r="M5" s="180">
        <v>0</v>
      </c>
      <c r="N5" s="180">
        <v>0</v>
      </c>
    </row>
    <row r="6" spans="1:14" ht="11.25">
      <c r="A6" s="190" t="s">
        <v>106</v>
      </c>
      <c r="B6" s="181">
        <f>+'INV. FIJA'!F27</f>
        <v>2000</v>
      </c>
      <c r="C6" s="182">
        <v>10</v>
      </c>
      <c r="D6" s="181">
        <f>B6/C6</f>
        <v>200</v>
      </c>
      <c r="E6" s="181">
        <f>+D6</f>
        <v>200</v>
      </c>
      <c r="F6" s="181">
        <f aca="true" t="shared" si="1" ref="F6:M7">+E6</f>
        <v>200</v>
      </c>
      <c r="G6" s="181">
        <f t="shared" si="1"/>
        <v>200</v>
      </c>
      <c r="H6" s="181">
        <f t="shared" si="1"/>
        <v>200</v>
      </c>
      <c r="I6" s="181">
        <f t="shared" si="1"/>
        <v>200</v>
      </c>
      <c r="J6" s="181">
        <f t="shared" si="1"/>
        <v>200</v>
      </c>
      <c r="K6" s="181">
        <f t="shared" si="1"/>
        <v>200</v>
      </c>
      <c r="L6" s="181">
        <f t="shared" si="1"/>
        <v>200</v>
      </c>
      <c r="M6" s="181">
        <f t="shared" si="1"/>
        <v>200</v>
      </c>
      <c r="N6" s="181">
        <f>B6-(5*D6)</f>
        <v>1000</v>
      </c>
    </row>
    <row r="7" spans="1:14" ht="22.5">
      <c r="A7" s="190" t="s">
        <v>107</v>
      </c>
      <c r="B7" s="181">
        <f>+'INV. DIFERIDA'!C6</f>
        <v>1900</v>
      </c>
      <c r="C7" s="182">
        <v>20</v>
      </c>
      <c r="D7" s="181">
        <f>B7/5</f>
        <v>380</v>
      </c>
      <c r="E7" s="181">
        <f>+D7</f>
        <v>380</v>
      </c>
      <c r="F7" s="181">
        <f t="shared" si="1"/>
        <v>380</v>
      </c>
      <c r="G7" s="181">
        <f t="shared" si="1"/>
        <v>380</v>
      </c>
      <c r="H7" s="181">
        <f t="shared" si="1"/>
        <v>380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0">
        <v>0</v>
      </c>
    </row>
    <row r="8" spans="1:14" ht="11.2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5"/>
    </row>
    <row r="9" spans="1:14" ht="11.25">
      <c r="A9" s="186" t="s">
        <v>108</v>
      </c>
      <c r="B9" s="187"/>
      <c r="C9" s="187"/>
      <c r="D9" s="188">
        <f aca="true" t="shared" si="2" ref="D9:N9">SUM(D3:D8)</f>
        <v>25283.333333333332</v>
      </c>
      <c r="E9" s="188">
        <f t="shared" si="2"/>
        <v>25283.333333333332</v>
      </c>
      <c r="F9" s="188">
        <f t="shared" si="2"/>
        <v>25283.333333333332</v>
      </c>
      <c r="G9" s="188">
        <f t="shared" si="2"/>
        <v>24850</v>
      </c>
      <c r="H9" s="188">
        <f t="shared" si="2"/>
        <v>24850</v>
      </c>
      <c r="I9" s="188">
        <f>SUM(I3:I8)</f>
        <v>24470</v>
      </c>
      <c r="J9" s="188">
        <f>SUM(J3:J8)</f>
        <v>24470</v>
      </c>
      <c r="K9" s="188">
        <f>SUM(K3:K8)</f>
        <v>24470</v>
      </c>
      <c r="L9" s="188">
        <f>SUM(L3:L8)</f>
        <v>24470</v>
      </c>
      <c r="M9" s="188">
        <f>SUM(M3:M8)</f>
        <v>24470</v>
      </c>
      <c r="N9" s="189">
        <f t="shared" si="2"/>
        <v>1350</v>
      </c>
    </row>
  </sheetData>
  <sheetProtection/>
  <mergeCells count="14">
    <mergeCell ref="A1:A2"/>
    <mergeCell ref="B1:B2"/>
    <mergeCell ref="C1:C2"/>
    <mergeCell ref="D1:D2"/>
    <mergeCell ref="N1:N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printOptions/>
  <pageMargins left="0.75" right="0.75" top="1" bottom="1" header="0" footer="0"/>
  <pageSetup horizontalDpi="300" verticalDpi="300" orientation="portrait" r:id="rId1"/>
  <ignoredErrors>
    <ignoredError sqref="D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A16" sqref="A16:E25"/>
    </sheetView>
  </sheetViews>
  <sheetFormatPr defaultColWidth="11.421875" defaultRowHeight="12.75"/>
  <cols>
    <col min="1" max="1" width="22.57421875" style="0" bestFit="1" customWidth="1"/>
    <col min="2" max="2" width="11.140625" style="0" bestFit="1" customWidth="1"/>
    <col min="3" max="3" width="8.140625" style="0" bestFit="1" customWidth="1"/>
    <col min="4" max="4" width="14.7109375" style="0" bestFit="1" customWidth="1"/>
    <col min="5" max="5" width="11.140625" style="0" bestFit="1" customWidth="1"/>
  </cols>
  <sheetData>
    <row r="2" ht="13.5" thickBot="1">
      <c r="A2" s="85" t="s">
        <v>129</v>
      </c>
    </row>
    <row r="3" spans="2:6" ht="12.75">
      <c r="B3" s="103"/>
      <c r="C3" s="104" t="s">
        <v>149</v>
      </c>
      <c r="D3" s="104" t="s">
        <v>150</v>
      </c>
      <c r="E3" s="105" t="s">
        <v>151</v>
      </c>
      <c r="F3" s="1"/>
    </row>
    <row r="4" spans="1:5" ht="12.75">
      <c r="A4" t="s">
        <v>191</v>
      </c>
      <c r="B4" s="89" t="s">
        <v>146</v>
      </c>
      <c r="C4" s="69">
        <v>160</v>
      </c>
      <c r="D4" s="69">
        <f>C4*4</f>
        <v>640</v>
      </c>
      <c r="E4" s="130">
        <f>D4*52</f>
        <v>33280</v>
      </c>
    </row>
    <row r="5" spans="2:5" ht="12.75">
      <c r="B5" s="89" t="s">
        <v>147</v>
      </c>
      <c r="C5" s="69">
        <v>180</v>
      </c>
      <c r="D5" s="69">
        <f>C5*4</f>
        <v>720</v>
      </c>
      <c r="E5" s="130">
        <f>D5*52</f>
        <v>37440</v>
      </c>
    </row>
    <row r="6" spans="2:5" ht="12.75">
      <c r="B6" s="89" t="s">
        <v>148</v>
      </c>
      <c r="C6" s="69">
        <v>140</v>
      </c>
      <c r="D6" s="69">
        <f>C6*4</f>
        <v>560</v>
      </c>
      <c r="E6" s="130">
        <f>D6*52</f>
        <v>29120</v>
      </c>
    </row>
    <row r="7" spans="2:5" ht="12.75">
      <c r="B7" s="89"/>
      <c r="C7" s="72"/>
      <c r="D7" s="72"/>
      <c r="E7" s="131"/>
    </row>
    <row r="8" spans="2:5" ht="13.5" thickBot="1">
      <c r="B8" s="122"/>
      <c r="C8" s="136"/>
      <c r="D8" s="134" t="s">
        <v>91</v>
      </c>
      <c r="E8" s="132">
        <f>SUM(E4:E7)</f>
        <v>99840</v>
      </c>
    </row>
    <row r="11" spans="4:5" ht="12.75">
      <c r="D11" s="62" t="s">
        <v>152</v>
      </c>
      <c r="E11" s="64">
        <f>+E8</f>
        <v>99840</v>
      </c>
    </row>
    <row r="14" ht="12.75">
      <c r="A14" s="85" t="s">
        <v>137</v>
      </c>
    </row>
    <row r="15" ht="13.5" thickBot="1">
      <c r="A15" s="85"/>
    </row>
    <row r="16" spans="1:5" ht="15" customHeight="1">
      <c r="A16" s="270" t="s">
        <v>74</v>
      </c>
      <c r="B16" s="272" t="s">
        <v>65</v>
      </c>
      <c r="C16" s="133" t="s">
        <v>192</v>
      </c>
      <c r="D16" s="133" t="s">
        <v>192</v>
      </c>
      <c r="E16" s="129" t="s">
        <v>192</v>
      </c>
    </row>
    <row r="17" spans="1:5" ht="15" customHeight="1">
      <c r="A17" s="271"/>
      <c r="B17" s="264"/>
      <c r="C17" s="76" t="s">
        <v>193</v>
      </c>
      <c r="D17" s="76" t="s">
        <v>194</v>
      </c>
      <c r="E17" s="137" t="s">
        <v>195</v>
      </c>
    </row>
    <row r="18" spans="1:5" ht="15" customHeight="1">
      <c r="A18" s="167" t="s">
        <v>196</v>
      </c>
      <c r="B18" s="49">
        <v>3</v>
      </c>
      <c r="C18" s="169">
        <v>400</v>
      </c>
      <c r="D18" s="169">
        <f>B18*C18</f>
        <v>1200</v>
      </c>
      <c r="E18" s="169">
        <f>D18*12</f>
        <v>14400</v>
      </c>
    </row>
    <row r="19" spans="1:5" ht="15" customHeight="1">
      <c r="A19" s="167" t="s">
        <v>153</v>
      </c>
      <c r="B19" s="49">
        <v>3</v>
      </c>
      <c r="C19" s="169">
        <v>6</v>
      </c>
      <c r="D19" s="169">
        <f>B19*C19*4*4</f>
        <v>288</v>
      </c>
      <c r="E19" s="169">
        <f>D19*12</f>
        <v>3456</v>
      </c>
    </row>
    <row r="20" spans="1:5" ht="15" customHeight="1">
      <c r="A20" s="167" t="s">
        <v>154</v>
      </c>
      <c r="B20" s="49">
        <v>3</v>
      </c>
      <c r="C20" s="169">
        <v>25</v>
      </c>
      <c r="D20" s="169">
        <f>B20*C20*4</f>
        <v>300</v>
      </c>
      <c r="E20" s="169">
        <f>D20*12</f>
        <v>3600</v>
      </c>
    </row>
    <row r="21" spans="1:5" ht="15" customHeight="1">
      <c r="A21" s="167" t="s">
        <v>197</v>
      </c>
      <c r="B21" s="49"/>
      <c r="C21" s="167"/>
      <c r="D21" s="167"/>
      <c r="E21" s="169">
        <f>0.03*('INV. FIJA'!D7-'DEP Y AMORT.'!D3)</f>
        <v>6534</v>
      </c>
    </row>
    <row r="22" spans="1:5" ht="15" customHeight="1">
      <c r="A22" s="167" t="s">
        <v>155</v>
      </c>
      <c r="B22" s="49">
        <v>3</v>
      </c>
      <c r="C22" s="169">
        <v>100</v>
      </c>
      <c r="D22" s="169">
        <f>B22*C22</f>
        <v>300</v>
      </c>
      <c r="E22" s="169">
        <f>D22*12</f>
        <v>3600</v>
      </c>
    </row>
    <row r="23" spans="1:5" ht="15" customHeight="1">
      <c r="A23" s="167" t="s">
        <v>198</v>
      </c>
      <c r="B23" s="49"/>
      <c r="C23" s="167"/>
      <c r="D23" s="169">
        <f>400+250</f>
        <v>650</v>
      </c>
      <c r="E23" s="169">
        <f>D23*12</f>
        <v>7800</v>
      </c>
    </row>
    <row r="24" spans="1:5" ht="15" customHeight="1">
      <c r="A24" s="89"/>
      <c r="B24" s="72"/>
      <c r="C24" s="72"/>
      <c r="D24" s="72"/>
      <c r="E24" s="131"/>
    </row>
    <row r="25" spans="1:5" ht="15" customHeight="1" thickBot="1">
      <c r="A25" s="122"/>
      <c r="B25" s="136"/>
      <c r="C25" s="136"/>
      <c r="D25" s="134" t="s">
        <v>73</v>
      </c>
      <c r="E25" s="132">
        <f>SUM(E18:E23)</f>
        <v>39390</v>
      </c>
    </row>
  </sheetData>
  <sheetProtection/>
  <mergeCells count="2">
    <mergeCell ref="A16:A17"/>
    <mergeCell ref="B16:B17"/>
  </mergeCells>
  <printOptions/>
  <pageMargins left="0.75" right="0.75" top="1" bottom="1" header="0" footer="0"/>
  <pageSetup horizontalDpi="300" verticalDpi="300" orientation="portrait" r:id="rId1"/>
  <ignoredErrors>
    <ignoredError sqref="D19 E2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1">
      <selection activeCell="C31" sqref="C31"/>
    </sheetView>
  </sheetViews>
  <sheetFormatPr defaultColWidth="11.421875" defaultRowHeight="12.75"/>
  <cols>
    <col min="1" max="1" width="13.421875" style="0" bestFit="1" customWidth="1"/>
    <col min="3" max="3" width="12.7109375" style="0" bestFit="1" customWidth="1"/>
    <col min="4" max="4" width="28.7109375" style="0" bestFit="1" customWidth="1"/>
  </cols>
  <sheetData>
    <row r="2" ht="12.75">
      <c r="A2" s="85" t="s">
        <v>129</v>
      </c>
    </row>
    <row r="4" spans="1:4" ht="12.75">
      <c r="A4" t="s">
        <v>130</v>
      </c>
      <c r="B4" t="s">
        <v>131</v>
      </c>
      <c r="C4" s="46">
        <f>3*650</f>
        <v>1950</v>
      </c>
      <c r="D4" t="s">
        <v>132</v>
      </c>
    </row>
    <row r="5" spans="3:4" ht="12.75">
      <c r="C5" s="46">
        <f>C4*4</f>
        <v>7800</v>
      </c>
      <c r="D5" t="s">
        <v>133</v>
      </c>
    </row>
    <row r="6" spans="3:4" ht="12.75">
      <c r="C6" s="46">
        <f>C5*52</f>
        <v>405600</v>
      </c>
      <c r="D6" t="s">
        <v>134</v>
      </c>
    </row>
    <row r="8" spans="3:4" ht="12.75">
      <c r="C8" s="63">
        <v>0.36</v>
      </c>
      <c r="D8" t="s">
        <v>213</v>
      </c>
    </row>
    <row r="10" spans="3:4" ht="12.75">
      <c r="C10" s="64">
        <f>C6*C8</f>
        <v>146016</v>
      </c>
      <c r="D10" t="s">
        <v>136</v>
      </c>
    </row>
    <row r="13" ht="12.75">
      <c r="A13" s="85" t="s">
        <v>137</v>
      </c>
    </row>
    <row r="15" spans="1:2" ht="12.75">
      <c r="A15" t="s">
        <v>138</v>
      </c>
      <c r="B15" t="s">
        <v>131</v>
      </c>
    </row>
    <row r="16" spans="1:2" ht="12.75">
      <c r="A16" t="s">
        <v>138</v>
      </c>
      <c r="B16" t="s">
        <v>139</v>
      </c>
    </row>
    <row r="17" spans="1:2" ht="12.75">
      <c r="A17" t="s">
        <v>138</v>
      </c>
      <c r="B17" t="s">
        <v>139</v>
      </c>
    </row>
    <row r="19" spans="3:4" ht="12.75">
      <c r="C19" s="46">
        <f>650+1200+1200</f>
        <v>3050</v>
      </c>
      <c r="D19" t="s">
        <v>132</v>
      </c>
    </row>
    <row r="20" spans="3:4" ht="12.75">
      <c r="C20" s="46">
        <f>C19*4</f>
        <v>12200</v>
      </c>
      <c r="D20" t="s">
        <v>133</v>
      </c>
    </row>
    <row r="21" spans="3:4" ht="12.75">
      <c r="C21" s="46">
        <f>C20*52</f>
        <v>634400</v>
      </c>
      <c r="D21" t="s">
        <v>134</v>
      </c>
    </row>
    <row r="23" spans="3:4" ht="12.75">
      <c r="C23" s="63">
        <f>+C8</f>
        <v>0.36</v>
      </c>
      <c r="D23" t="s">
        <v>135</v>
      </c>
    </row>
    <row r="25" spans="3:4" ht="12.75">
      <c r="C25" s="64">
        <f>C23*C21</f>
        <v>228384</v>
      </c>
      <c r="D25" t="s">
        <v>140</v>
      </c>
    </row>
    <row r="28" spans="3:4" ht="12.75">
      <c r="C28" s="61">
        <f>C25-C10</f>
        <v>82368</v>
      </c>
      <c r="D28" s="1" t="s">
        <v>141</v>
      </c>
    </row>
    <row r="29" spans="3:4" ht="12.75">
      <c r="C29" s="46">
        <f>C21-C6</f>
        <v>228800</v>
      </c>
      <c r="D29" t="s">
        <v>142</v>
      </c>
    </row>
    <row r="30" spans="3:4" ht="12.75">
      <c r="C30" s="63">
        <v>0.02</v>
      </c>
      <c r="D30" t="s">
        <v>143</v>
      </c>
    </row>
    <row r="31" spans="3:4" ht="12.75">
      <c r="C31" s="63">
        <f>C29*C30</f>
        <v>4576</v>
      </c>
      <c r="D31" t="s">
        <v>144</v>
      </c>
    </row>
    <row r="33" spans="3:4" ht="12.75">
      <c r="C33" s="86">
        <f>C28+C31</f>
        <v>86944</v>
      </c>
      <c r="D33" s="87" t="s">
        <v>145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20"/>
    </sheetView>
  </sheetViews>
  <sheetFormatPr defaultColWidth="11.421875" defaultRowHeight="12.75"/>
  <cols>
    <col min="1" max="1" width="14.28125" style="197" customWidth="1"/>
    <col min="2" max="11" width="7.57421875" style="197" bestFit="1" customWidth="1"/>
    <col min="12" max="16384" width="11.421875" style="197" customWidth="1"/>
  </cols>
  <sheetData>
    <row r="1" spans="1:11" ht="11.25">
      <c r="A1" s="194"/>
      <c r="B1" s="195">
        <v>1</v>
      </c>
      <c r="C1" s="195">
        <v>2</v>
      </c>
      <c r="D1" s="195">
        <v>3</v>
      </c>
      <c r="E1" s="195">
        <v>4</v>
      </c>
      <c r="F1" s="195">
        <v>5</v>
      </c>
      <c r="G1" s="195">
        <v>6</v>
      </c>
      <c r="H1" s="195">
        <v>7</v>
      </c>
      <c r="I1" s="195">
        <v>8</v>
      </c>
      <c r="J1" s="195">
        <v>9</v>
      </c>
      <c r="K1" s="196">
        <v>10</v>
      </c>
    </row>
    <row r="2" spans="1:11" ht="11.25">
      <c r="A2" s="198" t="s">
        <v>177</v>
      </c>
      <c r="B2" s="199">
        <f>+'FC1'!C2</f>
        <v>86944</v>
      </c>
      <c r="C2" s="199">
        <f>+'FC1'!D2</f>
        <v>86944</v>
      </c>
      <c r="D2" s="199">
        <f>+'FC1'!E2</f>
        <v>86944</v>
      </c>
      <c r="E2" s="199">
        <f>+'FC1'!F2</f>
        <v>86944</v>
      </c>
      <c r="F2" s="199">
        <f>+'FC1'!G2</f>
        <v>86944</v>
      </c>
      <c r="G2" s="199">
        <f>+'FC1'!H2</f>
        <v>86944</v>
      </c>
      <c r="H2" s="199">
        <f>+'FC1'!I2</f>
        <v>86944</v>
      </c>
      <c r="I2" s="199">
        <f>+'FC1'!J2</f>
        <v>86944</v>
      </c>
      <c r="J2" s="199">
        <f>+'FC1'!K2</f>
        <v>86944</v>
      </c>
      <c r="K2" s="200">
        <f>+'FC1'!L2</f>
        <v>86944</v>
      </c>
    </row>
    <row r="3" spans="1:11" ht="11.25">
      <c r="A3" s="198" t="s">
        <v>184</v>
      </c>
      <c r="B3" s="199">
        <f>-'FC1'!C3-'FC1'!C4-'FC1'!C5-'FC1'!C6-'FC1'!C7</f>
        <v>31590</v>
      </c>
      <c r="C3" s="199">
        <f>-'FC1'!D3-'FC1'!D4-'FC1'!D5-'FC1'!D6-'FC1'!D7</f>
        <v>31590</v>
      </c>
      <c r="D3" s="199">
        <f>-'FC1'!E3-'FC1'!E4-'FC1'!E5-'FC1'!E6-'FC1'!E7</f>
        <v>31590</v>
      </c>
      <c r="E3" s="199">
        <f>-'FC1'!F3-'FC1'!F4-'FC1'!F5-'FC1'!F6-'FC1'!F7</f>
        <v>31590</v>
      </c>
      <c r="F3" s="199">
        <f>-'FC1'!G3-'FC1'!G4-'FC1'!G5-'FC1'!G6-'FC1'!G7</f>
        <v>31590</v>
      </c>
      <c r="G3" s="199">
        <f>-'FC1'!H3-'FC1'!H4-'FC1'!H5-'FC1'!H6-'FC1'!H7</f>
        <v>31590</v>
      </c>
      <c r="H3" s="199">
        <f>-'FC1'!I3-'FC1'!I4-'FC1'!I5-'FC1'!I6-'FC1'!I7</f>
        <v>31590</v>
      </c>
      <c r="I3" s="199">
        <f>-'FC1'!J3-'FC1'!J4-'FC1'!J5-'FC1'!J6-'FC1'!J7</f>
        <v>31590</v>
      </c>
      <c r="J3" s="199">
        <f>-'FC1'!K3-'FC1'!K4-'FC1'!K5-'FC1'!K6-'FC1'!K7</f>
        <v>31590</v>
      </c>
      <c r="K3" s="200">
        <f>-'FC1'!L3-'FC1'!L4-'FC1'!L5-'FC1'!L6-'FC1'!L7</f>
        <v>31590</v>
      </c>
    </row>
    <row r="4" spans="1:11" ht="11.25">
      <c r="A4" s="201"/>
      <c r="B4" s="202"/>
      <c r="C4" s="202"/>
      <c r="D4" s="202"/>
      <c r="E4" s="202"/>
      <c r="F4" s="202"/>
      <c r="G4" s="203"/>
      <c r="H4" s="203"/>
      <c r="I4" s="203"/>
      <c r="J4" s="203"/>
      <c r="K4" s="204"/>
    </row>
    <row r="5" spans="1:11" ht="11.25">
      <c r="A5" s="205" t="s">
        <v>178</v>
      </c>
      <c r="B5" s="206">
        <f aca="true" t="shared" si="0" ref="B5:K5">B2-B3</f>
        <v>55354</v>
      </c>
      <c r="C5" s="206">
        <f t="shared" si="0"/>
        <v>55354</v>
      </c>
      <c r="D5" s="206">
        <f t="shared" si="0"/>
        <v>55354</v>
      </c>
      <c r="E5" s="206">
        <f t="shared" si="0"/>
        <v>55354</v>
      </c>
      <c r="F5" s="206">
        <f t="shared" si="0"/>
        <v>55354</v>
      </c>
      <c r="G5" s="206">
        <f t="shared" si="0"/>
        <v>55354</v>
      </c>
      <c r="H5" s="206">
        <f t="shared" si="0"/>
        <v>55354</v>
      </c>
      <c r="I5" s="206">
        <f t="shared" si="0"/>
        <v>55354</v>
      </c>
      <c r="J5" s="206">
        <f t="shared" si="0"/>
        <v>55354</v>
      </c>
      <c r="K5" s="200">
        <f t="shared" si="0"/>
        <v>55354</v>
      </c>
    </row>
    <row r="6" spans="1:11" ht="11.25">
      <c r="A6" s="201"/>
      <c r="B6" s="202"/>
      <c r="C6" s="202"/>
      <c r="D6" s="202"/>
      <c r="E6" s="202"/>
      <c r="F6" s="202"/>
      <c r="G6" s="203"/>
      <c r="H6" s="203"/>
      <c r="I6" s="203"/>
      <c r="J6" s="203"/>
      <c r="K6" s="204"/>
    </row>
    <row r="7" spans="1:11" ht="22.5">
      <c r="A7" s="198" t="s">
        <v>185</v>
      </c>
      <c r="B7" s="199">
        <f>-'FC1'!C8</f>
        <v>7800</v>
      </c>
      <c r="C7" s="199">
        <f>-'FC1'!D8</f>
        <v>7800</v>
      </c>
      <c r="D7" s="199">
        <f>-'FC1'!E8</f>
        <v>7800</v>
      </c>
      <c r="E7" s="199">
        <f>-'FC1'!F8</f>
        <v>7800</v>
      </c>
      <c r="F7" s="199">
        <f>-'FC1'!G8</f>
        <v>7800</v>
      </c>
      <c r="G7" s="199">
        <f>-'FC1'!H8</f>
        <v>7800</v>
      </c>
      <c r="H7" s="199">
        <f>-'FC1'!I8</f>
        <v>7800</v>
      </c>
      <c r="I7" s="199">
        <f>-'FC1'!J8</f>
        <v>7800</v>
      </c>
      <c r="J7" s="199">
        <f>-'FC1'!K8</f>
        <v>7800</v>
      </c>
      <c r="K7" s="200">
        <f>-'FC1'!L8</f>
        <v>7800</v>
      </c>
    </row>
    <row r="8" spans="1:11" ht="22.5">
      <c r="A8" s="198" t="s">
        <v>186</v>
      </c>
      <c r="B8" s="199">
        <f>-'FC1'!C11</f>
        <v>13064.094757337845</v>
      </c>
      <c r="C8" s="199">
        <f>-'FC1'!D11</f>
        <v>10690.070873981751</v>
      </c>
      <c r="D8" s="199">
        <f>-'FC1'!E11</f>
        <v>8086.170899423194</v>
      </c>
      <c r="E8" s="199">
        <f>-'FC1'!F11</f>
        <v>5230.135993859844</v>
      </c>
      <c r="F8" s="199">
        <f>-'FC1'!G11</f>
        <v>2097.5520000452966</v>
      </c>
      <c r="G8" s="207">
        <v>0</v>
      </c>
      <c r="H8" s="207">
        <v>0</v>
      </c>
      <c r="I8" s="207">
        <v>0</v>
      </c>
      <c r="J8" s="207">
        <v>0</v>
      </c>
      <c r="K8" s="208">
        <v>0</v>
      </c>
    </row>
    <row r="9" spans="1:11" ht="22.5">
      <c r="A9" s="198" t="s">
        <v>187</v>
      </c>
      <c r="B9" s="199">
        <f>-'FC1'!C9-'FC1'!C10</f>
        <v>25283.333333333332</v>
      </c>
      <c r="C9" s="199">
        <f>-'FC1'!D9-'FC1'!D10</f>
        <v>25283.333333333332</v>
      </c>
      <c r="D9" s="199">
        <f>-'FC1'!E9-'FC1'!E10</f>
        <v>25283.333333333332</v>
      </c>
      <c r="E9" s="199">
        <f>-'FC1'!F9-'FC1'!F10</f>
        <v>24850</v>
      </c>
      <c r="F9" s="199">
        <f>-'FC1'!G9-'FC1'!G10</f>
        <v>24850</v>
      </c>
      <c r="G9" s="199">
        <f>-'FC1'!H9-'FC1'!H10</f>
        <v>24470</v>
      </c>
      <c r="H9" s="199">
        <f>-'FC1'!I9-'FC1'!I10</f>
        <v>24470</v>
      </c>
      <c r="I9" s="199">
        <f>-'FC1'!J9-'FC1'!J10</f>
        <v>24470</v>
      </c>
      <c r="J9" s="199">
        <f>-'FC1'!K9-'FC1'!K10</f>
        <v>24470</v>
      </c>
      <c r="K9" s="200">
        <f>-'FC1'!L9-'FC1'!L10</f>
        <v>24470</v>
      </c>
    </row>
    <row r="10" spans="1:11" ht="11.25">
      <c r="A10" s="201"/>
      <c r="B10" s="202"/>
      <c r="C10" s="202"/>
      <c r="D10" s="202"/>
      <c r="E10" s="202"/>
      <c r="F10" s="202"/>
      <c r="G10" s="203"/>
      <c r="H10" s="203"/>
      <c r="I10" s="203"/>
      <c r="J10" s="203"/>
      <c r="K10" s="204"/>
    </row>
    <row r="11" spans="1:11" ht="22.5">
      <c r="A11" s="198" t="s">
        <v>179</v>
      </c>
      <c r="B11" s="199">
        <f aca="true" t="shared" si="1" ref="B11:K11">B5-B7-B8-B9</f>
        <v>9206.571909328824</v>
      </c>
      <c r="C11" s="199">
        <f t="shared" si="1"/>
        <v>11580.595792684919</v>
      </c>
      <c r="D11" s="199">
        <f t="shared" si="1"/>
        <v>14184.495767243472</v>
      </c>
      <c r="E11" s="199">
        <f t="shared" si="1"/>
        <v>17473.864006140153</v>
      </c>
      <c r="F11" s="199">
        <f t="shared" si="1"/>
        <v>20606.447999954704</v>
      </c>
      <c r="G11" s="199">
        <f t="shared" si="1"/>
        <v>23084</v>
      </c>
      <c r="H11" s="199">
        <f t="shared" si="1"/>
        <v>23084</v>
      </c>
      <c r="I11" s="199">
        <f t="shared" si="1"/>
        <v>23084</v>
      </c>
      <c r="J11" s="199">
        <f t="shared" si="1"/>
        <v>23084</v>
      </c>
      <c r="K11" s="200">
        <f t="shared" si="1"/>
        <v>23084</v>
      </c>
    </row>
    <row r="12" spans="1:11" ht="33.75">
      <c r="A12" s="198" t="s">
        <v>188</v>
      </c>
      <c r="B12" s="199">
        <f aca="true" t="shared" si="2" ref="B12:K12">0.15*B11</f>
        <v>1380.9857863993236</v>
      </c>
      <c r="C12" s="199">
        <f t="shared" si="2"/>
        <v>1737.0893689027378</v>
      </c>
      <c r="D12" s="199">
        <f t="shared" si="2"/>
        <v>2127.6743650865205</v>
      </c>
      <c r="E12" s="199">
        <f t="shared" si="2"/>
        <v>2621.079600921023</v>
      </c>
      <c r="F12" s="199">
        <f t="shared" si="2"/>
        <v>3090.9671999932057</v>
      </c>
      <c r="G12" s="199">
        <f t="shared" si="2"/>
        <v>3462.6</v>
      </c>
      <c r="H12" s="199">
        <f t="shared" si="2"/>
        <v>3462.6</v>
      </c>
      <c r="I12" s="199">
        <f t="shared" si="2"/>
        <v>3462.6</v>
      </c>
      <c r="J12" s="199">
        <f t="shared" si="2"/>
        <v>3462.6</v>
      </c>
      <c r="K12" s="200">
        <f t="shared" si="2"/>
        <v>3462.6</v>
      </c>
    </row>
    <row r="13" spans="1:11" ht="22.5">
      <c r="A13" s="198" t="s">
        <v>181</v>
      </c>
      <c r="B13" s="199">
        <f aca="true" t="shared" si="3" ref="B13:K13">B11-B12</f>
        <v>7825.586122929501</v>
      </c>
      <c r="C13" s="199">
        <f t="shared" si="3"/>
        <v>9843.50642378218</v>
      </c>
      <c r="D13" s="199">
        <f t="shared" si="3"/>
        <v>12056.821402156951</v>
      </c>
      <c r="E13" s="199">
        <f t="shared" si="3"/>
        <v>14852.78440521913</v>
      </c>
      <c r="F13" s="199">
        <f t="shared" si="3"/>
        <v>17515.480799961497</v>
      </c>
      <c r="G13" s="199">
        <f t="shared" si="3"/>
        <v>19621.4</v>
      </c>
      <c r="H13" s="199">
        <f t="shared" si="3"/>
        <v>19621.4</v>
      </c>
      <c r="I13" s="199">
        <f t="shared" si="3"/>
        <v>19621.4</v>
      </c>
      <c r="J13" s="199">
        <f t="shared" si="3"/>
        <v>19621.4</v>
      </c>
      <c r="K13" s="200">
        <f t="shared" si="3"/>
        <v>19621.4</v>
      </c>
    </row>
    <row r="14" spans="1:11" ht="22.5">
      <c r="A14" s="198" t="s">
        <v>189</v>
      </c>
      <c r="B14" s="199">
        <f aca="true" t="shared" si="4" ref="B14:K14">0.25*B13</f>
        <v>1956.3965307323751</v>
      </c>
      <c r="C14" s="199">
        <f t="shared" si="4"/>
        <v>2460.876605945545</v>
      </c>
      <c r="D14" s="199">
        <f t="shared" si="4"/>
        <v>3014.2053505392378</v>
      </c>
      <c r="E14" s="199">
        <f t="shared" si="4"/>
        <v>3713.1961013047826</v>
      </c>
      <c r="F14" s="199">
        <f t="shared" si="4"/>
        <v>4378.870199990374</v>
      </c>
      <c r="G14" s="199">
        <f t="shared" si="4"/>
        <v>4905.35</v>
      </c>
      <c r="H14" s="199">
        <f t="shared" si="4"/>
        <v>4905.35</v>
      </c>
      <c r="I14" s="199">
        <f t="shared" si="4"/>
        <v>4905.35</v>
      </c>
      <c r="J14" s="199">
        <f t="shared" si="4"/>
        <v>4905.35</v>
      </c>
      <c r="K14" s="200">
        <f t="shared" si="4"/>
        <v>4905.35</v>
      </c>
    </row>
    <row r="15" spans="1:11" ht="11.25">
      <c r="A15" s="201"/>
      <c r="B15" s="202"/>
      <c r="C15" s="202"/>
      <c r="D15" s="202"/>
      <c r="E15" s="202"/>
      <c r="F15" s="202"/>
      <c r="G15" s="203"/>
      <c r="H15" s="203"/>
      <c r="I15" s="203"/>
      <c r="J15" s="203"/>
      <c r="K15" s="204"/>
    </row>
    <row r="16" spans="1:11" ht="11.25">
      <c r="A16" s="209" t="s">
        <v>176</v>
      </c>
      <c r="B16" s="210">
        <f aca="true" t="shared" si="5" ref="B16:K16">B13-B14</f>
        <v>5869.189592197125</v>
      </c>
      <c r="C16" s="210">
        <f t="shared" si="5"/>
        <v>7382.629817836636</v>
      </c>
      <c r="D16" s="210">
        <f t="shared" si="5"/>
        <v>9042.616051617713</v>
      </c>
      <c r="E16" s="210">
        <f t="shared" si="5"/>
        <v>11139.588303914348</v>
      </c>
      <c r="F16" s="210">
        <f t="shared" si="5"/>
        <v>13136.610599971122</v>
      </c>
      <c r="G16" s="210">
        <f t="shared" si="5"/>
        <v>14716.050000000001</v>
      </c>
      <c r="H16" s="210">
        <f t="shared" si="5"/>
        <v>14716.050000000001</v>
      </c>
      <c r="I16" s="210">
        <f t="shared" si="5"/>
        <v>14716.050000000001</v>
      </c>
      <c r="J16" s="210">
        <f t="shared" si="5"/>
        <v>14716.050000000001</v>
      </c>
      <c r="K16" s="211">
        <f t="shared" si="5"/>
        <v>14716.050000000001</v>
      </c>
    </row>
    <row r="17" spans="1:11" ht="11.25">
      <c r="A17" s="201"/>
      <c r="B17" s="202"/>
      <c r="C17" s="202"/>
      <c r="D17" s="202"/>
      <c r="E17" s="202"/>
      <c r="F17" s="202"/>
      <c r="G17" s="203"/>
      <c r="H17" s="203"/>
      <c r="I17" s="203"/>
      <c r="J17" s="203"/>
      <c r="K17" s="204"/>
    </row>
    <row r="18" spans="1:11" ht="22.5">
      <c r="A18" s="198" t="s">
        <v>190</v>
      </c>
      <c r="B18" s="199">
        <f aca="true" t="shared" si="6" ref="B18:K18">0.1*B16</f>
        <v>586.9189592197125</v>
      </c>
      <c r="C18" s="199">
        <f t="shared" si="6"/>
        <v>738.2629817836637</v>
      </c>
      <c r="D18" s="199">
        <f t="shared" si="6"/>
        <v>904.2616051617714</v>
      </c>
      <c r="E18" s="199">
        <f t="shared" si="6"/>
        <v>1113.958830391435</v>
      </c>
      <c r="F18" s="199">
        <f t="shared" si="6"/>
        <v>1313.6610599971123</v>
      </c>
      <c r="G18" s="199">
        <f t="shared" si="6"/>
        <v>1471.6050000000002</v>
      </c>
      <c r="H18" s="199">
        <f t="shared" si="6"/>
        <v>1471.6050000000002</v>
      </c>
      <c r="I18" s="199">
        <f t="shared" si="6"/>
        <v>1471.6050000000002</v>
      </c>
      <c r="J18" s="199">
        <f t="shared" si="6"/>
        <v>1471.6050000000002</v>
      </c>
      <c r="K18" s="200">
        <f t="shared" si="6"/>
        <v>1471.6050000000002</v>
      </c>
    </row>
    <row r="19" spans="1:11" ht="22.5">
      <c r="A19" s="198" t="s">
        <v>182</v>
      </c>
      <c r="B19" s="199">
        <f aca="true" t="shared" si="7" ref="B19:K19">B16-B18</f>
        <v>5282.270632977413</v>
      </c>
      <c r="C19" s="199">
        <f t="shared" si="7"/>
        <v>6644.366836052972</v>
      </c>
      <c r="D19" s="199">
        <f t="shared" si="7"/>
        <v>8138.354446455942</v>
      </c>
      <c r="E19" s="199">
        <f t="shared" si="7"/>
        <v>10025.629473522913</v>
      </c>
      <c r="F19" s="199">
        <f t="shared" si="7"/>
        <v>11822.94953997401</v>
      </c>
      <c r="G19" s="199">
        <f t="shared" si="7"/>
        <v>13244.445000000002</v>
      </c>
      <c r="H19" s="199">
        <f t="shared" si="7"/>
        <v>13244.445000000002</v>
      </c>
      <c r="I19" s="199">
        <f t="shared" si="7"/>
        <v>13244.445000000002</v>
      </c>
      <c r="J19" s="199">
        <f t="shared" si="7"/>
        <v>13244.445000000002</v>
      </c>
      <c r="K19" s="200">
        <f t="shared" si="7"/>
        <v>13244.445000000002</v>
      </c>
    </row>
    <row r="20" spans="1:11" ht="23.25" thickBot="1">
      <c r="A20" s="212" t="s">
        <v>183</v>
      </c>
      <c r="B20" s="213">
        <f aca="true" t="shared" si="8" ref="B20:K20">0.4*B19</f>
        <v>2112.9082531909653</v>
      </c>
      <c r="C20" s="213">
        <f t="shared" si="8"/>
        <v>2657.746734421189</v>
      </c>
      <c r="D20" s="213">
        <f t="shared" si="8"/>
        <v>3255.3417785823767</v>
      </c>
      <c r="E20" s="213">
        <f t="shared" si="8"/>
        <v>4010.251789409165</v>
      </c>
      <c r="F20" s="213">
        <f t="shared" si="8"/>
        <v>4729.179815989604</v>
      </c>
      <c r="G20" s="213">
        <f t="shared" si="8"/>
        <v>5297.778000000001</v>
      </c>
      <c r="H20" s="213">
        <f t="shared" si="8"/>
        <v>5297.778000000001</v>
      </c>
      <c r="I20" s="213">
        <f t="shared" si="8"/>
        <v>5297.778000000001</v>
      </c>
      <c r="J20" s="213">
        <f t="shared" si="8"/>
        <v>5297.778000000001</v>
      </c>
      <c r="K20" s="214">
        <f t="shared" si="8"/>
        <v>5297.778000000001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1">
      <selection activeCell="C33" sqref="C33"/>
    </sheetView>
  </sheetViews>
  <sheetFormatPr defaultColWidth="11.421875" defaultRowHeight="12.75"/>
  <cols>
    <col min="1" max="1" width="10.421875" style="197" customWidth="1"/>
    <col min="2" max="2" width="7.7109375" style="197" customWidth="1"/>
    <col min="3" max="3" width="8.8515625" style="197" bestFit="1" customWidth="1"/>
    <col min="4" max="12" width="7.421875" style="197" customWidth="1"/>
    <col min="13" max="16384" width="11.421875" style="197" customWidth="1"/>
  </cols>
  <sheetData>
    <row r="1" spans="1:12" ht="12" customHeight="1">
      <c r="A1" s="238"/>
      <c r="B1" s="195">
        <v>0</v>
      </c>
      <c r="C1" s="195">
        <v>1</v>
      </c>
      <c r="D1" s="195">
        <v>2</v>
      </c>
      <c r="E1" s="195">
        <v>3</v>
      </c>
      <c r="F1" s="195">
        <v>4</v>
      </c>
      <c r="G1" s="195">
        <v>5</v>
      </c>
      <c r="H1" s="195">
        <v>6</v>
      </c>
      <c r="I1" s="215">
        <v>7</v>
      </c>
      <c r="J1" s="215">
        <v>8</v>
      </c>
      <c r="K1" s="195">
        <v>9</v>
      </c>
      <c r="L1" s="196">
        <v>10</v>
      </c>
    </row>
    <row r="2" spans="1:12" ht="19.5" customHeight="1">
      <c r="A2" s="239" t="s">
        <v>144</v>
      </c>
      <c r="B2" s="207"/>
      <c r="C2" s="234">
        <f>+INGRESOS!C33</f>
        <v>86944</v>
      </c>
      <c r="D2" s="234">
        <f aca="true" t="shared" si="0" ref="D2:L4">+C2</f>
        <v>86944</v>
      </c>
      <c r="E2" s="234">
        <f t="shared" si="0"/>
        <v>86944</v>
      </c>
      <c r="F2" s="234">
        <f t="shared" si="0"/>
        <v>86944</v>
      </c>
      <c r="G2" s="234">
        <f t="shared" si="0"/>
        <v>86944</v>
      </c>
      <c r="H2" s="235">
        <f>+G2</f>
        <v>86944</v>
      </c>
      <c r="I2" s="235">
        <f>+H2</f>
        <v>86944</v>
      </c>
      <c r="J2" s="235">
        <f>+I2</f>
        <v>86944</v>
      </c>
      <c r="K2" s="235">
        <f>+J2</f>
        <v>86944</v>
      </c>
      <c r="L2" s="235">
        <f>+K2</f>
        <v>86944</v>
      </c>
    </row>
    <row r="3" spans="1:12" ht="18.75">
      <c r="A3" s="239" t="s">
        <v>157</v>
      </c>
      <c r="B3" s="207"/>
      <c r="C3" s="234">
        <f>-'COSTOS&amp;GASTOS'!E18</f>
        <v>-14400</v>
      </c>
      <c r="D3" s="234">
        <f t="shared" si="0"/>
        <v>-14400</v>
      </c>
      <c r="E3" s="234">
        <f t="shared" si="0"/>
        <v>-14400</v>
      </c>
      <c r="F3" s="234">
        <f t="shared" si="0"/>
        <v>-14400</v>
      </c>
      <c r="G3" s="234">
        <f t="shared" si="0"/>
        <v>-14400</v>
      </c>
      <c r="H3" s="234">
        <f t="shared" si="0"/>
        <v>-14400</v>
      </c>
      <c r="I3" s="234">
        <f t="shared" si="0"/>
        <v>-14400</v>
      </c>
      <c r="J3" s="234">
        <f t="shared" si="0"/>
        <v>-14400</v>
      </c>
      <c r="K3" s="234">
        <f t="shared" si="0"/>
        <v>-14400</v>
      </c>
      <c r="L3" s="234">
        <f t="shared" si="0"/>
        <v>-14400</v>
      </c>
    </row>
    <row r="4" spans="1:12" ht="27.75">
      <c r="A4" s="239" t="s">
        <v>162</v>
      </c>
      <c r="B4" s="207"/>
      <c r="C4" s="234">
        <f>-'COSTOS&amp;GASTOS'!E22</f>
        <v>-3600</v>
      </c>
      <c r="D4" s="234">
        <f t="shared" si="0"/>
        <v>-3600</v>
      </c>
      <c r="E4" s="234">
        <f t="shared" si="0"/>
        <v>-3600</v>
      </c>
      <c r="F4" s="234">
        <f t="shared" si="0"/>
        <v>-3600</v>
      </c>
      <c r="G4" s="234">
        <f aca="true" t="shared" si="1" ref="G4:L4">+F4</f>
        <v>-3600</v>
      </c>
      <c r="H4" s="234">
        <f t="shared" si="1"/>
        <v>-3600</v>
      </c>
      <c r="I4" s="234">
        <f t="shared" si="1"/>
        <v>-3600</v>
      </c>
      <c r="J4" s="234">
        <f t="shared" si="1"/>
        <v>-3600</v>
      </c>
      <c r="K4" s="234">
        <f t="shared" si="1"/>
        <v>-3600</v>
      </c>
      <c r="L4" s="234">
        <f t="shared" si="1"/>
        <v>-3600</v>
      </c>
    </row>
    <row r="5" spans="1:12" ht="11.25">
      <c r="A5" s="239" t="s">
        <v>159</v>
      </c>
      <c r="B5" s="207"/>
      <c r="C5" s="234">
        <f>-'COSTOS&amp;GASTOS'!E19</f>
        <v>-3456</v>
      </c>
      <c r="D5" s="234">
        <f>+C5</f>
        <v>-3456</v>
      </c>
      <c r="E5" s="234">
        <f aca="true" t="shared" si="2" ref="E5:L8">+D5</f>
        <v>-3456</v>
      </c>
      <c r="F5" s="234">
        <f t="shared" si="2"/>
        <v>-3456</v>
      </c>
      <c r="G5" s="234">
        <f t="shared" si="2"/>
        <v>-3456</v>
      </c>
      <c r="H5" s="234">
        <f t="shared" si="2"/>
        <v>-3456</v>
      </c>
      <c r="I5" s="234">
        <f t="shared" si="2"/>
        <v>-3456</v>
      </c>
      <c r="J5" s="234">
        <f t="shared" si="2"/>
        <v>-3456</v>
      </c>
      <c r="K5" s="234">
        <f t="shared" si="2"/>
        <v>-3456</v>
      </c>
      <c r="L5" s="234">
        <f t="shared" si="2"/>
        <v>-3456</v>
      </c>
    </row>
    <row r="6" spans="1:12" ht="18.75">
      <c r="A6" s="239" t="s">
        <v>158</v>
      </c>
      <c r="B6" s="207"/>
      <c r="C6" s="234">
        <f>-'COSTOS&amp;GASTOS'!E20</f>
        <v>-3600</v>
      </c>
      <c r="D6" s="234">
        <f>+C6</f>
        <v>-3600</v>
      </c>
      <c r="E6" s="234">
        <f t="shared" si="2"/>
        <v>-3600</v>
      </c>
      <c r="F6" s="234">
        <f t="shared" si="2"/>
        <v>-3600</v>
      </c>
      <c r="G6" s="234">
        <f t="shared" si="2"/>
        <v>-3600</v>
      </c>
      <c r="H6" s="234">
        <f t="shared" si="2"/>
        <v>-3600</v>
      </c>
      <c r="I6" s="234">
        <f t="shared" si="2"/>
        <v>-3600</v>
      </c>
      <c r="J6" s="234">
        <f t="shared" si="2"/>
        <v>-3600</v>
      </c>
      <c r="K6" s="234">
        <f t="shared" si="2"/>
        <v>-3600</v>
      </c>
      <c r="L6" s="234">
        <f t="shared" si="2"/>
        <v>-3600</v>
      </c>
    </row>
    <row r="7" spans="1:12" ht="27.75">
      <c r="A7" s="239" t="s">
        <v>161</v>
      </c>
      <c r="B7" s="207"/>
      <c r="C7" s="234">
        <f>-'COSTOS&amp;GASTOS'!E21</f>
        <v>-6534</v>
      </c>
      <c r="D7" s="234">
        <f>+C7</f>
        <v>-6534</v>
      </c>
      <c r="E7" s="234">
        <f t="shared" si="2"/>
        <v>-6534</v>
      </c>
      <c r="F7" s="234">
        <f t="shared" si="2"/>
        <v>-6534</v>
      </c>
      <c r="G7" s="234">
        <f t="shared" si="2"/>
        <v>-6534</v>
      </c>
      <c r="H7" s="234">
        <f t="shared" si="2"/>
        <v>-6534</v>
      </c>
      <c r="I7" s="234">
        <f t="shared" si="2"/>
        <v>-6534</v>
      </c>
      <c r="J7" s="234">
        <f t="shared" si="2"/>
        <v>-6534</v>
      </c>
      <c r="K7" s="234">
        <f t="shared" si="2"/>
        <v>-6534</v>
      </c>
      <c r="L7" s="234">
        <f t="shared" si="2"/>
        <v>-6534</v>
      </c>
    </row>
    <row r="8" spans="1:12" ht="18.75">
      <c r="A8" s="239" t="s">
        <v>124</v>
      </c>
      <c r="B8" s="207"/>
      <c r="C8" s="234">
        <f>-'COSTOS&amp;GASTOS'!E23</f>
        <v>-7800</v>
      </c>
      <c r="D8" s="234">
        <f>+C8</f>
        <v>-7800</v>
      </c>
      <c r="E8" s="234">
        <f t="shared" si="2"/>
        <v>-7800</v>
      </c>
      <c r="F8" s="234">
        <f t="shared" si="2"/>
        <v>-7800</v>
      </c>
      <c r="G8" s="234">
        <f t="shared" si="2"/>
        <v>-7800</v>
      </c>
      <c r="H8" s="234">
        <f t="shared" si="2"/>
        <v>-7800</v>
      </c>
      <c r="I8" s="234">
        <f t="shared" si="2"/>
        <v>-7800</v>
      </c>
      <c r="J8" s="234">
        <f t="shared" si="2"/>
        <v>-7800</v>
      </c>
      <c r="K8" s="234">
        <f t="shared" si="2"/>
        <v>-7800</v>
      </c>
      <c r="L8" s="234">
        <f t="shared" si="2"/>
        <v>-7800</v>
      </c>
    </row>
    <row r="9" spans="1:12" ht="11.25">
      <c r="A9" s="239" t="s">
        <v>165</v>
      </c>
      <c r="B9" s="207"/>
      <c r="C9" s="234">
        <f>-'DEP Y AMORT.'!D9+'DEP Y AMORT.'!D7</f>
        <v>-24903.333333333332</v>
      </c>
      <c r="D9" s="234">
        <f>-'DEP Y AMORT.'!E9+'DEP Y AMORT.'!E7</f>
        <v>-24903.333333333332</v>
      </c>
      <c r="E9" s="234">
        <f>-'DEP Y AMORT.'!F9+'DEP Y AMORT.'!F7</f>
        <v>-24903.333333333332</v>
      </c>
      <c r="F9" s="234">
        <f>-'DEP Y AMORT.'!G9+'DEP Y AMORT.'!G7</f>
        <v>-24470</v>
      </c>
      <c r="G9" s="234">
        <f aca="true" t="shared" si="3" ref="G9:L9">+F9</f>
        <v>-24470</v>
      </c>
      <c r="H9" s="234">
        <f t="shared" si="3"/>
        <v>-24470</v>
      </c>
      <c r="I9" s="234">
        <f t="shared" si="3"/>
        <v>-24470</v>
      </c>
      <c r="J9" s="234">
        <f t="shared" si="3"/>
        <v>-24470</v>
      </c>
      <c r="K9" s="234">
        <f t="shared" si="3"/>
        <v>-24470</v>
      </c>
      <c r="L9" s="234">
        <f t="shared" si="3"/>
        <v>-24470</v>
      </c>
    </row>
    <row r="10" spans="1:12" ht="11.25">
      <c r="A10" s="239" t="s">
        <v>166</v>
      </c>
      <c r="B10" s="207"/>
      <c r="C10" s="234">
        <f>-'DEP Y AMORT.'!D7</f>
        <v>-380</v>
      </c>
      <c r="D10" s="234">
        <f>-'DEP Y AMORT.'!E7</f>
        <v>-380</v>
      </c>
      <c r="E10" s="234">
        <f>-'DEP Y AMORT.'!F7</f>
        <v>-380</v>
      </c>
      <c r="F10" s="234">
        <f>-'DEP Y AMORT.'!G7</f>
        <v>-380</v>
      </c>
      <c r="G10" s="234">
        <f>+F10</f>
        <v>-380</v>
      </c>
      <c r="H10" s="234">
        <v>0</v>
      </c>
      <c r="I10" s="234">
        <v>0</v>
      </c>
      <c r="J10" s="234">
        <v>0</v>
      </c>
      <c r="K10" s="234">
        <v>0</v>
      </c>
      <c r="L10" s="234">
        <f>+K10</f>
        <v>0</v>
      </c>
    </row>
    <row r="11" spans="1:12" ht="18.75">
      <c r="A11" s="239" t="s">
        <v>167</v>
      </c>
      <c r="B11" s="207"/>
      <c r="C11" s="234">
        <f>-'TABLA AMORT.'!C9-'TABLA AMORT.'!C10-'TABLA AMORT.'!C11-'TABLA AMORT.'!C12</f>
        <v>-13064.094757337845</v>
      </c>
      <c r="D11" s="234">
        <f>-'TABLA AMORT.'!C13-'TABLA AMORT.'!C14-'TABLA AMORT.'!C15-'TABLA AMORT.'!C16</f>
        <v>-10690.070873981751</v>
      </c>
      <c r="E11" s="234">
        <f>-'TABLA AMORT.'!C17-'TABLA AMORT.'!C18-'TABLA AMORT.'!C19-'TABLA AMORT.'!C20</f>
        <v>-8086.170899423194</v>
      </c>
      <c r="F11" s="234">
        <f>-'TABLA AMORT.'!C21-'TABLA AMORT.'!C22-'TABLA AMORT.'!C23-'TABLA AMORT.'!C24</f>
        <v>-5230.135993859844</v>
      </c>
      <c r="G11" s="234">
        <f>-'TABLA AMORT.'!C25-'TABLA AMORT.'!C26-'TABLA AMORT.'!C27-'TABLA AMORT.'!C28</f>
        <v>-2097.5520000452966</v>
      </c>
      <c r="H11" s="234">
        <v>0</v>
      </c>
      <c r="I11" s="234">
        <v>0</v>
      </c>
      <c r="J11" s="234">
        <v>0</v>
      </c>
      <c r="K11" s="234">
        <v>0</v>
      </c>
      <c r="L11" s="234">
        <f>+K11</f>
        <v>0</v>
      </c>
    </row>
    <row r="12" spans="1:12" ht="18.75">
      <c r="A12" s="239" t="s">
        <v>175</v>
      </c>
      <c r="B12" s="207"/>
      <c r="C12" s="234">
        <f>SUM(C2:C11)</f>
        <v>9206.571909328823</v>
      </c>
      <c r="D12" s="234">
        <f>SUM(D2:D11)</f>
        <v>11580.595792684917</v>
      </c>
      <c r="E12" s="234">
        <f>SUM(E2:E11)</f>
        <v>14184.495767243474</v>
      </c>
      <c r="F12" s="234">
        <f>SUM(F2:F11)</f>
        <v>17473.864006140157</v>
      </c>
      <c r="G12" s="234">
        <f aca="true" t="shared" si="4" ref="G12:L12">SUM(G2:G11)</f>
        <v>20606.447999954704</v>
      </c>
      <c r="H12" s="234">
        <f t="shared" si="4"/>
        <v>23084</v>
      </c>
      <c r="I12" s="234">
        <f t="shared" si="4"/>
        <v>23084</v>
      </c>
      <c r="J12" s="234">
        <f t="shared" si="4"/>
        <v>23084</v>
      </c>
      <c r="K12" s="234">
        <f t="shared" si="4"/>
        <v>23084</v>
      </c>
      <c r="L12" s="234">
        <f t="shared" si="4"/>
        <v>23084</v>
      </c>
    </row>
    <row r="13" spans="1:12" ht="27.75">
      <c r="A13" s="239" t="s">
        <v>180</v>
      </c>
      <c r="B13" s="207"/>
      <c r="C13" s="234">
        <f>-0.15*C12</f>
        <v>-1380.9857863993234</v>
      </c>
      <c r="D13" s="234">
        <f>-0.15*D12</f>
        <v>-1737.0893689027375</v>
      </c>
      <c r="E13" s="234">
        <f>-0.15*E12</f>
        <v>-2127.674365086521</v>
      </c>
      <c r="F13" s="234">
        <f>-0.15*F12</f>
        <v>-2621.0796009210235</v>
      </c>
      <c r="G13" s="234">
        <f aca="true" t="shared" si="5" ref="G13:L13">-0.15*G12</f>
        <v>-3090.9671999932057</v>
      </c>
      <c r="H13" s="234">
        <f t="shared" si="5"/>
        <v>-3462.6</v>
      </c>
      <c r="I13" s="234">
        <f t="shared" si="5"/>
        <v>-3462.6</v>
      </c>
      <c r="J13" s="234">
        <f t="shared" si="5"/>
        <v>-3462.6</v>
      </c>
      <c r="K13" s="234">
        <f t="shared" si="5"/>
        <v>-3462.6</v>
      </c>
      <c r="L13" s="234">
        <f t="shared" si="5"/>
        <v>-3462.6</v>
      </c>
    </row>
    <row r="14" spans="1:12" ht="27.75">
      <c r="A14" s="239" t="s">
        <v>163</v>
      </c>
      <c r="B14" s="207"/>
      <c r="C14" s="234">
        <f>C12+C13</f>
        <v>7825.586122929499</v>
      </c>
      <c r="D14" s="234">
        <f>D12+D13</f>
        <v>9843.506423782179</v>
      </c>
      <c r="E14" s="234">
        <f>E12+E13</f>
        <v>12056.821402156953</v>
      </c>
      <c r="F14" s="234">
        <f>F12+F13</f>
        <v>14852.784405219132</v>
      </c>
      <c r="G14" s="234">
        <f aca="true" t="shared" si="6" ref="G14:L14">G12+G13</f>
        <v>17515.480799961497</v>
      </c>
      <c r="H14" s="234">
        <f t="shared" si="6"/>
        <v>19621.4</v>
      </c>
      <c r="I14" s="234">
        <f t="shared" si="6"/>
        <v>19621.4</v>
      </c>
      <c r="J14" s="234">
        <f t="shared" si="6"/>
        <v>19621.4</v>
      </c>
      <c r="K14" s="234">
        <f t="shared" si="6"/>
        <v>19621.4</v>
      </c>
      <c r="L14" s="234">
        <f t="shared" si="6"/>
        <v>19621.4</v>
      </c>
    </row>
    <row r="15" spans="1:12" ht="18.75">
      <c r="A15" s="239" t="s">
        <v>164</v>
      </c>
      <c r="B15" s="207"/>
      <c r="C15" s="234">
        <f>-0.25*C14</f>
        <v>-1956.3965307323747</v>
      </c>
      <c r="D15" s="234">
        <f>-0.25*D14</f>
        <v>-2460.8766059455447</v>
      </c>
      <c r="E15" s="234">
        <f>-0.25*E14</f>
        <v>-3014.205350539238</v>
      </c>
      <c r="F15" s="234">
        <f>-0.25*F14</f>
        <v>-3713.196101304783</v>
      </c>
      <c r="G15" s="234">
        <f aca="true" t="shared" si="7" ref="G15:L15">-0.25*G14</f>
        <v>-4378.870199990374</v>
      </c>
      <c r="H15" s="234">
        <f t="shared" si="7"/>
        <v>-4905.35</v>
      </c>
      <c r="I15" s="234">
        <f t="shared" si="7"/>
        <v>-4905.35</v>
      </c>
      <c r="J15" s="234">
        <f t="shared" si="7"/>
        <v>-4905.35</v>
      </c>
      <c r="K15" s="234">
        <f t="shared" si="7"/>
        <v>-4905.35</v>
      </c>
      <c r="L15" s="234">
        <f t="shared" si="7"/>
        <v>-4905.35</v>
      </c>
    </row>
    <row r="16" spans="1:12" ht="18.75">
      <c r="A16" s="239" t="s">
        <v>176</v>
      </c>
      <c r="B16" s="207"/>
      <c r="C16" s="234">
        <f>SUM(C14:C15)</f>
        <v>5869.1895921971245</v>
      </c>
      <c r="D16" s="234">
        <f>SUM(D14:D15)</f>
        <v>7382.629817836634</v>
      </c>
      <c r="E16" s="234">
        <f>SUM(E14:E15)</f>
        <v>9042.616051617715</v>
      </c>
      <c r="F16" s="234">
        <f>SUM(F14:F15)</f>
        <v>11139.588303914348</v>
      </c>
      <c r="G16" s="234">
        <f aca="true" t="shared" si="8" ref="G16:L16">SUM(G14:G15)</f>
        <v>13136.610599971122</v>
      </c>
      <c r="H16" s="234">
        <f t="shared" si="8"/>
        <v>14716.050000000001</v>
      </c>
      <c r="I16" s="234">
        <f t="shared" si="8"/>
        <v>14716.050000000001</v>
      </c>
      <c r="J16" s="234">
        <f t="shared" si="8"/>
        <v>14716.050000000001</v>
      </c>
      <c r="K16" s="234">
        <f t="shared" si="8"/>
        <v>14716.050000000001</v>
      </c>
      <c r="L16" s="234">
        <f t="shared" si="8"/>
        <v>14716.050000000001</v>
      </c>
    </row>
    <row r="17" spans="1:12" ht="11.25">
      <c r="A17" s="239" t="s">
        <v>165</v>
      </c>
      <c r="B17" s="207"/>
      <c r="C17" s="234">
        <f aca="true" t="shared" si="9" ref="C17:F18">-C9</f>
        <v>24903.333333333332</v>
      </c>
      <c r="D17" s="234">
        <f t="shared" si="9"/>
        <v>24903.333333333332</v>
      </c>
      <c r="E17" s="234">
        <f t="shared" si="9"/>
        <v>24903.333333333332</v>
      </c>
      <c r="F17" s="234">
        <f t="shared" si="9"/>
        <v>24470</v>
      </c>
      <c r="G17" s="234">
        <f aca="true" t="shared" si="10" ref="G17:L17">+F17</f>
        <v>24470</v>
      </c>
      <c r="H17" s="234">
        <f t="shared" si="10"/>
        <v>24470</v>
      </c>
      <c r="I17" s="234">
        <f t="shared" si="10"/>
        <v>24470</v>
      </c>
      <c r="J17" s="234">
        <f t="shared" si="10"/>
        <v>24470</v>
      </c>
      <c r="K17" s="234">
        <f t="shared" si="10"/>
        <v>24470</v>
      </c>
      <c r="L17" s="234">
        <f t="shared" si="10"/>
        <v>24470</v>
      </c>
    </row>
    <row r="18" spans="1:12" ht="11.25">
      <c r="A18" s="239" t="s">
        <v>166</v>
      </c>
      <c r="B18" s="207"/>
      <c r="C18" s="234">
        <f t="shared" si="9"/>
        <v>380</v>
      </c>
      <c r="D18" s="234">
        <f t="shared" si="9"/>
        <v>380</v>
      </c>
      <c r="E18" s="234">
        <f t="shared" si="9"/>
        <v>380</v>
      </c>
      <c r="F18" s="234">
        <f t="shared" si="9"/>
        <v>380</v>
      </c>
      <c r="G18" s="234">
        <f aca="true" t="shared" si="11" ref="G18:L18">+F18</f>
        <v>380</v>
      </c>
      <c r="H18" s="234">
        <v>0</v>
      </c>
      <c r="I18" s="234">
        <v>0</v>
      </c>
      <c r="J18" s="234">
        <v>0</v>
      </c>
      <c r="K18" s="234">
        <f t="shared" si="11"/>
        <v>0</v>
      </c>
      <c r="L18" s="234">
        <f t="shared" si="11"/>
        <v>0</v>
      </c>
    </row>
    <row r="19" spans="1:12" ht="11.25">
      <c r="A19" s="239" t="s">
        <v>168</v>
      </c>
      <c r="B19" s="237">
        <f>-FINANCIAMIENTO!B4-FINANCIAMIENTO!B5-FINANCIAMIENTO!B6</f>
        <v>-246000</v>
      </c>
      <c r="C19" s="234"/>
      <c r="D19" s="234"/>
      <c r="E19" s="234"/>
      <c r="F19" s="234"/>
      <c r="G19" s="234"/>
      <c r="H19" s="235"/>
      <c r="I19" s="236"/>
      <c r="J19" s="236"/>
      <c r="K19" s="236"/>
      <c r="L19" s="236"/>
    </row>
    <row r="20" spans="1:12" ht="18.75">
      <c r="A20" s="239" t="s">
        <v>169</v>
      </c>
      <c r="B20" s="237">
        <f>-FINANCIAMIENTO!B7</f>
        <v>-1900</v>
      </c>
      <c r="C20" s="234"/>
      <c r="D20" s="234"/>
      <c r="E20" s="234"/>
      <c r="F20" s="234"/>
      <c r="G20" s="234"/>
      <c r="H20" s="234"/>
      <c r="I20" s="207"/>
      <c r="J20" s="207"/>
      <c r="K20" s="207"/>
      <c r="L20" s="207"/>
    </row>
    <row r="21" spans="1:12" ht="24" customHeight="1">
      <c r="A21" s="239" t="s">
        <v>218</v>
      </c>
      <c r="B21" s="237">
        <f>+'CAP. TRABAJO'!B23</f>
        <v>-3282.5</v>
      </c>
      <c r="C21" s="234"/>
      <c r="D21" s="234"/>
      <c r="E21" s="234"/>
      <c r="F21" s="234"/>
      <c r="G21" s="234"/>
      <c r="H21" s="234"/>
      <c r="I21" s="207"/>
      <c r="J21" s="207"/>
      <c r="K21" s="207"/>
      <c r="L21" s="207"/>
    </row>
    <row r="22" spans="1:12" ht="11.25">
      <c r="A22" s="239" t="s">
        <v>171</v>
      </c>
      <c r="B22" s="237">
        <f>+'TABLA AMORT.'!C2</f>
        <v>148740</v>
      </c>
      <c r="C22" s="234"/>
      <c r="D22" s="234"/>
      <c r="E22" s="234"/>
      <c r="F22" s="234"/>
      <c r="G22" s="234"/>
      <c r="H22" s="234"/>
      <c r="I22" s="207"/>
      <c r="J22" s="207"/>
      <c r="K22" s="207"/>
      <c r="L22" s="207"/>
    </row>
    <row r="23" spans="1:12" ht="11.25">
      <c r="A23" s="239" t="s">
        <v>170</v>
      </c>
      <c r="B23" s="234"/>
      <c r="C23" s="234"/>
      <c r="D23" s="234"/>
      <c r="E23" s="234">
        <f>-'DEP Y AMORT.'!B5</f>
        <v>-1300</v>
      </c>
      <c r="F23" s="234"/>
      <c r="G23" s="234"/>
      <c r="H23" s="234"/>
      <c r="I23" s="207"/>
      <c r="J23" s="207"/>
      <c r="K23" s="207"/>
      <c r="L23" s="207"/>
    </row>
    <row r="24" spans="1:12" ht="11.25">
      <c r="A24" s="239" t="s">
        <v>172</v>
      </c>
      <c r="B24" s="234"/>
      <c r="C24" s="234">
        <f>-'TABLA AMORT.'!D9-'TABLA AMORT.'!D10-'TABLA AMORT.'!D11-'TABLA AMORT.'!D12</f>
        <v>-24517.5101475918</v>
      </c>
      <c r="D24" s="234">
        <f>-'TABLA AMORT.'!D13-'TABLA AMORT.'!D14-'TABLA AMORT.'!D15-'TABLA AMORT.'!D16</f>
        <v>-26891.5340309479</v>
      </c>
      <c r="E24" s="234">
        <f>-'TABLA AMORT.'!D17-'TABLA AMORT.'!D18-'TABLA AMORT.'!D19-'TABLA AMORT.'!D20</f>
        <v>-29495.434005506453</v>
      </c>
      <c r="F24" s="234">
        <f>-'TABLA AMORT.'!D21-'TABLA AMORT.'!D22-'TABLA AMORT.'!D23-'TABLA AMORT.'!D24</f>
        <v>-32351.468911069802</v>
      </c>
      <c r="G24" s="234">
        <f>-'TABLA AMORT.'!D25-'TABLA AMORT.'!D26-'TABLA AMORT.'!D27-'TABLA AMORT.'!D28</f>
        <v>-35484.05290488435</v>
      </c>
      <c r="H24" s="234">
        <v>0</v>
      </c>
      <c r="I24" s="207">
        <v>0</v>
      </c>
      <c r="J24" s="207">
        <v>0</v>
      </c>
      <c r="K24" s="207">
        <v>0</v>
      </c>
      <c r="L24" s="207">
        <v>0</v>
      </c>
    </row>
    <row r="25" spans="1:12" ht="18.75">
      <c r="A25" s="239" t="s">
        <v>219</v>
      </c>
      <c r="B25" s="234"/>
      <c r="C25" s="234"/>
      <c r="D25" s="234"/>
      <c r="E25" s="234"/>
      <c r="F25" s="234"/>
      <c r="G25" s="234"/>
      <c r="H25" s="234"/>
      <c r="I25" s="207"/>
      <c r="J25" s="207"/>
      <c r="K25" s="207"/>
      <c r="L25" s="234">
        <f>(K27-L17)/0.1395</f>
        <v>105491.39784946237</v>
      </c>
    </row>
    <row r="26" spans="1:12" ht="11.25">
      <c r="A26" s="216"/>
      <c r="B26" s="217"/>
      <c r="C26" s="217"/>
      <c r="D26" s="217"/>
      <c r="E26" s="217"/>
      <c r="F26" s="217"/>
      <c r="G26" s="217"/>
      <c r="H26" s="217"/>
      <c r="I26" s="218"/>
      <c r="J26" s="219"/>
      <c r="K26" s="218"/>
      <c r="L26" s="220"/>
    </row>
    <row r="27" spans="1:12" ht="12" thickBot="1">
      <c r="A27" s="221" t="s">
        <v>173</v>
      </c>
      <c r="B27" s="240">
        <f>SUM(B19:B26)</f>
        <v>-102442.5</v>
      </c>
      <c r="C27" s="222">
        <f>C16+C17+C18+C23+C24+C25</f>
        <v>6635.012777938657</v>
      </c>
      <c r="D27" s="222">
        <f>D16+D17+D18+D23+D24+D25</f>
        <v>5774.429120222067</v>
      </c>
      <c r="E27" s="222">
        <f>E16+E17+E18+E23+E24+E25</f>
        <v>3530.515379444594</v>
      </c>
      <c r="F27" s="222">
        <f>F16+F17+F18+F23+F24+F25</f>
        <v>3638.11939284455</v>
      </c>
      <c r="G27" s="222">
        <f>G16+G17+G18+G23+G24+G25</f>
        <v>2502.557695086769</v>
      </c>
      <c r="H27" s="222">
        <f>H16+H17+H18+H24+H25</f>
        <v>39186.05</v>
      </c>
      <c r="I27" s="222">
        <f>I16+I17+I18+I24+I25</f>
        <v>39186.05</v>
      </c>
      <c r="J27" s="222">
        <f>J16+J17+J18+J24+J25</f>
        <v>39186.05</v>
      </c>
      <c r="K27" s="222">
        <f>K16+K17+K18+K24+K25</f>
        <v>39186.05</v>
      </c>
      <c r="L27" s="223">
        <f>L16+L17+L18+L24+L25</f>
        <v>144677.4478494624</v>
      </c>
    </row>
    <row r="28" ht="12" thickBot="1"/>
    <row r="29" spans="1:20" ht="11.25">
      <c r="A29" s="224" t="s">
        <v>217</v>
      </c>
      <c r="C29" s="241">
        <f>NPV(E44,C27:L27)+B27</f>
        <v>12351.065127374532</v>
      </c>
      <c r="N29" s="225"/>
      <c r="O29" s="215" t="s">
        <v>204</v>
      </c>
      <c r="P29" s="215" t="s">
        <v>205</v>
      </c>
      <c r="Q29" s="215" t="s">
        <v>206</v>
      </c>
      <c r="R29" s="215" t="s">
        <v>207</v>
      </c>
      <c r="S29" s="215" t="s">
        <v>208</v>
      </c>
      <c r="T29" s="196" t="s">
        <v>209</v>
      </c>
    </row>
    <row r="30" spans="1:20" ht="11.25">
      <c r="A30" s="224" t="s">
        <v>174</v>
      </c>
      <c r="C30" s="226">
        <f>IRR(B27:L27)</f>
        <v>0.15697442358594418</v>
      </c>
      <c r="N30" s="227" t="s">
        <v>202</v>
      </c>
      <c r="O30" s="273">
        <f aca="true" t="shared" si="12" ref="O30:T30">+B27</f>
        <v>-102442.5</v>
      </c>
      <c r="P30" s="273">
        <f t="shared" si="12"/>
        <v>6635.012777938657</v>
      </c>
      <c r="Q30" s="273">
        <f t="shared" si="12"/>
        <v>5774.429120222067</v>
      </c>
      <c r="R30" s="273">
        <f t="shared" si="12"/>
        <v>3530.515379444594</v>
      </c>
      <c r="S30" s="166">
        <f t="shared" si="12"/>
        <v>3638.11939284455</v>
      </c>
      <c r="T30" s="228">
        <f t="shared" si="12"/>
        <v>2502.557695086769</v>
      </c>
    </row>
    <row r="31" spans="14:20" ht="12" thickBot="1">
      <c r="N31" s="229" t="s">
        <v>203</v>
      </c>
      <c r="O31" s="274"/>
      <c r="P31" s="274"/>
      <c r="Q31" s="274"/>
      <c r="R31" s="274"/>
      <c r="S31" s="230"/>
      <c r="T31" s="231"/>
    </row>
    <row r="42" spans="2:5" ht="11.25">
      <c r="B42" s="232">
        <v>0.2436</v>
      </c>
      <c r="C42" s="233">
        <v>0.6</v>
      </c>
      <c r="D42" s="232">
        <v>0.0935</v>
      </c>
      <c r="E42" s="232">
        <f>C42*D42*0.75</f>
        <v>0.042075</v>
      </c>
    </row>
    <row r="43" spans="3:5" ht="11.25">
      <c r="C43" s="233">
        <v>0.4</v>
      </c>
      <c r="D43" s="232">
        <v>0.2436</v>
      </c>
      <c r="E43" s="232">
        <f>C43*D43</f>
        <v>0.09744000000000001</v>
      </c>
    </row>
    <row r="44" ht="11.25">
      <c r="E44" s="226">
        <f>SUM(E42:E43)</f>
        <v>0.139515</v>
      </c>
    </row>
  </sheetData>
  <sheetProtection/>
  <mergeCells count="4">
    <mergeCell ref="O30:O31"/>
    <mergeCell ref="P30:P31"/>
    <mergeCell ref="Q30:Q31"/>
    <mergeCell ref="R30:R31"/>
  </mergeCells>
  <printOptions/>
  <pageMargins left="0.75" right="0.75" top="1" bottom="1" header="0" footer="0"/>
  <pageSetup horizontalDpi="300" verticalDpi="300" orientation="portrait" r:id="rId1"/>
  <ignoredErrors>
    <ignoredError sqref="G11 L1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2:J4"/>
  <sheetViews>
    <sheetView view="pageBreakPreview" zoomScale="60" zoomScalePageLayoutView="0" workbookViewId="0" topLeftCell="A1">
      <selection activeCell="A4" sqref="A4"/>
    </sheetView>
  </sheetViews>
  <sheetFormatPr defaultColWidth="11.421875" defaultRowHeight="12.75"/>
  <sheetData>
    <row r="2" spans="2:10" ht="12.75">
      <c r="B2" s="242">
        <v>-0.2</v>
      </c>
      <c r="C2" s="242">
        <v>-0.15</v>
      </c>
      <c r="D2" s="242">
        <v>-0.1</v>
      </c>
      <c r="E2" s="242">
        <v>-0.05</v>
      </c>
      <c r="F2" s="242">
        <v>0</v>
      </c>
      <c r="G2" s="242">
        <v>0.05</v>
      </c>
      <c r="H2" s="242">
        <v>0.1</v>
      </c>
      <c r="I2" s="242">
        <v>0.15</v>
      </c>
      <c r="J2" s="242">
        <v>0.2</v>
      </c>
    </row>
    <row r="3" spans="1:10" ht="12.75">
      <c r="A3" t="s">
        <v>212</v>
      </c>
      <c r="B3" s="243">
        <v>-53864.5</v>
      </c>
      <c r="C3" s="243">
        <v>-39469</v>
      </c>
      <c r="D3" s="243">
        <v>-23766.5</v>
      </c>
      <c r="E3" s="243">
        <v>-6567.7</v>
      </c>
      <c r="F3" s="243">
        <v>12351.1</v>
      </c>
      <c r="G3" s="243">
        <v>32215.7</v>
      </c>
      <c r="H3" s="243">
        <v>52080</v>
      </c>
      <c r="I3" s="243">
        <v>71945</v>
      </c>
      <c r="J3" s="243">
        <v>91809.8</v>
      </c>
    </row>
    <row r="4" spans="1:10" ht="12.75">
      <c r="A4" t="s">
        <v>174</v>
      </c>
      <c r="B4" s="244">
        <v>0.0531</v>
      </c>
      <c r="C4" s="244">
        <v>0.0784</v>
      </c>
      <c r="D4" s="244">
        <v>0.1039</v>
      </c>
      <c r="E4" s="244">
        <v>0.13</v>
      </c>
      <c r="F4" s="245">
        <v>0.157</v>
      </c>
      <c r="G4" s="244">
        <v>0.1839</v>
      </c>
      <c r="H4" s="244">
        <v>0.2098</v>
      </c>
      <c r="I4" s="244">
        <v>0.2349</v>
      </c>
      <c r="J4" s="244">
        <v>0.2594</v>
      </c>
    </row>
  </sheetData>
  <sheetProtection/>
  <printOptions/>
  <pageMargins left="0.7480314960629921" right="0.7480314960629921" top="0.984251968503937" bottom="0.984251968503937" header="0" footer="0"/>
  <pageSetup orientation="landscape" paperSize="9" scale="5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34" sqref="B34"/>
    </sheetView>
  </sheetViews>
  <sheetFormatPr defaultColWidth="11.421875" defaultRowHeight="12.75"/>
  <cols>
    <col min="1" max="1" width="32.8515625" style="0" bestFit="1" customWidth="1"/>
  </cols>
  <sheetData>
    <row r="1" spans="1:12" ht="12.75">
      <c r="A1" t="s">
        <v>144</v>
      </c>
      <c r="C1" s="163">
        <v>86944</v>
      </c>
      <c r="D1" s="163">
        <f aca="true" t="shared" si="0" ref="D1:L1">+C1</f>
        <v>86944</v>
      </c>
      <c r="E1" s="163">
        <f t="shared" si="0"/>
        <v>86944</v>
      </c>
      <c r="F1" s="163">
        <f t="shared" si="0"/>
        <v>86944</v>
      </c>
      <c r="G1" s="163">
        <f t="shared" si="0"/>
        <v>86944</v>
      </c>
      <c r="H1" s="163">
        <f t="shared" si="0"/>
        <v>86944</v>
      </c>
      <c r="I1" s="163">
        <f t="shared" si="0"/>
        <v>86944</v>
      </c>
      <c r="J1" s="163">
        <f t="shared" si="0"/>
        <v>86944</v>
      </c>
      <c r="K1" s="163">
        <f t="shared" si="0"/>
        <v>86944</v>
      </c>
      <c r="L1" s="163">
        <f t="shared" si="0"/>
        <v>86944</v>
      </c>
    </row>
    <row r="2" spans="1:12" ht="12.75">
      <c r="A2" t="s">
        <v>157</v>
      </c>
      <c r="C2" s="163">
        <v>14400</v>
      </c>
      <c r="D2" s="163">
        <f aca="true" t="shared" si="1" ref="D2:L4">+C2</f>
        <v>14400</v>
      </c>
      <c r="E2" s="163">
        <f t="shared" si="1"/>
        <v>14400</v>
      </c>
      <c r="F2" s="163">
        <f t="shared" si="1"/>
        <v>14400</v>
      </c>
      <c r="G2" s="163">
        <f t="shared" si="1"/>
        <v>14400</v>
      </c>
      <c r="H2" s="163">
        <f t="shared" si="1"/>
        <v>14400</v>
      </c>
      <c r="I2" s="163">
        <f t="shared" si="1"/>
        <v>14400</v>
      </c>
      <c r="J2" s="163">
        <f t="shared" si="1"/>
        <v>14400</v>
      </c>
      <c r="K2" s="163">
        <f t="shared" si="1"/>
        <v>14400</v>
      </c>
      <c r="L2" s="163">
        <f t="shared" si="1"/>
        <v>14400</v>
      </c>
    </row>
    <row r="3" spans="1:12" ht="12.75">
      <c r="A3" t="s">
        <v>162</v>
      </c>
      <c r="C3" s="163">
        <v>3600</v>
      </c>
      <c r="D3" s="163">
        <f t="shared" si="1"/>
        <v>3600</v>
      </c>
      <c r="E3" s="163">
        <f t="shared" si="1"/>
        <v>3600</v>
      </c>
      <c r="F3" s="163">
        <f t="shared" si="1"/>
        <v>3600</v>
      </c>
      <c r="G3" s="163">
        <f t="shared" si="1"/>
        <v>3600</v>
      </c>
      <c r="H3" s="163">
        <f t="shared" si="1"/>
        <v>3600</v>
      </c>
      <c r="I3" s="163">
        <f t="shared" si="1"/>
        <v>3600</v>
      </c>
      <c r="J3" s="163">
        <f t="shared" si="1"/>
        <v>3600</v>
      </c>
      <c r="K3" s="163">
        <f t="shared" si="1"/>
        <v>3600</v>
      </c>
      <c r="L3" s="163">
        <f t="shared" si="1"/>
        <v>3600</v>
      </c>
    </row>
    <row r="4" spans="1:12" ht="12.75">
      <c r="A4" t="s">
        <v>161</v>
      </c>
      <c r="C4" s="163">
        <v>6534</v>
      </c>
      <c r="D4" s="163">
        <f t="shared" si="1"/>
        <v>6534</v>
      </c>
      <c r="E4" s="163">
        <f t="shared" si="1"/>
        <v>6534</v>
      </c>
      <c r="F4" s="163">
        <f t="shared" si="1"/>
        <v>6534</v>
      </c>
      <c r="G4" s="163">
        <f t="shared" si="1"/>
        <v>6534</v>
      </c>
      <c r="H4" s="163">
        <f t="shared" si="1"/>
        <v>6534</v>
      </c>
      <c r="I4" s="163">
        <f t="shared" si="1"/>
        <v>6534</v>
      </c>
      <c r="J4" s="163">
        <f t="shared" si="1"/>
        <v>6534</v>
      </c>
      <c r="K4" s="163">
        <f t="shared" si="1"/>
        <v>6534</v>
      </c>
      <c r="L4" s="163">
        <f t="shared" si="1"/>
        <v>6534</v>
      </c>
    </row>
    <row r="7" spans="1:12" ht="12.75">
      <c r="A7" t="s">
        <v>144</v>
      </c>
      <c r="C7" s="163">
        <f aca="true" t="shared" si="2" ref="C7:L7">+C1</f>
        <v>86944</v>
      </c>
      <c r="D7" s="163">
        <f t="shared" si="2"/>
        <v>86944</v>
      </c>
      <c r="E7" s="163">
        <f t="shared" si="2"/>
        <v>86944</v>
      </c>
      <c r="F7" s="163">
        <f t="shared" si="2"/>
        <v>86944</v>
      </c>
      <c r="G7" s="163">
        <f t="shared" si="2"/>
        <v>86944</v>
      </c>
      <c r="H7" s="163">
        <f t="shared" si="2"/>
        <v>86944</v>
      </c>
      <c r="I7" s="163">
        <f t="shared" si="2"/>
        <v>86944</v>
      </c>
      <c r="J7" s="163">
        <f t="shared" si="2"/>
        <v>86944</v>
      </c>
      <c r="K7" s="163">
        <f t="shared" si="2"/>
        <v>86944</v>
      </c>
      <c r="L7" s="163">
        <f t="shared" si="2"/>
        <v>86944</v>
      </c>
    </row>
    <row r="8" spans="1:12" ht="12.75">
      <c r="A8" t="s">
        <v>157</v>
      </c>
      <c r="C8" s="163">
        <f aca="true" t="shared" si="3" ref="C8:L9">-C2</f>
        <v>-14400</v>
      </c>
      <c r="D8" s="163">
        <f t="shared" si="3"/>
        <v>-14400</v>
      </c>
      <c r="E8" s="163">
        <f t="shared" si="3"/>
        <v>-14400</v>
      </c>
      <c r="F8" s="163">
        <f t="shared" si="3"/>
        <v>-14400</v>
      </c>
      <c r="G8" s="163">
        <f t="shared" si="3"/>
        <v>-14400</v>
      </c>
      <c r="H8" s="163">
        <f t="shared" si="3"/>
        <v>-14400</v>
      </c>
      <c r="I8" s="163">
        <f t="shared" si="3"/>
        <v>-14400</v>
      </c>
      <c r="J8" s="163">
        <f t="shared" si="3"/>
        <v>-14400</v>
      </c>
      <c r="K8" s="163">
        <f t="shared" si="3"/>
        <v>-14400</v>
      </c>
      <c r="L8" s="163">
        <f t="shared" si="3"/>
        <v>-14400</v>
      </c>
    </row>
    <row r="9" spans="1:12" ht="12.75">
      <c r="A9" t="s">
        <v>162</v>
      </c>
      <c r="C9" s="163">
        <f t="shared" si="3"/>
        <v>-3600</v>
      </c>
      <c r="D9" s="163">
        <f t="shared" si="3"/>
        <v>-3600</v>
      </c>
      <c r="E9" s="163">
        <f t="shared" si="3"/>
        <v>-3600</v>
      </c>
      <c r="F9" s="163">
        <f t="shared" si="3"/>
        <v>-3600</v>
      </c>
      <c r="G9" s="163">
        <f t="shared" si="3"/>
        <v>-3600</v>
      </c>
      <c r="H9" s="163">
        <f t="shared" si="3"/>
        <v>-3600</v>
      </c>
      <c r="I9" s="163">
        <f t="shared" si="3"/>
        <v>-3600</v>
      </c>
      <c r="J9" s="163">
        <f t="shared" si="3"/>
        <v>-3600</v>
      </c>
      <c r="K9" s="163">
        <f t="shared" si="3"/>
        <v>-3600</v>
      </c>
      <c r="L9" s="163">
        <f t="shared" si="3"/>
        <v>-3600</v>
      </c>
    </row>
    <row r="10" spans="1:12" ht="12.75">
      <c r="A10" t="s">
        <v>159</v>
      </c>
      <c r="C10" s="163">
        <f>+'FC1'!C5</f>
        <v>-3456</v>
      </c>
      <c r="D10" s="163">
        <f>+'FC1'!D5</f>
        <v>-3456</v>
      </c>
      <c r="E10" s="163">
        <f>+'FC1'!E5</f>
        <v>-3456</v>
      </c>
      <c r="F10" s="163">
        <f>+'FC1'!F5</f>
        <v>-3456</v>
      </c>
      <c r="G10" s="163">
        <f>+'FC1'!G5</f>
        <v>-3456</v>
      </c>
      <c r="H10" s="163">
        <f>+'FC1'!H5</f>
        <v>-3456</v>
      </c>
      <c r="I10" s="163">
        <f>+'FC1'!I5</f>
        <v>-3456</v>
      </c>
      <c r="J10" s="163">
        <f>+'FC1'!J5</f>
        <v>-3456</v>
      </c>
      <c r="K10" s="163">
        <f>+'FC1'!K5</f>
        <v>-3456</v>
      </c>
      <c r="L10" s="163">
        <f>+'FC1'!L5</f>
        <v>-3456</v>
      </c>
    </row>
    <row r="11" spans="1:12" ht="12.75">
      <c r="A11" t="s">
        <v>158</v>
      </c>
      <c r="C11" s="163">
        <f>+'FC1'!C6</f>
        <v>-3600</v>
      </c>
      <c r="D11" s="163">
        <f>+'FC1'!D6</f>
        <v>-3600</v>
      </c>
      <c r="E11" s="163">
        <f>+'FC1'!E6</f>
        <v>-3600</v>
      </c>
      <c r="F11" s="163">
        <f>+'FC1'!F6</f>
        <v>-3600</v>
      </c>
      <c r="G11" s="163">
        <f>+'FC1'!G6</f>
        <v>-3600</v>
      </c>
      <c r="H11" s="163">
        <f>+'FC1'!H6</f>
        <v>-3600</v>
      </c>
      <c r="I11" s="163">
        <f>+'FC1'!I6</f>
        <v>-3600</v>
      </c>
      <c r="J11" s="163">
        <f>+'FC1'!J6</f>
        <v>-3600</v>
      </c>
      <c r="K11" s="163">
        <f>+'FC1'!K6</f>
        <v>-3600</v>
      </c>
      <c r="L11" s="163">
        <f>+'FC1'!L6</f>
        <v>-3600</v>
      </c>
    </row>
    <row r="12" spans="1:12" ht="12.75">
      <c r="A12" t="s">
        <v>161</v>
      </c>
      <c r="C12" s="163">
        <f aca="true" t="shared" si="4" ref="C12:L12">-C4</f>
        <v>-6534</v>
      </c>
      <c r="D12" s="163">
        <f t="shared" si="4"/>
        <v>-6534</v>
      </c>
      <c r="E12" s="163">
        <f t="shared" si="4"/>
        <v>-6534</v>
      </c>
      <c r="F12" s="163">
        <f t="shared" si="4"/>
        <v>-6534</v>
      </c>
      <c r="G12" s="163">
        <f t="shared" si="4"/>
        <v>-6534</v>
      </c>
      <c r="H12" s="163">
        <f t="shared" si="4"/>
        <v>-6534</v>
      </c>
      <c r="I12" s="163">
        <f t="shared" si="4"/>
        <v>-6534</v>
      </c>
      <c r="J12" s="163">
        <f t="shared" si="4"/>
        <v>-6534</v>
      </c>
      <c r="K12" s="163">
        <f t="shared" si="4"/>
        <v>-6534</v>
      </c>
      <c r="L12" s="163">
        <f t="shared" si="4"/>
        <v>-6534</v>
      </c>
    </row>
    <row r="13" spans="1:12" ht="12.75">
      <c r="A13" t="s">
        <v>124</v>
      </c>
      <c r="C13" s="163">
        <f>+'FC1'!C8</f>
        <v>-7800</v>
      </c>
      <c r="D13" s="163">
        <f>+'FC1'!D8</f>
        <v>-7800</v>
      </c>
      <c r="E13" s="163">
        <f>+'FC1'!E8</f>
        <v>-7800</v>
      </c>
      <c r="F13" s="163">
        <f>+'FC1'!F8</f>
        <v>-7800</v>
      </c>
      <c r="G13" s="163">
        <f>+'FC1'!G8</f>
        <v>-7800</v>
      </c>
      <c r="H13" s="163">
        <f>+'FC1'!H8</f>
        <v>-7800</v>
      </c>
      <c r="I13" s="163">
        <f>+'FC1'!I8</f>
        <v>-7800</v>
      </c>
      <c r="J13" s="163">
        <f>+'FC1'!J8</f>
        <v>-7800</v>
      </c>
      <c r="K13" s="163">
        <f>+'FC1'!K8</f>
        <v>-7800</v>
      </c>
      <c r="L13" s="163">
        <f>+'FC1'!L8</f>
        <v>-7800</v>
      </c>
    </row>
    <row r="14" spans="1:12" ht="12.75">
      <c r="A14" t="s">
        <v>165</v>
      </c>
      <c r="C14" s="163">
        <f>+'FC1'!C9</f>
        <v>-24903.333333333332</v>
      </c>
      <c r="D14" s="163">
        <f>+'FC1'!D9</f>
        <v>-24903.333333333332</v>
      </c>
      <c r="E14" s="163">
        <f>+'FC1'!E9</f>
        <v>-24903.333333333332</v>
      </c>
      <c r="F14" s="163">
        <f>+'FC1'!F9</f>
        <v>-24470</v>
      </c>
      <c r="G14" s="163">
        <f>+'FC1'!G9</f>
        <v>-24470</v>
      </c>
      <c r="H14" s="163">
        <f>+'FC1'!H9</f>
        <v>-24470</v>
      </c>
      <c r="I14" s="163">
        <f>+'FC1'!I9</f>
        <v>-24470</v>
      </c>
      <c r="J14" s="163">
        <f>+'FC1'!J9</f>
        <v>-24470</v>
      </c>
      <c r="K14" s="163">
        <f>+'FC1'!K9</f>
        <v>-24470</v>
      </c>
      <c r="L14" s="163">
        <f>+'FC1'!L9</f>
        <v>-24470</v>
      </c>
    </row>
    <row r="15" spans="1:12" ht="12.75">
      <c r="A15" t="s">
        <v>166</v>
      </c>
      <c r="C15" s="163">
        <f>+'FC1'!C10</f>
        <v>-380</v>
      </c>
      <c r="D15" s="163">
        <f>+'FC1'!D10</f>
        <v>-380</v>
      </c>
      <c r="E15" s="163">
        <f>+'FC1'!E10</f>
        <v>-380</v>
      </c>
      <c r="F15" s="163">
        <f>+'FC1'!F10</f>
        <v>-380</v>
      </c>
      <c r="G15" s="163">
        <f>+'FC1'!G10</f>
        <v>-380</v>
      </c>
      <c r="H15" s="163">
        <f>+'FC1'!H10</f>
        <v>0</v>
      </c>
      <c r="I15" s="163">
        <f>+'FC1'!I10</f>
        <v>0</v>
      </c>
      <c r="J15" s="163">
        <f>+'FC1'!J10</f>
        <v>0</v>
      </c>
      <c r="K15" s="163">
        <f>+'FC1'!K10</f>
        <v>0</v>
      </c>
      <c r="L15" s="163">
        <f>+'FC1'!L10</f>
        <v>0</v>
      </c>
    </row>
    <row r="16" spans="1:12" ht="12.75">
      <c r="A16" t="s">
        <v>167</v>
      </c>
      <c r="C16" s="163">
        <f>+'FC1'!C11</f>
        <v>-13064.094757337845</v>
      </c>
      <c r="D16" s="163">
        <f>+'FC1'!D11</f>
        <v>-10690.070873981751</v>
      </c>
      <c r="E16" s="163">
        <f>+'FC1'!E11</f>
        <v>-8086.170899423194</v>
      </c>
      <c r="F16" s="163">
        <f>+'FC1'!F11</f>
        <v>-5230.135993859844</v>
      </c>
      <c r="G16" s="163">
        <f>+'FC1'!G11</f>
        <v>-2097.5520000452966</v>
      </c>
      <c r="H16" s="163">
        <f>+'FC1'!H11</f>
        <v>0</v>
      </c>
      <c r="I16" s="163">
        <f>+'FC1'!I11</f>
        <v>0</v>
      </c>
      <c r="J16" s="163">
        <f>+'FC1'!J11</f>
        <v>0</v>
      </c>
      <c r="K16" s="163">
        <f>+'FC1'!K11</f>
        <v>0</v>
      </c>
      <c r="L16" s="163">
        <f>+'FC1'!L11</f>
        <v>0</v>
      </c>
    </row>
    <row r="17" spans="1:12" ht="12.75">
      <c r="A17" t="s">
        <v>175</v>
      </c>
      <c r="C17" s="163">
        <f aca="true" t="shared" si="5" ref="C17:L17">SUM(C7:C16)</f>
        <v>9206.571909328823</v>
      </c>
      <c r="D17" s="163">
        <f t="shared" si="5"/>
        <v>11580.595792684917</v>
      </c>
      <c r="E17" s="163">
        <f t="shared" si="5"/>
        <v>14184.495767243474</v>
      </c>
      <c r="F17" s="163">
        <f t="shared" si="5"/>
        <v>17473.864006140157</v>
      </c>
      <c r="G17" s="163">
        <f t="shared" si="5"/>
        <v>20606.447999954704</v>
      </c>
      <c r="H17" s="163">
        <f t="shared" si="5"/>
        <v>23084</v>
      </c>
      <c r="I17" s="163">
        <f t="shared" si="5"/>
        <v>23084</v>
      </c>
      <c r="J17" s="163">
        <f t="shared" si="5"/>
        <v>23084</v>
      </c>
      <c r="K17" s="163">
        <f t="shared" si="5"/>
        <v>23084</v>
      </c>
      <c r="L17" s="163">
        <f t="shared" si="5"/>
        <v>23084</v>
      </c>
    </row>
    <row r="18" spans="1:12" ht="12.75">
      <c r="A18" t="s">
        <v>180</v>
      </c>
      <c r="C18" s="163">
        <f aca="true" t="shared" si="6" ref="C18:L18">-0.15*C17</f>
        <v>-1380.9857863993234</v>
      </c>
      <c r="D18" s="163">
        <f t="shared" si="6"/>
        <v>-1737.0893689027375</v>
      </c>
      <c r="E18" s="163">
        <f t="shared" si="6"/>
        <v>-2127.674365086521</v>
      </c>
      <c r="F18" s="163">
        <f t="shared" si="6"/>
        <v>-2621.0796009210235</v>
      </c>
      <c r="G18" s="163">
        <f t="shared" si="6"/>
        <v>-3090.9671999932057</v>
      </c>
      <c r="H18" s="163">
        <f t="shared" si="6"/>
        <v>-3462.6</v>
      </c>
      <c r="I18" s="163">
        <f t="shared" si="6"/>
        <v>-3462.6</v>
      </c>
      <c r="J18" s="163">
        <f t="shared" si="6"/>
        <v>-3462.6</v>
      </c>
      <c r="K18" s="163">
        <f t="shared" si="6"/>
        <v>-3462.6</v>
      </c>
      <c r="L18" s="163">
        <f t="shared" si="6"/>
        <v>-3462.6</v>
      </c>
    </row>
    <row r="19" spans="1:12" ht="12.75">
      <c r="A19" t="s">
        <v>163</v>
      </c>
      <c r="C19" s="163">
        <f aca="true" t="shared" si="7" ref="C19:L19">SUM(C17:C18)</f>
        <v>7825.586122929499</v>
      </c>
      <c r="D19" s="163">
        <f t="shared" si="7"/>
        <v>9843.506423782179</v>
      </c>
      <c r="E19" s="163">
        <f t="shared" si="7"/>
        <v>12056.821402156953</v>
      </c>
      <c r="F19" s="163">
        <f t="shared" si="7"/>
        <v>14852.784405219132</v>
      </c>
      <c r="G19" s="163">
        <f t="shared" si="7"/>
        <v>17515.480799961497</v>
      </c>
      <c r="H19" s="163">
        <f t="shared" si="7"/>
        <v>19621.4</v>
      </c>
      <c r="I19" s="163">
        <f t="shared" si="7"/>
        <v>19621.4</v>
      </c>
      <c r="J19" s="163">
        <f t="shared" si="7"/>
        <v>19621.4</v>
      </c>
      <c r="K19" s="163">
        <f t="shared" si="7"/>
        <v>19621.4</v>
      </c>
      <c r="L19" s="163">
        <f t="shared" si="7"/>
        <v>19621.4</v>
      </c>
    </row>
    <row r="20" spans="1:12" ht="12.75">
      <c r="A20" t="s">
        <v>164</v>
      </c>
      <c r="C20" s="163">
        <f aca="true" t="shared" si="8" ref="C20:L20">-0.25*C19</f>
        <v>-1956.3965307323747</v>
      </c>
      <c r="D20" s="163">
        <f t="shared" si="8"/>
        <v>-2460.8766059455447</v>
      </c>
      <c r="E20" s="163">
        <f t="shared" si="8"/>
        <v>-3014.205350539238</v>
      </c>
      <c r="F20" s="163">
        <f t="shared" si="8"/>
        <v>-3713.196101304783</v>
      </c>
      <c r="G20" s="163">
        <f t="shared" si="8"/>
        <v>-4378.870199990374</v>
      </c>
      <c r="H20" s="163">
        <f t="shared" si="8"/>
        <v>-4905.35</v>
      </c>
      <c r="I20" s="163">
        <f t="shared" si="8"/>
        <v>-4905.35</v>
      </c>
      <c r="J20" s="163">
        <f t="shared" si="8"/>
        <v>-4905.35</v>
      </c>
      <c r="K20" s="163">
        <f t="shared" si="8"/>
        <v>-4905.35</v>
      </c>
      <c r="L20" s="163">
        <f t="shared" si="8"/>
        <v>-4905.35</v>
      </c>
    </row>
    <row r="21" spans="1:12" ht="12.75">
      <c r="A21" t="s">
        <v>176</v>
      </c>
      <c r="C21" s="163">
        <f aca="true" t="shared" si="9" ref="C21:L21">SUM(C19:C20)</f>
        <v>5869.1895921971245</v>
      </c>
      <c r="D21" s="163">
        <f t="shared" si="9"/>
        <v>7382.629817836634</v>
      </c>
      <c r="E21" s="163">
        <f t="shared" si="9"/>
        <v>9042.616051617715</v>
      </c>
      <c r="F21" s="163">
        <f t="shared" si="9"/>
        <v>11139.588303914348</v>
      </c>
      <c r="G21" s="163">
        <f t="shared" si="9"/>
        <v>13136.610599971122</v>
      </c>
      <c r="H21" s="163">
        <f t="shared" si="9"/>
        <v>14716.050000000001</v>
      </c>
      <c r="I21" s="163">
        <f t="shared" si="9"/>
        <v>14716.050000000001</v>
      </c>
      <c r="J21" s="163">
        <f t="shared" si="9"/>
        <v>14716.050000000001</v>
      </c>
      <c r="K21" s="163">
        <f t="shared" si="9"/>
        <v>14716.050000000001</v>
      </c>
      <c r="L21" s="163">
        <f t="shared" si="9"/>
        <v>14716.050000000001</v>
      </c>
    </row>
    <row r="22" spans="1:12" ht="12.75">
      <c r="A22" t="s">
        <v>165</v>
      </c>
      <c r="C22" s="163">
        <f aca="true" t="shared" si="10" ref="C22:L23">-C14</f>
        <v>24903.333333333332</v>
      </c>
      <c r="D22" s="163">
        <f t="shared" si="10"/>
        <v>24903.333333333332</v>
      </c>
      <c r="E22" s="163">
        <f t="shared" si="10"/>
        <v>24903.333333333332</v>
      </c>
      <c r="F22" s="163">
        <f t="shared" si="10"/>
        <v>24470</v>
      </c>
      <c r="G22" s="163">
        <f t="shared" si="10"/>
        <v>24470</v>
      </c>
      <c r="H22" s="163">
        <f t="shared" si="10"/>
        <v>24470</v>
      </c>
      <c r="I22" s="163">
        <f t="shared" si="10"/>
        <v>24470</v>
      </c>
      <c r="J22" s="163">
        <f t="shared" si="10"/>
        <v>24470</v>
      </c>
      <c r="K22" s="163">
        <f t="shared" si="10"/>
        <v>24470</v>
      </c>
      <c r="L22" s="163">
        <f t="shared" si="10"/>
        <v>24470</v>
      </c>
    </row>
    <row r="23" spans="1:12" ht="12.75">
      <c r="A23" t="s">
        <v>166</v>
      </c>
      <c r="C23" s="163">
        <f t="shared" si="10"/>
        <v>380</v>
      </c>
      <c r="D23" s="163">
        <f t="shared" si="10"/>
        <v>380</v>
      </c>
      <c r="E23" s="163">
        <f t="shared" si="10"/>
        <v>380</v>
      </c>
      <c r="F23" s="163">
        <f t="shared" si="10"/>
        <v>380</v>
      </c>
      <c r="G23" s="163">
        <f t="shared" si="10"/>
        <v>380</v>
      </c>
      <c r="H23" s="163">
        <f t="shared" si="10"/>
        <v>0</v>
      </c>
      <c r="I23" s="163">
        <f t="shared" si="10"/>
        <v>0</v>
      </c>
      <c r="J23" s="163">
        <f t="shared" si="10"/>
        <v>0</v>
      </c>
      <c r="K23" s="163">
        <f t="shared" si="10"/>
        <v>0</v>
      </c>
      <c r="L23" s="163">
        <f t="shared" si="10"/>
        <v>0</v>
      </c>
    </row>
    <row r="24" spans="1:7" ht="12.75">
      <c r="A24" t="s">
        <v>168</v>
      </c>
      <c r="B24" s="163">
        <f>+'FC1'!B19</f>
        <v>-246000</v>
      </c>
      <c r="C24" s="163"/>
      <c r="D24" s="163"/>
      <c r="E24" s="163"/>
      <c r="F24" s="163"/>
      <c r="G24" s="163"/>
    </row>
    <row r="25" spans="1:7" ht="12.75">
      <c r="A25" t="s">
        <v>169</v>
      </c>
      <c r="B25" s="163">
        <f>+'FC1'!B20</f>
        <v>-1900</v>
      </c>
      <c r="C25" s="163"/>
      <c r="D25" s="163"/>
      <c r="E25" s="163"/>
      <c r="F25" s="163"/>
      <c r="G25" s="163"/>
    </row>
    <row r="26" spans="1:7" ht="12.75">
      <c r="A26" t="s">
        <v>200</v>
      </c>
      <c r="B26" s="163">
        <f>+'FC1'!B21</f>
        <v>-3282.5</v>
      </c>
      <c r="C26" s="163"/>
      <c r="D26" s="163"/>
      <c r="E26" s="163"/>
      <c r="F26" s="163"/>
      <c r="G26" s="163"/>
    </row>
    <row r="27" spans="1:7" ht="12.75">
      <c r="A27" t="s">
        <v>171</v>
      </c>
      <c r="B27" s="163">
        <f>+'FC1'!B22</f>
        <v>148740</v>
      </c>
      <c r="C27" s="163"/>
      <c r="D27" s="163"/>
      <c r="E27" s="163"/>
      <c r="F27" s="163"/>
      <c r="G27" s="163"/>
    </row>
    <row r="28" spans="1:7" ht="12.75">
      <c r="A28" t="s">
        <v>170</v>
      </c>
      <c r="B28" s="163"/>
      <c r="C28" s="163"/>
      <c r="D28" s="163"/>
      <c r="E28" s="163">
        <f>+'FC1'!E23</f>
        <v>-1300</v>
      </c>
      <c r="F28" s="163"/>
      <c r="G28" s="163"/>
    </row>
    <row r="29" spans="1:12" ht="12.75">
      <c r="A29" t="s">
        <v>172</v>
      </c>
      <c r="B29" s="163"/>
      <c r="C29" s="163">
        <f>+'FC1'!C24</f>
        <v>-24517.5101475918</v>
      </c>
      <c r="D29" s="163">
        <f>+'FC1'!D24</f>
        <v>-26891.5340309479</v>
      </c>
      <c r="E29" s="163">
        <f>+'FC1'!E24</f>
        <v>-29495.434005506453</v>
      </c>
      <c r="F29" s="163">
        <f>+'FC1'!F24</f>
        <v>-32351.468911069802</v>
      </c>
      <c r="G29" s="163">
        <f>+'FC1'!G24</f>
        <v>-35484.05290488435</v>
      </c>
      <c r="H29" s="163">
        <f>+'FC1'!H24</f>
        <v>0</v>
      </c>
      <c r="I29" s="163">
        <f>+'FC1'!I24</f>
        <v>0</v>
      </c>
      <c r="J29" s="163">
        <f>+'FC1'!J24</f>
        <v>0</v>
      </c>
      <c r="K29" s="163">
        <f>+'FC1'!K24</f>
        <v>0</v>
      </c>
      <c r="L29" s="163">
        <f>+'FC1'!L24</f>
        <v>0</v>
      </c>
    </row>
    <row r="30" spans="1:12" ht="12.75">
      <c r="A30" t="s">
        <v>201</v>
      </c>
      <c r="B30" s="163"/>
      <c r="C30" s="163"/>
      <c r="D30" s="163"/>
      <c r="E30" s="163"/>
      <c r="F30" s="163"/>
      <c r="G30" s="163"/>
      <c r="L30">
        <f>+'FC1'!L25</f>
        <v>105491.39784946237</v>
      </c>
    </row>
    <row r="31" spans="2:7" ht="12.75">
      <c r="B31" s="163"/>
      <c r="C31" s="163"/>
      <c r="D31" s="163"/>
      <c r="E31" s="163"/>
      <c r="F31" s="163"/>
      <c r="G31" s="163"/>
    </row>
    <row r="32" spans="1:12" ht="12.75">
      <c r="A32" s="62" t="s">
        <v>173</v>
      </c>
      <c r="B32" s="164">
        <f>SUM(B24:B31)</f>
        <v>-102442.5</v>
      </c>
      <c r="C32" s="164">
        <f aca="true" t="shared" si="11" ref="C32:L32">C21+C22+C23+C28+C29+C30</f>
        <v>6635.012777938657</v>
      </c>
      <c r="D32" s="164">
        <f t="shared" si="11"/>
        <v>5774.429120222067</v>
      </c>
      <c r="E32" s="164">
        <f t="shared" si="11"/>
        <v>3530.515379444594</v>
      </c>
      <c r="F32" s="164">
        <f t="shared" si="11"/>
        <v>3638.11939284455</v>
      </c>
      <c r="G32" s="164">
        <f t="shared" si="11"/>
        <v>2502.557695086769</v>
      </c>
      <c r="H32" s="164">
        <f t="shared" si="11"/>
        <v>39186.05</v>
      </c>
      <c r="I32" s="164">
        <f t="shared" si="11"/>
        <v>39186.05</v>
      </c>
      <c r="J32" s="164">
        <f t="shared" si="11"/>
        <v>39186.05</v>
      </c>
      <c r="K32" s="164">
        <f t="shared" si="11"/>
        <v>39186.05</v>
      </c>
      <c r="L32" s="164">
        <f t="shared" si="11"/>
        <v>144677.4478494624</v>
      </c>
    </row>
    <row r="34" spans="1:2" ht="12.75">
      <c r="A34" s="62" t="s">
        <v>212</v>
      </c>
      <c r="B34" s="164">
        <f>NPV(+'FC1'!E44,C32:L32)+B32</f>
        <v>12351.065127374532</v>
      </c>
    </row>
  </sheetData>
  <sheetProtection/>
  <printOptions/>
  <pageMargins left="0.75" right="0.75" top="1" bottom="1" header="0" footer="0"/>
  <pageSetup horizontalDpi="300" verticalDpi="300" orientation="portrait" r:id="rId1"/>
  <ignoredErrors>
    <ignoredError sqref="C20:G20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2.8515625" style="0" bestFit="1" customWidth="1"/>
  </cols>
  <sheetData>
    <row r="1" spans="1:7" ht="12.75">
      <c r="A1" s="88"/>
      <c r="B1" s="151">
        <v>0</v>
      </c>
      <c r="C1" s="151">
        <v>1</v>
      </c>
      <c r="D1" s="151">
        <v>2</v>
      </c>
      <c r="E1" s="151">
        <v>3</v>
      </c>
      <c r="F1" s="151">
        <v>4</v>
      </c>
      <c r="G1" s="97">
        <v>5</v>
      </c>
    </row>
    <row r="2" spans="1:8" ht="12.75">
      <c r="A2" s="89" t="s">
        <v>144</v>
      </c>
      <c r="B2" s="66"/>
      <c r="C2" s="82">
        <f>+INGRESOS!C33</f>
        <v>86944</v>
      </c>
      <c r="D2" s="82">
        <f aca="true" t="shared" si="0" ref="D2:G10">+C2</f>
        <v>86944</v>
      </c>
      <c r="E2" s="82">
        <f t="shared" si="0"/>
        <v>86944</v>
      </c>
      <c r="F2" s="82">
        <f t="shared" si="0"/>
        <v>86944</v>
      </c>
      <c r="G2" s="153">
        <f t="shared" si="0"/>
        <v>86944</v>
      </c>
      <c r="H2" s="81"/>
    </row>
    <row r="3" spans="1:8" ht="12.75">
      <c r="A3" s="89" t="s">
        <v>157</v>
      </c>
      <c r="B3" s="66"/>
      <c r="C3" s="82">
        <f>-'COSTOS&amp;GASTOS'!E18</f>
        <v>-14400</v>
      </c>
      <c r="D3" s="82">
        <f t="shared" si="0"/>
        <v>-14400</v>
      </c>
      <c r="E3" s="82">
        <f t="shared" si="0"/>
        <v>-14400</v>
      </c>
      <c r="F3" s="82">
        <f t="shared" si="0"/>
        <v>-14400</v>
      </c>
      <c r="G3" s="153">
        <f t="shared" si="0"/>
        <v>-14400</v>
      </c>
      <c r="H3" s="81"/>
    </row>
    <row r="4" spans="1:8" ht="12.75">
      <c r="A4" s="89" t="s">
        <v>162</v>
      </c>
      <c r="B4" s="66"/>
      <c r="C4" s="82">
        <f>-'COSTOS&amp;GASTOS'!E22</f>
        <v>-3600</v>
      </c>
      <c r="D4" s="82">
        <f t="shared" si="0"/>
        <v>-3600</v>
      </c>
      <c r="E4" s="82">
        <f t="shared" si="0"/>
        <v>-3600</v>
      </c>
      <c r="F4" s="82">
        <f t="shared" si="0"/>
        <v>-3600</v>
      </c>
      <c r="G4" s="153">
        <f t="shared" si="0"/>
        <v>-3600</v>
      </c>
      <c r="H4" s="81"/>
    </row>
    <row r="5" spans="1:8" ht="12.75">
      <c r="A5" s="89" t="s">
        <v>159</v>
      </c>
      <c r="B5" s="66"/>
      <c r="C5" s="82">
        <f>-'COSTOS&amp;GASTOS'!E19</f>
        <v>-3456</v>
      </c>
      <c r="D5" s="82">
        <f t="shared" si="0"/>
        <v>-3456</v>
      </c>
      <c r="E5" s="82">
        <f t="shared" si="0"/>
        <v>-3456</v>
      </c>
      <c r="F5" s="82">
        <f t="shared" si="0"/>
        <v>-3456</v>
      </c>
      <c r="G5" s="153">
        <f t="shared" si="0"/>
        <v>-3456</v>
      </c>
      <c r="H5" s="81"/>
    </row>
    <row r="6" spans="1:8" ht="12.75">
      <c r="A6" s="89" t="s">
        <v>158</v>
      </c>
      <c r="B6" s="66"/>
      <c r="C6" s="82">
        <f>-'COSTOS&amp;GASTOS'!E20</f>
        <v>-3600</v>
      </c>
      <c r="D6" s="82">
        <f t="shared" si="0"/>
        <v>-3600</v>
      </c>
      <c r="E6" s="82">
        <f t="shared" si="0"/>
        <v>-3600</v>
      </c>
      <c r="F6" s="82">
        <f t="shared" si="0"/>
        <v>-3600</v>
      </c>
      <c r="G6" s="153">
        <f t="shared" si="0"/>
        <v>-3600</v>
      </c>
      <c r="H6" s="81"/>
    </row>
    <row r="7" spans="1:8" ht="12.75">
      <c r="A7" s="89" t="s">
        <v>160</v>
      </c>
      <c r="B7" s="66"/>
      <c r="C7" s="82" t="e">
        <f>-'COSTOS&amp;GASTOS'!#REF!</f>
        <v>#REF!</v>
      </c>
      <c r="D7" s="82" t="e">
        <f t="shared" si="0"/>
        <v>#REF!</v>
      </c>
      <c r="E7" s="82" t="e">
        <f t="shared" si="0"/>
        <v>#REF!</v>
      </c>
      <c r="F7" s="82" t="e">
        <f t="shared" si="0"/>
        <v>#REF!</v>
      </c>
      <c r="G7" s="153" t="e">
        <f t="shared" si="0"/>
        <v>#REF!</v>
      </c>
      <c r="H7" s="81"/>
    </row>
    <row r="8" spans="1:8" ht="12.75">
      <c r="A8" s="89" t="s">
        <v>161</v>
      </c>
      <c r="B8" s="66"/>
      <c r="C8" s="82">
        <f>-'COSTOS&amp;GASTOS'!E21</f>
        <v>-6534</v>
      </c>
      <c r="D8" s="82">
        <f t="shared" si="0"/>
        <v>-6534</v>
      </c>
      <c r="E8" s="82">
        <f t="shared" si="0"/>
        <v>-6534</v>
      </c>
      <c r="F8" s="82">
        <f t="shared" si="0"/>
        <v>-6534</v>
      </c>
      <c r="G8" s="153">
        <f t="shared" si="0"/>
        <v>-6534</v>
      </c>
      <c r="H8" s="81"/>
    </row>
    <row r="9" spans="1:8" ht="12.75">
      <c r="A9" s="89" t="s">
        <v>156</v>
      </c>
      <c r="B9" s="66"/>
      <c r="C9" s="82" t="e">
        <f>-'COSTOS&amp;GASTOS'!#REF!</f>
        <v>#REF!</v>
      </c>
      <c r="D9" s="82" t="e">
        <f t="shared" si="0"/>
        <v>#REF!</v>
      </c>
      <c r="E9" s="82" t="e">
        <f t="shared" si="0"/>
        <v>#REF!</v>
      </c>
      <c r="F9" s="82" t="e">
        <f t="shared" si="0"/>
        <v>#REF!</v>
      </c>
      <c r="G9" s="153" t="e">
        <f t="shared" si="0"/>
        <v>#REF!</v>
      </c>
      <c r="H9" s="81"/>
    </row>
    <row r="10" spans="1:8" ht="12.75">
      <c r="A10" s="89" t="s">
        <v>124</v>
      </c>
      <c r="B10" s="66"/>
      <c r="C10" s="82">
        <f>-'COSTOS&amp;GASTOS'!E23</f>
        <v>-7800</v>
      </c>
      <c r="D10" s="82">
        <f t="shared" si="0"/>
        <v>-7800</v>
      </c>
      <c r="E10" s="82">
        <f t="shared" si="0"/>
        <v>-7800</v>
      </c>
      <c r="F10" s="82">
        <f t="shared" si="0"/>
        <v>-7800</v>
      </c>
      <c r="G10" s="153">
        <f t="shared" si="0"/>
        <v>-7800</v>
      </c>
      <c r="H10" s="81"/>
    </row>
    <row r="11" spans="1:8" ht="12.75">
      <c r="A11" s="89" t="s">
        <v>165</v>
      </c>
      <c r="B11" s="66"/>
      <c r="C11" s="82">
        <f>-'DEP Y AMORT.'!D9+'DEP Y AMORT.'!D7</f>
        <v>-24903.333333333332</v>
      </c>
      <c r="D11" s="82">
        <f>-'DEP Y AMORT.'!E9+'DEP Y AMORT.'!E7</f>
        <v>-24903.333333333332</v>
      </c>
      <c r="E11" s="82">
        <f>-'DEP Y AMORT.'!F9+'DEP Y AMORT.'!F7</f>
        <v>-24903.333333333332</v>
      </c>
      <c r="F11" s="82">
        <f>-'DEP Y AMORT.'!G9+'DEP Y AMORT.'!G7</f>
        <v>-24470</v>
      </c>
      <c r="G11" s="153">
        <f>-'DEP Y AMORT.'!H9+'DEP Y AMORT.'!H7</f>
        <v>-24470</v>
      </c>
      <c r="H11" s="81"/>
    </row>
    <row r="12" spans="1:8" ht="12.75">
      <c r="A12" s="89" t="s">
        <v>166</v>
      </c>
      <c r="B12" s="66"/>
      <c r="C12" s="82">
        <f>-'DEP Y AMORT.'!D7</f>
        <v>-380</v>
      </c>
      <c r="D12" s="82">
        <f>-'DEP Y AMORT.'!E7</f>
        <v>-380</v>
      </c>
      <c r="E12" s="82">
        <f>-'DEP Y AMORT.'!F7</f>
        <v>-380</v>
      </c>
      <c r="F12" s="82">
        <f>-'DEP Y AMORT.'!G7</f>
        <v>-380</v>
      </c>
      <c r="G12" s="153">
        <f>-'DEP Y AMORT.'!H7</f>
        <v>-380</v>
      </c>
      <c r="H12" s="81"/>
    </row>
    <row r="13" spans="1:8" ht="12.75">
      <c r="A13" s="89" t="s">
        <v>199</v>
      </c>
      <c r="B13" s="66"/>
      <c r="C13" s="82" t="e">
        <f>-'COSTOS&amp;GASTOS'!#REF!</f>
        <v>#REF!</v>
      </c>
      <c r="D13" s="82" t="e">
        <f>+C13</f>
        <v>#REF!</v>
      </c>
      <c r="E13" s="82" t="e">
        <f>+D13</f>
        <v>#REF!</v>
      </c>
      <c r="F13" s="82" t="e">
        <f>+E13</f>
        <v>#REF!</v>
      </c>
      <c r="G13" s="153" t="e">
        <f>+F13</f>
        <v>#REF!</v>
      </c>
      <c r="H13" s="81"/>
    </row>
    <row r="14" spans="1:8" ht="12.75">
      <c r="A14" s="90" t="s">
        <v>175</v>
      </c>
      <c r="B14" s="157"/>
      <c r="C14" s="158" t="e">
        <f>SUM(C2:C13)</f>
        <v>#REF!</v>
      </c>
      <c r="D14" s="158" t="e">
        <f>SUM(D2:D13)</f>
        <v>#REF!</v>
      </c>
      <c r="E14" s="158" t="e">
        <f>SUM(E2:E13)</f>
        <v>#REF!</v>
      </c>
      <c r="F14" s="158" t="e">
        <f>SUM(F2:F13)</f>
        <v>#REF!</v>
      </c>
      <c r="G14" s="159" t="e">
        <f>SUM(G2:G13)</f>
        <v>#REF!</v>
      </c>
      <c r="H14" s="81"/>
    </row>
    <row r="15" spans="1:8" ht="12.75">
      <c r="A15" s="89" t="s">
        <v>180</v>
      </c>
      <c r="B15" s="66"/>
      <c r="C15" s="82" t="e">
        <f>-0.15*C14</f>
        <v>#REF!</v>
      </c>
      <c r="D15" s="82" t="e">
        <f>-0.15*D14</f>
        <v>#REF!</v>
      </c>
      <c r="E15" s="82" t="e">
        <f>-0.15*E14</f>
        <v>#REF!</v>
      </c>
      <c r="F15" s="82" t="e">
        <f>-0.15*F14</f>
        <v>#REF!</v>
      </c>
      <c r="G15" s="153" t="e">
        <f>-0.15*G14</f>
        <v>#REF!</v>
      </c>
      <c r="H15" s="81"/>
    </row>
    <row r="16" spans="1:8" ht="12.75">
      <c r="A16" s="89" t="s">
        <v>163</v>
      </c>
      <c r="B16" s="66"/>
      <c r="C16" s="82" t="e">
        <f>C14+C15</f>
        <v>#REF!</v>
      </c>
      <c r="D16" s="82" t="e">
        <f>D14+D15</f>
        <v>#REF!</v>
      </c>
      <c r="E16" s="82" t="e">
        <f>E14+E15</f>
        <v>#REF!</v>
      </c>
      <c r="F16" s="82" t="e">
        <f>F14+F15</f>
        <v>#REF!</v>
      </c>
      <c r="G16" s="153" t="e">
        <f>G14+G15</f>
        <v>#REF!</v>
      </c>
      <c r="H16" s="81"/>
    </row>
    <row r="17" spans="1:8" ht="12.75">
      <c r="A17" s="89" t="s">
        <v>164</v>
      </c>
      <c r="B17" s="66"/>
      <c r="C17" s="82" t="e">
        <f>-0.25*C16</f>
        <v>#REF!</v>
      </c>
      <c r="D17" s="82" t="e">
        <f>-0.25*D16</f>
        <v>#REF!</v>
      </c>
      <c r="E17" s="82" t="e">
        <f>-0.25*E16</f>
        <v>#REF!</v>
      </c>
      <c r="F17" s="82" t="e">
        <f>-0.25*F16</f>
        <v>#REF!</v>
      </c>
      <c r="G17" s="153" t="e">
        <f>-0.25*G16</f>
        <v>#REF!</v>
      </c>
      <c r="H17" s="81"/>
    </row>
    <row r="18" spans="1:8" ht="12.75">
      <c r="A18" s="90" t="s">
        <v>176</v>
      </c>
      <c r="B18" s="157"/>
      <c r="C18" s="158" t="e">
        <f>SUM(C16:C17)</f>
        <v>#REF!</v>
      </c>
      <c r="D18" s="158" t="e">
        <f>SUM(D16:D17)</f>
        <v>#REF!</v>
      </c>
      <c r="E18" s="158" t="e">
        <f>SUM(E16:E17)</f>
        <v>#REF!</v>
      </c>
      <c r="F18" s="158" t="e">
        <f>SUM(F16:F17)</f>
        <v>#REF!</v>
      </c>
      <c r="G18" s="159" t="e">
        <f>SUM(G16:G17)</f>
        <v>#REF!</v>
      </c>
      <c r="H18" s="81"/>
    </row>
    <row r="19" spans="1:8" ht="12.75">
      <c r="A19" s="89" t="s">
        <v>165</v>
      </c>
      <c r="B19" s="66"/>
      <c r="C19" s="82">
        <f aca="true" t="shared" si="1" ref="C19:G20">-C11</f>
        <v>24903.333333333332</v>
      </c>
      <c r="D19" s="82">
        <f t="shared" si="1"/>
        <v>24903.333333333332</v>
      </c>
      <c r="E19" s="82">
        <f t="shared" si="1"/>
        <v>24903.333333333332</v>
      </c>
      <c r="F19" s="82">
        <f t="shared" si="1"/>
        <v>24470</v>
      </c>
      <c r="G19" s="153">
        <f t="shared" si="1"/>
        <v>24470</v>
      </c>
      <c r="H19" s="81"/>
    </row>
    <row r="20" spans="1:8" ht="12.75">
      <c r="A20" s="89" t="s">
        <v>166</v>
      </c>
      <c r="B20" s="66"/>
      <c r="C20" s="82">
        <f t="shared" si="1"/>
        <v>380</v>
      </c>
      <c r="D20" s="82">
        <f t="shared" si="1"/>
        <v>380</v>
      </c>
      <c r="E20" s="82">
        <f t="shared" si="1"/>
        <v>380</v>
      </c>
      <c r="F20" s="82">
        <f t="shared" si="1"/>
        <v>380</v>
      </c>
      <c r="G20" s="153">
        <f t="shared" si="1"/>
        <v>380</v>
      </c>
      <c r="H20" s="81"/>
    </row>
    <row r="21" spans="1:8" ht="12.75">
      <c r="A21" s="89" t="s">
        <v>168</v>
      </c>
      <c r="B21" s="82">
        <f>-FINANCIAMIENTO!B4-FINANCIAMIENTO!B5-FINANCIAMIENTO!B6</f>
        <v>-246000</v>
      </c>
      <c r="C21" s="82"/>
      <c r="D21" s="82"/>
      <c r="E21" s="82"/>
      <c r="F21" s="82"/>
      <c r="G21" s="153"/>
      <c r="H21" s="81"/>
    </row>
    <row r="22" spans="1:8" ht="12.75">
      <c r="A22" s="89" t="s">
        <v>169</v>
      </c>
      <c r="B22" s="82">
        <f>-FINANCIAMIENTO!B7</f>
        <v>-1900</v>
      </c>
      <c r="C22" s="82"/>
      <c r="D22" s="82"/>
      <c r="E22" s="82"/>
      <c r="F22" s="82"/>
      <c r="G22" s="153"/>
      <c r="H22" s="81"/>
    </row>
    <row r="23" spans="1:8" ht="12.75">
      <c r="A23" s="89" t="s">
        <v>200</v>
      </c>
      <c r="B23" s="82" t="e">
        <f>'CAP. TRABAJO'!B23-FINANCIAMIENTO!#REF!</f>
        <v>#REF!</v>
      </c>
      <c r="C23" s="82"/>
      <c r="D23" s="82"/>
      <c r="E23" s="82"/>
      <c r="F23" s="82"/>
      <c r="G23" s="153"/>
      <c r="H23" s="81"/>
    </row>
    <row r="24" spans="1:8" ht="12.75">
      <c r="A24" s="89" t="s">
        <v>170</v>
      </c>
      <c r="B24" s="82"/>
      <c r="C24" s="82"/>
      <c r="D24" s="82"/>
      <c r="E24" s="82">
        <f>-'DEP Y AMORT.'!B5</f>
        <v>-1300</v>
      </c>
      <c r="F24" s="82"/>
      <c r="G24" s="153"/>
      <c r="H24" s="81"/>
    </row>
    <row r="25" spans="1:8" ht="12.75">
      <c r="A25" s="89" t="s">
        <v>201</v>
      </c>
      <c r="B25" s="82"/>
      <c r="C25" s="82"/>
      <c r="D25" s="82"/>
      <c r="E25" s="82"/>
      <c r="F25" s="82"/>
      <c r="G25" s="153" t="e">
        <f>-B23+'DEP Y AMORT.'!N9</f>
        <v>#REF!</v>
      </c>
      <c r="H25" s="81"/>
    </row>
    <row r="26" spans="1:8" ht="12.75">
      <c r="A26" s="135"/>
      <c r="B26" s="155"/>
      <c r="C26" s="155"/>
      <c r="D26" s="155"/>
      <c r="E26" s="155"/>
      <c r="F26" s="155"/>
      <c r="G26" s="156"/>
      <c r="H26" s="81"/>
    </row>
    <row r="27" spans="1:8" ht="13.5" thickBot="1">
      <c r="A27" s="47" t="s">
        <v>173</v>
      </c>
      <c r="B27" s="152" t="e">
        <f>SUM(B21:B26)</f>
        <v>#REF!</v>
      </c>
      <c r="C27" s="152" t="e">
        <f>C18+C19+C20+C24+C25</f>
        <v>#REF!</v>
      </c>
      <c r="D27" s="152" t="e">
        <f>D18+D19+D20+D24+D25</f>
        <v>#REF!</v>
      </c>
      <c r="E27" s="152" t="e">
        <f>E18+E19+E20+E24+E25</f>
        <v>#REF!</v>
      </c>
      <c r="F27" s="152" t="e">
        <f>F18+F19+F20+F24+F25</f>
        <v>#REF!</v>
      </c>
      <c r="G27" s="154" t="e">
        <f>G18+G19+G20+G24+G25</f>
        <v>#REF!</v>
      </c>
      <c r="H27" s="81"/>
    </row>
    <row r="28" ht="13.5" thickBot="1"/>
    <row r="29" spans="1:15" ht="12.75">
      <c r="A29" s="62" t="s">
        <v>211</v>
      </c>
      <c r="B29" s="64" t="e">
        <f>NPV(27.72%,C27:G27)+B27</f>
        <v>#REF!</v>
      </c>
      <c r="I29" s="107"/>
      <c r="J29" s="96" t="s">
        <v>204</v>
      </c>
      <c r="K29" s="96" t="s">
        <v>205</v>
      </c>
      <c r="L29" s="96" t="s">
        <v>206</v>
      </c>
      <c r="M29" s="96" t="s">
        <v>207</v>
      </c>
      <c r="N29" s="96" t="s">
        <v>208</v>
      </c>
      <c r="O29" s="97" t="s">
        <v>209</v>
      </c>
    </row>
    <row r="30" spans="1:15" ht="12.75">
      <c r="A30" s="62" t="s">
        <v>174</v>
      </c>
      <c r="B30" s="162" t="e">
        <f>IRR(B27:G27)</f>
        <v>#VALUE!</v>
      </c>
      <c r="I30" s="161" t="s">
        <v>202</v>
      </c>
      <c r="J30" s="275" t="e">
        <f aca="true" t="shared" si="2" ref="J30:O30">+B27</f>
        <v>#REF!</v>
      </c>
      <c r="K30" s="275" t="e">
        <f t="shared" si="2"/>
        <v>#REF!</v>
      </c>
      <c r="L30" s="275" t="e">
        <f t="shared" si="2"/>
        <v>#REF!</v>
      </c>
      <c r="M30" s="275" t="e">
        <f t="shared" si="2"/>
        <v>#REF!</v>
      </c>
      <c r="N30" s="275" t="e">
        <f t="shared" si="2"/>
        <v>#REF!</v>
      </c>
      <c r="O30" s="277" t="e">
        <f t="shared" si="2"/>
        <v>#REF!</v>
      </c>
    </row>
    <row r="31" spans="9:15" ht="13.5" thickBot="1">
      <c r="I31" s="160" t="s">
        <v>203</v>
      </c>
      <c r="J31" s="276"/>
      <c r="K31" s="276"/>
      <c r="L31" s="276"/>
      <c r="M31" s="276"/>
      <c r="N31" s="276"/>
      <c r="O31" s="278"/>
    </row>
  </sheetData>
  <sheetProtection/>
  <mergeCells count="6">
    <mergeCell ref="N30:N31"/>
    <mergeCell ref="O30:O31"/>
    <mergeCell ref="J30:J31"/>
    <mergeCell ref="K30:K31"/>
    <mergeCell ref="L30:L31"/>
    <mergeCell ref="M30:M31"/>
  </mergeCell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31" sqref="D31"/>
    </sheetView>
  </sheetViews>
  <sheetFormatPr defaultColWidth="11.421875" defaultRowHeight="12.75"/>
  <cols>
    <col min="1" max="1" width="4.8515625" style="4" bestFit="1" customWidth="1"/>
    <col min="2" max="2" width="13.28125" style="4" bestFit="1" customWidth="1"/>
    <col min="3" max="3" width="11.421875" style="4" customWidth="1"/>
    <col min="4" max="4" width="17.421875" style="4" bestFit="1" customWidth="1"/>
    <col min="5" max="5" width="11.421875" style="4" customWidth="1"/>
    <col min="6" max="6" width="14.421875" style="4" bestFit="1" customWidth="1"/>
    <col min="7" max="7" width="4.8515625" style="4" bestFit="1" customWidth="1"/>
    <col min="8" max="16384" width="11.421875" style="4" customWidth="1"/>
  </cols>
  <sheetData>
    <row r="1" spans="1:7" ht="12.75">
      <c r="A1" s="9"/>
      <c r="B1" s="12"/>
      <c r="C1" s="12"/>
      <c r="D1" s="7"/>
      <c r="E1" s="12"/>
      <c r="F1" s="12"/>
      <c r="G1" s="15"/>
    </row>
    <row r="2" spans="1:7" ht="12.75">
      <c r="A2" s="10"/>
      <c r="B2" s="13"/>
      <c r="C2" s="13"/>
      <c r="D2" s="5" t="s">
        <v>9</v>
      </c>
      <c r="E2" s="13"/>
      <c r="F2" s="13"/>
      <c r="G2" s="16"/>
    </row>
    <row r="3" spans="1:7" ht="12.75">
      <c r="A3" s="10"/>
      <c r="B3" s="13"/>
      <c r="C3" s="13"/>
      <c r="D3" s="6" t="s">
        <v>4</v>
      </c>
      <c r="E3" s="13"/>
      <c r="F3" s="13"/>
      <c r="G3" s="16"/>
    </row>
    <row r="4" spans="1:7" ht="12.75">
      <c r="A4" s="10"/>
      <c r="B4" s="13"/>
      <c r="C4" s="13"/>
      <c r="D4" s="13"/>
      <c r="E4" s="13"/>
      <c r="F4" s="13"/>
      <c r="G4" s="16"/>
    </row>
    <row r="5" spans="1:7" ht="12.75">
      <c r="A5" s="10"/>
      <c r="B5" s="13"/>
      <c r="C5" s="13"/>
      <c r="D5" s="13"/>
      <c r="E5" s="13"/>
      <c r="F5" s="13"/>
      <c r="G5" s="16"/>
    </row>
    <row r="6" spans="1:7" ht="12.75">
      <c r="A6" s="10"/>
      <c r="B6" s="13"/>
      <c r="C6" s="13"/>
      <c r="D6" s="13"/>
      <c r="E6" s="13"/>
      <c r="F6" s="13"/>
      <c r="G6" s="16"/>
    </row>
    <row r="7" spans="1:7" ht="12.75">
      <c r="A7" s="10"/>
      <c r="B7" s="5" t="s">
        <v>12</v>
      </c>
      <c r="C7" s="13"/>
      <c r="D7" s="5" t="s">
        <v>11</v>
      </c>
      <c r="E7" s="13"/>
      <c r="F7" s="5" t="s">
        <v>10</v>
      </c>
      <c r="G7" s="16"/>
    </row>
    <row r="8" spans="1:7" ht="12.75">
      <c r="A8" s="10"/>
      <c r="B8" s="6" t="s">
        <v>7</v>
      </c>
      <c r="C8" s="13"/>
      <c r="D8" s="6" t="s">
        <v>5</v>
      </c>
      <c r="E8" s="13"/>
      <c r="F8" s="6" t="s">
        <v>6</v>
      </c>
      <c r="G8" s="16"/>
    </row>
    <row r="9" spans="1:7" ht="12.75">
      <c r="A9" s="10"/>
      <c r="B9" s="13"/>
      <c r="C9" s="13"/>
      <c r="D9" s="13"/>
      <c r="E9" s="13"/>
      <c r="F9" s="13"/>
      <c r="G9" s="16"/>
    </row>
    <row r="10" spans="1:7" ht="12.75">
      <c r="A10" s="10"/>
      <c r="B10" s="13"/>
      <c r="C10" s="13"/>
      <c r="D10" s="13"/>
      <c r="E10" s="13"/>
      <c r="F10" s="13"/>
      <c r="G10" s="16"/>
    </row>
    <row r="11" spans="1:7" ht="12.75">
      <c r="A11" s="10"/>
      <c r="B11" s="13"/>
      <c r="C11" s="13"/>
      <c r="D11" s="13"/>
      <c r="E11" s="13"/>
      <c r="F11" s="13"/>
      <c r="G11" s="16"/>
    </row>
    <row r="12" spans="1:7" ht="12.75">
      <c r="A12" s="10"/>
      <c r="B12" s="13"/>
      <c r="C12" s="13"/>
      <c r="D12" s="5" t="s">
        <v>13</v>
      </c>
      <c r="E12" s="13"/>
      <c r="F12" s="13"/>
      <c r="G12" s="16"/>
    </row>
    <row r="13" spans="1:7" ht="12.75">
      <c r="A13" s="10"/>
      <c r="B13" s="13"/>
      <c r="C13" s="13"/>
      <c r="D13" s="6" t="s">
        <v>8</v>
      </c>
      <c r="E13" s="13"/>
      <c r="F13" s="13"/>
      <c r="G13" s="16"/>
    </row>
    <row r="14" spans="1:7" ht="13.5" thickBot="1">
      <c r="A14" s="11"/>
      <c r="B14" s="14"/>
      <c r="C14" s="14"/>
      <c r="D14" s="8"/>
      <c r="E14" s="14"/>
      <c r="F14" s="14"/>
      <c r="G14" s="17"/>
    </row>
  </sheetData>
  <sheetProtection/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15.421875" style="0" bestFit="1" customWidth="1"/>
  </cols>
  <sheetData>
    <row r="1" spans="1:2" ht="12.75">
      <c r="A1" t="s">
        <v>14</v>
      </c>
      <c r="B1" s="3">
        <v>0.8</v>
      </c>
    </row>
    <row r="2" spans="1:2" ht="12.75">
      <c r="A2" t="s">
        <v>15</v>
      </c>
      <c r="B2" s="3">
        <v>0.1</v>
      </c>
    </row>
    <row r="3" spans="1:2" ht="12.75">
      <c r="A3" t="s">
        <v>16</v>
      </c>
      <c r="B3" s="3">
        <v>0.07</v>
      </c>
    </row>
    <row r="4" spans="1:2" ht="12.75">
      <c r="A4" t="s">
        <v>17</v>
      </c>
      <c r="B4" s="3">
        <v>0.03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39" sqref="C39"/>
    </sheetView>
  </sheetViews>
  <sheetFormatPr defaultColWidth="11.421875" defaultRowHeight="12.75"/>
  <cols>
    <col min="1" max="2" width="5.00390625" style="18" bestFit="1" customWidth="1"/>
    <col min="3" max="3" width="49.57421875" style="18" bestFit="1" customWidth="1"/>
    <col min="4" max="4" width="6.00390625" style="18" bestFit="1" customWidth="1"/>
    <col min="5" max="5" width="7.7109375" style="18" bestFit="1" customWidth="1"/>
    <col min="6" max="16384" width="11.421875" style="18" customWidth="1"/>
  </cols>
  <sheetData>
    <row r="1" spans="1:5" ht="12.75" thickBot="1">
      <c r="A1" s="246" t="s">
        <v>18</v>
      </c>
      <c r="B1" s="247"/>
      <c r="C1" s="19"/>
      <c r="D1" s="19"/>
      <c r="E1" s="19"/>
    </row>
    <row r="2" spans="1:5" ht="12">
      <c r="A2" s="23">
        <v>2006</v>
      </c>
      <c r="B2" s="24">
        <v>2005</v>
      </c>
      <c r="C2" s="25" t="s">
        <v>30</v>
      </c>
      <c r="D2" s="25" t="s">
        <v>34</v>
      </c>
      <c r="E2" s="26" t="s">
        <v>31</v>
      </c>
    </row>
    <row r="3" spans="1:5" ht="12">
      <c r="A3" s="27">
        <v>1</v>
      </c>
      <c r="B3" s="20">
        <v>1</v>
      </c>
      <c r="C3" s="21" t="s">
        <v>20</v>
      </c>
      <c r="D3" s="21">
        <v>121.6</v>
      </c>
      <c r="E3" s="28">
        <f>D3/$D$14</f>
        <v>0.19428023645949832</v>
      </c>
    </row>
    <row r="4" spans="1:5" ht="12">
      <c r="A4" s="27">
        <v>2</v>
      </c>
      <c r="B4" s="20">
        <v>2</v>
      </c>
      <c r="C4" s="21" t="s">
        <v>21</v>
      </c>
      <c r="D4" s="21">
        <v>105</v>
      </c>
      <c r="E4" s="28">
        <f aca="true" t="shared" si="0" ref="E4:E14">D4/$D$14</f>
        <v>0.16775842786387601</v>
      </c>
    </row>
    <row r="5" spans="1:5" ht="12">
      <c r="A5" s="27">
        <v>3</v>
      </c>
      <c r="B5" s="20">
        <v>3</v>
      </c>
      <c r="C5" s="21" t="s">
        <v>22</v>
      </c>
      <c r="D5" s="21">
        <v>55.2</v>
      </c>
      <c r="E5" s="28">
        <f t="shared" si="0"/>
        <v>0.08819300207700911</v>
      </c>
    </row>
    <row r="6" spans="1:5" ht="12">
      <c r="A6" s="27">
        <v>4</v>
      </c>
      <c r="B6" s="20">
        <v>4</v>
      </c>
      <c r="C6" s="21" t="s">
        <v>23</v>
      </c>
      <c r="D6" s="21">
        <v>37.1</v>
      </c>
      <c r="E6" s="28">
        <f t="shared" si="0"/>
        <v>0.05927464451190286</v>
      </c>
    </row>
    <row r="7" spans="1:5" ht="12">
      <c r="A7" s="27">
        <v>5</v>
      </c>
      <c r="B7" s="20">
        <v>8</v>
      </c>
      <c r="C7" s="21" t="s">
        <v>24</v>
      </c>
      <c r="D7" s="21">
        <v>30.8</v>
      </c>
      <c r="E7" s="28">
        <f t="shared" si="0"/>
        <v>0.049209138840070304</v>
      </c>
    </row>
    <row r="8" spans="1:5" ht="12">
      <c r="A8" s="27">
        <v>6</v>
      </c>
      <c r="B8" s="20">
        <v>5</v>
      </c>
      <c r="C8" s="21" t="s">
        <v>25</v>
      </c>
      <c r="D8" s="21">
        <v>28.8</v>
      </c>
      <c r="E8" s="28">
        <f t="shared" si="0"/>
        <v>0.046013740214091714</v>
      </c>
    </row>
    <row r="9" spans="1:5" ht="12">
      <c r="A9" s="27">
        <v>7</v>
      </c>
      <c r="B9" s="20">
        <v>6</v>
      </c>
      <c r="C9" s="21" t="s">
        <v>26</v>
      </c>
      <c r="D9" s="21">
        <v>23.8</v>
      </c>
      <c r="E9" s="28">
        <f t="shared" si="0"/>
        <v>0.03802524364914523</v>
      </c>
    </row>
    <row r="10" spans="1:5" ht="12">
      <c r="A10" s="27">
        <v>8</v>
      </c>
      <c r="B10" s="20">
        <v>10</v>
      </c>
      <c r="C10" s="21" t="s">
        <v>27</v>
      </c>
      <c r="D10" s="21">
        <v>15.5</v>
      </c>
      <c r="E10" s="28">
        <f t="shared" si="0"/>
        <v>0.02476433935133408</v>
      </c>
    </row>
    <row r="11" spans="1:5" ht="12">
      <c r="A11" s="27">
        <v>9</v>
      </c>
      <c r="B11" s="20">
        <v>7</v>
      </c>
      <c r="C11" s="21" t="s">
        <v>28</v>
      </c>
      <c r="D11" s="21">
        <v>13.5</v>
      </c>
      <c r="E11" s="28">
        <f t="shared" si="0"/>
        <v>0.02156894072535549</v>
      </c>
    </row>
    <row r="12" spans="1:5" ht="12">
      <c r="A12" s="27">
        <v>10</v>
      </c>
      <c r="B12" s="20" t="s">
        <v>19</v>
      </c>
      <c r="C12" s="21" t="s">
        <v>29</v>
      </c>
      <c r="D12" s="21">
        <v>12.3</v>
      </c>
      <c r="E12" s="28">
        <f t="shared" si="0"/>
        <v>0.019651701549768336</v>
      </c>
    </row>
    <row r="13" spans="1:5" ht="12">
      <c r="A13" s="248" t="s">
        <v>32</v>
      </c>
      <c r="B13" s="249"/>
      <c r="C13" s="249"/>
      <c r="D13" s="22">
        <f>SUM(D3:D12)</f>
        <v>443.6000000000001</v>
      </c>
      <c r="E13" s="29">
        <f t="shared" si="0"/>
        <v>0.7087394152420516</v>
      </c>
    </row>
    <row r="14" spans="1:5" ht="12.75" thickBot="1">
      <c r="A14" s="250" t="s">
        <v>33</v>
      </c>
      <c r="B14" s="251"/>
      <c r="C14" s="251"/>
      <c r="D14" s="30">
        <v>625.9</v>
      </c>
      <c r="E14" s="31">
        <f t="shared" si="0"/>
        <v>1</v>
      </c>
    </row>
  </sheetData>
  <sheetProtection/>
  <mergeCells count="3">
    <mergeCell ref="A1:B1"/>
    <mergeCell ref="A13:C13"/>
    <mergeCell ref="A14:C14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J31" sqref="J31"/>
    </sheetView>
  </sheetViews>
  <sheetFormatPr defaultColWidth="11.421875" defaultRowHeight="12.75"/>
  <cols>
    <col min="1" max="6" width="11.421875" style="38" customWidth="1"/>
    <col min="7" max="7" width="7.57421875" style="38" bestFit="1" customWidth="1"/>
    <col min="8" max="8" width="8.00390625" style="38" bestFit="1" customWidth="1"/>
    <col min="9" max="9" width="9.00390625" style="38" bestFit="1" customWidth="1"/>
    <col min="10" max="10" width="10.00390625" style="38" bestFit="1" customWidth="1"/>
    <col min="11" max="11" width="12.57421875" style="38" bestFit="1" customWidth="1"/>
    <col min="12" max="16384" width="11.421875" style="38" customWidth="1"/>
  </cols>
  <sheetData>
    <row r="1" spans="1:11" ht="12.75">
      <c r="A1" s="32"/>
      <c r="B1" s="33"/>
      <c r="C1" s="32"/>
      <c r="D1" s="33"/>
      <c r="E1" s="32"/>
      <c r="F1" s="33"/>
      <c r="G1" s="32"/>
      <c r="H1" s="34"/>
      <c r="I1" s="34"/>
      <c r="J1" s="34"/>
      <c r="K1" s="33"/>
    </row>
    <row r="2" spans="1:11" ht="12.75">
      <c r="A2" s="252" t="s">
        <v>35</v>
      </c>
      <c r="B2" s="253"/>
      <c r="C2" s="252" t="s">
        <v>36</v>
      </c>
      <c r="D2" s="253"/>
      <c r="E2" s="252" t="s">
        <v>36</v>
      </c>
      <c r="F2" s="253"/>
      <c r="G2" s="254" t="s">
        <v>37</v>
      </c>
      <c r="H2" s="255"/>
      <c r="I2" s="255"/>
      <c r="J2" s="255"/>
      <c r="K2" s="256"/>
    </row>
    <row r="3" spans="1:11" ht="12.75">
      <c r="A3" s="35"/>
      <c r="B3" s="36"/>
      <c r="C3" s="254" t="s">
        <v>38</v>
      </c>
      <c r="D3" s="256"/>
      <c r="E3" s="254" t="s">
        <v>39</v>
      </c>
      <c r="F3" s="256"/>
      <c r="G3" s="40" t="s">
        <v>40</v>
      </c>
      <c r="H3" s="40" t="s">
        <v>41</v>
      </c>
      <c r="I3" s="40" t="s">
        <v>42</v>
      </c>
      <c r="J3" s="40" t="s">
        <v>43</v>
      </c>
      <c r="K3" s="41" t="s">
        <v>44</v>
      </c>
    </row>
    <row r="4" spans="1:11" ht="12.75">
      <c r="A4" s="39"/>
      <c r="B4" s="39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37" t="s">
        <v>45</v>
      </c>
      <c r="B5" s="39"/>
      <c r="C5" s="257">
        <f>SUM(C7:C19)</f>
        <v>916646</v>
      </c>
      <c r="D5" s="257"/>
      <c r="E5" s="257">
        <f>SUM(G5:K5)</f>
        <v>334998</v>
      </c>
      <c r="F5" s="257"/>
      <c r="G5" s="43">
        <f>SUM(G7:G19)</f>
        <v>272406</v>
      </c>
      <c r="H5" s="43">
        <f>SUM(H7:H19)</f>
        <v>36908</v>
      </c>
      <c r="I5" s="43">
        <f>SUM(I7:I19)</f>
        <v>12084</v>
      </c>
      <c r="J5" s="43">
        <f>SUM(J7:J19)</f>
        <v>5902</v>
      </c>
      <c r="K5" s="43">
        <f>SUM(K7:K19)</f>
        <v>7698</v>
      </c>
    </row>
    <row r="6" spans="1:11" ht="12.75">
      <c r="A6" s="39"/>
      <c r="B6" s="39"/>
      <c r="C6" s="42"/>
      <c r="D6" s="42"/>
      <c r="E6" s="42"/>
      <c r="F6" s="42"/>
      <c r="G6" s="42"/>
      <c r="H6" s="42"/>
      <c r="I6" s="42"/>
      <c r="J6" s="42"/>
      <c r="K6" s="42"/>
    </row>
    <row r="7" spans="1:11" ht="12.75">
      <c r="A7" s="39" t="s">
        <v>46</v>
      </c>
      <c r="B7" s="39"/>
      <c r="C7" s="258">
        <v>317475</v>
      </c>
      <c r="D7" s="258"/>
      <c r="E7" s="258">
        <f>SUM(G7:K7)</f>
        <v>249343</v>
      </c>
      <c r="F7" s="258"/>
      <c r="G7" s="44">
        <v>249343</v>
      </c>
      <c r="H7" s="44">
        <v>0</v>
      </c>
      <c r="I7" s="44">
        <v>0</v>
      </c>
      <c r="J7" s="44">
        <v>0</v>
      </c>
      <c r="K7" s="44">
        <v>0</v>
      </c>
    </row>
    <row r="8" spans="1:11" ht="12.75">
      <c r="A8" s="39"/>
      <c r="B8" s="39"/>
      <c r="C8" s="44"/>
      <c r="D8" s="42"/>
      <c r="E8" s="44"/>
      <c r="F8" s="42"/>
      <c r="G8" s="44"/>
      <c r="H8" s="44"/>
      <c r="I8" s="44"/>
      <c r="J8" s="44"/>
      <c r="K8" s="44"/>
    </row>
    <row r="9" spans="1:11" ht="12.75">
      <c r="A9" s="39" t="s">
        <v>47</v>
      </c>
      <c r="B9" s="39"/>
      <c r="C9" s="258">
        <v>11898</v>
      </c>
      <c r="D9" s="258"/>
      <c r="E9" s="258">
        <f>SUM(G9:K9)</f>
        <v>11327</v>
      </c>
      <c r="F9" s="258"/>
      <c r="G9" s="44">
        <v>11265</v>
      </c>
      <c r="H9" s="44">
        <v>62</v>
      </c>
      <c r="I9" s="44">
        <v>0</v>
      </c>
      <c r="J9" s="44">
        <v>0</v>
      </c>
      <c r="K9" s="44">
        <v>0</v>
      </c>
    </row>
    <row r="10" spans="1:11" ht="12.75">
      <c r="A10" s="39"/>
      <c r="B10" s="39"/>
      <c r="C10" s="44"/>
      <c r="D10" s="42"/>
      <c r="E10" s="42"/>
      <c r="F10" s="42"/>
      <c r="G10" s="44"/>
      <c r="H10" s="44"/>
      <c r="I10" s="44"/>
      <c r="J10" s="44"/>
      <c r="K10" s="44"/>
    </row>
    <row r="11" spans="1:11" ht="12.75">
      <c r="A11" s="39" t="s">
        <v>48</v>
      </c>
      <c r="B11" s="39"/>
      <c r="C11" s="258">
        <v>343433</v>
      </c>
      <c r="D11" s="258"/>
      <c r="E11" s="258">
        <f>SUM(G11:K11)</f>
        <v>58024</v>
      </c>
      <c r="F11" s="258"/>
      <c r="G11" s="44">
        <v>11247</v>
      </c>
      <c r="H11" s="44">
        <v>32814</v>
      </c>
      <c r="I11" s="44">
        <v>8438</v>
      </c>
      <c r="J11" s="44">
        <v>3979</v>
      </c>
      <c r="K11" s="44">
        <v>1546</v>
      </c>
    </row>
    <row r="12" spans="1:11" ht="12.75">
      <c r="A12" s="39"/>
      <c r="B12" s="39"/>
      <c r="C12" s="44"/>
      <c r="D12" s="42"/>
      <c r="E12" s="42"/>
      <c r="F12" s="42"/>
      <c r="G12" s="44"/>
      <c r="H12" s="44"/>
      <c r="I12" s="44"/>
      <c r="J12" s="44"/>
      <c r="K12" s="44"/>
    </row>
    <row r="13" spans="1:11" ht="12.75">
      <c r="A13" s="39" t="s">
        <v>49</v>
      </c>
      <c r="B13" s="39"/>
      <c r="C13" s="258">
        <v>22662</v>
      </c>
      <c r="D13" s="258"/>
      <c r="E13" s="258">
        <f>SUM(G13:K13)</f>
        <v>2129</v>
      </c>
      <c r="F13" s="258"/>
      <c r="G13" s="44">
        <v>72</v>
      </c>
      <c r="H13" s="44">
        <v>801</v>
      </c>
      <c r="I13" s="44">
        <v>608</v>
      </c>
      <c r="J13" s="44">
        <v>236</v>
      </c>
      <c r="K13" s="44">
        <v>412</v>
      </c>
    </row>
    <row r="14" spans="1:11" ht="12.75">
      <c r="A14" s="39"/>
      <c r="B14" s="39"/>
      <c r="C14" s="44"/>
      <c r="D14" s="42"/>
      <c r="E14" s="42"/>
      <c r="F14" s="42"/>
      <c r="G14" s="44"/>
      <c r="H14" s="44"/>
      <c r="I14" s="44"/>
      <c r="J14" s="44"/>
      <c r="K14" s="44"/>
    </row>
    <row r="15" spans="1:11" ht="12.75">
      <c r="A15" s="39" t="s">
        <v>50</v>
      </c>
      <c r="B15" s="39"/>
      <c r="C15" s="258">
        <v>82843</v>
      </c>
      <c r="D15" s="258"/>
      <c r="E15" s="258">
        <f>SUM(G15:K15)</f>
        <v>7593</v>
      </c>
      <c r="F15" s="258"/>
      <c r="G15" s="44">
        <v>0</v>
      </c>
      <c r="H15" s="44">
        <v>2696</v>
      </c>
      <c r="I15" s="44">
        <v>2367</v>
      </c>
      <c r="J15" s="44">
        <v>1238</v>
      </c>
      <c r="K15" s="44">
        <v>1292</v>
      </c>
    </row>
    <row r="16" spans="1:11" ht="12.75">
      <c r="A16" s="39"/>
      <c r="B16" s="39"/>
      <c r="C16" s="44"/>
      <c r="D16" s="42"/>
      <c r="E16" s="42"/>
      <c r="F16" s="42"/>
      <c r="G16" s="44"/>
      <c r="H16" s="44"/>
      <c r="I16" s="44"/>
      <c r="J16" s="44"/>
      <c r="K16" s="44"/>
    </row>
    <row r="17" spans="1:11" ht="12.75">
      <c r="A17" s="39" t="s">
        <v>51</v>
      </c>
      <c r="B17" s="39"/>
      <c r="C17" s="258">
        <v>124353</v>
      </c>
      <c r="D17" s="258"/>
      <c r="E17" s="258">
        <f>SUM(G17:K17)</f>
        <v>4982</v>
      </c>
      <c r="F17" s="258"/>
      <c r="G17" s="44">
        <v>0</v>
      </c>
      <c r="H17" s="44">
        <v>109</v>
      </c>
      <c r="I17" s="44">
        <v>400</v>
      </c>
      <c r="J17" s="44">
        <v>308</v>
      </c>
      <c r="K17" s="44">
        <v>4165</v>
      </c>
    </row>
    <row r="18" spans="1:11" ht="12.75">
      <c r="A18" s="39"/>
      <c r="B18" s="39"/>
      <c r="C18" s="44"/>
      <c r="D18" s="42"/>
      <c r="E18" s="42"/>
      <c r="F18" s="42"/>
      <c r="G18" s="44"/>
      <c r="H18" s="44"/>
      <c r="I18" s="44"/>
      <c r="J18" s="44"/>
      <c r="K18" s="44"/>
    </row>
    <row r="19" spans="1:11" ht="12.75">
      <c r="A19" s="39" t="s">
        <v>52</v>
      </c>
      <c r="B19" s="39"/>
      <c r="C19" s="258">
        <v>13982</v>
      </c>
      <c r="D19" s="258"/>
      <c r="E19" s="258">
        <f>SUM(G19:K19)</f>
        <v>1600</v>
      </c>
      <c r="F19" s="258"/>
      <c r="G19" s="44">
        <v>479</v>
      </c>
      <c r="H19" s="44">
        <v>426</v>
      </c>
      <c r="I19" s="44">
        <v>271</v>
      </c>
      <c r="J19" s="44">
        <v>141</v>
      </c>
      <c r="K19" s="44">
        <v>283</v>
      </c>
    </row>
  </sheetData>
  <sheetProtection/>
  <mergeCells count="22">
    <mergeCell ref="C11:D11"/>
    <mergeCell ref="E11:F11"/>
    <mergeCell ref="C13:D13"/>
    <mergeCell ref="E13:F13"/>
    <mergeCell ref="C19:D19"/>
    <mergeCell ref="E19:F19"/>
    <mergeCell ref="C15:D15"/>
    <mergeCell ref="E15:F15"/>
    <mergeCell ref="C17:D17"/>
    <mergeCell ref="E17:F17"/>
    <mergeCell ref="C5:D5"/>
    <mergeCell ref="E5:F5"/>
    <mergeCell ref="C7:D7"/>
    <mergeCell ref="E7:F7"/>
    <mergeCell ref="C9:D9"/>
    <mergeCell ref="E9:F9"/>
    <mergeCell ref="A2:B2"/>
    <mergeCell ref="C2:D2"/>
    <mergeCell ref="E2:F2"/>
    <mergeCell ref="G2:K2"/>
    <mergeCell ref="C3:D3"/>
    <mergeCell ref="E3:F3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19" sqref="D19"/>
    </sheetView>
  </sheetViews>
  <sheetFormatPr defaultColWidth="11.421875" defaultRowHeight="12.75"/>
  <cols>
    <col min="3" max="4" width="15.7109375" style="0" customWidth="1"/>
  </cols>
  <sheetData>
    <row r="1" spans="1:4" ht="15" customHeight="1">
      <c r="A1" s="57" t="s">
        <v>53</v>
      </c>
      <c r="B1" s="58" t="s">
        <v>55</v>
      </c>
      <c r="C1" s="259" t="s">
        <v>59</v>
      </c>
      <c r="D1" s="260"/>
    </row>
    <row r="2" spans="1:4" ht="15" customHeight="1">
      <c r="A2" s="59" t="s">
        <v>54</v>
      </c>
      <c r="B2" s="45" t="s">
        <v>56</v>
      </c>
      <c r="C2" s="45" t="s">
        <v>57</v>
      </c>
      <c r="D2" s="60" t="s">
        <v>58</v>
      </c>
    </row>
    <row r="3" spans="1:4" ht="15" customHeight="1">
      <c r="A3" s="51" t="s">
        <v>60</v>
      </c>
      <c r="B3" s="49">
        <v>43</v>
      </c>
      <c r="C3" s="50">
        <v>3.25</v>
      </c>
      <c r="D3" s="52">
        <v>4.8</v>
      </c>
    </row>
    <row r="4" spans="1:4" ht="15" customHeight="1">
      <c r="A4" s="51">
        <v>208</v>
      </c>
      <c r="B4" s="49">
        <v>31</v>
      </c>
      <c r="C4" s="50">
        <v>2.34</v>
      </c>
      <c r="D4" s="52">
        <v>3.504</v>
      </c>
    </row>
    <row r="5" spans="1:4" ht="15" customHeight="1">
      <c r="A5" s="51" t="s">
        <v>61</v>
      </c>
      <c r="B5" s="49">
        <v>31</v>
      </c>
      <c r="C5" s="50">
        <v>1.81</v>
      </c>
      <c r="D5" s="52">
        <v>2.969</v>
      </c>
    </row>
    <row r="6" spans="1:4" ht="15" customHeight="1">
      <c r="A6" s="51">
        <v>25.27</v>
      </c>
      <c r="B6" s="49">
        <v>28</v>
      </c>
      <c r="C6" s="50">
        <v>2.12</v>
      </c>
      <c r="D6" s="52">
        <v>3.277</v>
      </c>
    </row>
    <row r="7" spans="1:4" ht="15" customHeight="1">
      <c r="A7" s="51" t="s">
        <v>62</v>
      </c>
      <c r="B7" s="49">
        <v>50</v>
      </c>
      <c r="C7" s="50">
        <v>2.03</v>
      </c>
      <c r="D7" s="52">
        <v>3.431</v>
      </c>
    </row>
    <row r="8" spans="1:4" ht="15" customHeight="1">
      <c r="A8" s="51" t="s">
        <v>63</v>
      </c>
      <c r="B8" s="49">
        <v>50</v>
      </c>
      <c r="C8" s="50">
        <v>4</v>
      </c>
      <c r="D8" s="52">
        <v>5.6</v>
      </c>
    </row>
    <row r="9" spans="1:4" ht="15" customHeight="1" thickBot="1">
      <c r="A9" s="53" t="s">
        <v>64</v>
      </c>
      <c r="B9" s="54">
        <v>15</v>
      </c>
      <c r="C9" s="55">
        <v>3.05</v>
      </c>
      <c r="D9" s="56">
        <v>4.25</v>
      </c>
    </row>
  </sheetData>
  <sheetProtection/>
  <mergeCells count="1">
    <mergeCell ref="C1:D1"/>
  </mergeCells>
  <printOptions/>
  <pageMargins left="0.75" right="0.75" top="1" bottom="1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22" sqref="E22:F27"/>
    </sheetView>
  </sheetViews>
  <sheetFormatPr defaultColWidth="11.421875" defaultRowHeight="12.75"/>
  <cols>
    <col min="2" max="2" width="23.57421875" style="0" bestFit="1" customWidth="1"/>
    <col min="3" max="3" width="14.421875" style="0" bestFit="1" customWidth="1"/>
    <col min="4" max="4" width="12.7109375" style="0" bestFit="1" customWidth="1"/>
    <col min="5" max="5" width="21.28125" style="0" bestFit="1" customWidth="1"/>
    <col min="6" max="6" width="16.28125" style="0" bestFit="1" customWidth="1"/>
  </cols>
  <sheetData>
    <row r="1" spans="1:4" ht="12.75">
      <c r="A1" s="261" t="s">
        <v>65</v>
      </c>
      <c r="B1" s="261" t="s">
        <v>66</v>
      </c>
      <c r="C1" s="73" t="s">
        <v>67</v>
      </c>
      <c r="D1" s="74" t="s">
        <v>69</v>
      </c>
    </row>
    <row r="2" spans="1:4" ht="12.75">
      <c r="A2" s="265"/>
      <c r="B2" s="265"/>
      <c r="C2" s="75" t="s">
        <v>68</v>
      </c>
      <c r="D2" s="76" t="s">
        <v>68</v>
      </c>
    </row>
    <row r="3" spans="1:4" ht="12.75">
      <c r="A3" s="49">
        <v>1</v>
      </c>
      <c r="B3" s="167" t="s">
        <v>70</v>
      </c>
      <c r="C3" s="50">
        <f>0.6*C4</f>
        <v>54000</v>
      </c>
      <c r="D3" s="50">
        <f>C3*A3</f>
        <v>54000</v>
      </c>
    </row>
    <row r="4" spans="1:4" ht="12.75">
      <c r="A4" s="49">
        <v>1</v>
      </c>
      <c r="B4" s="167" t="s">
        <v>71</v>
      </c>
      <c r="C4" s="50">
        <v>90000</v>
      </c>
      <c r="D4" s="50">
        <f>C4*A4</f>
        <v>90000</v>
      </c>
    </row>
    <row r="5" spans="1:4" ht="12.75">
      <c r="A5" s="49">
        <v>1</v>
      </c>
      <c r="B5" s="167" t="s">
        <v>72</v>
      </c>
      <c r="C5" s="50">
        <v>98000</v>
      </c>
      <c r="D5" s="50">
        <f>C5*A5</f>
        <v>98000</v>
      </c>
    </row>
    <row r="6" spans="1:4" ht="12.75">
      <c r="A6" s="66"/>
      <c r="B6" s="66"/>
      <c r="C6" s="66"/>
      <c r="D6" s="70"/>
    </row>
    <row r="7" spans="1:4" ht="12.75">
      <c r="A7" s="67"/>
      <c r="B7" s="67"/>
      <c r="C7" s="48" t="s">
        <v>73</v>
      </c>
      <c r="D7" s="71">
        <f>SUM(D3:D6)</f>
        <v>242000</v>
      </c>
    </row>
    <row r="10" spans="1:4" ht="12.75">
      <c r="A10" s="261" t="s">
        <v>65</v>
      </c>
      <c r="B10" s="261" t="s">
        <v>74</v>
      </c>
      <c r="C10" s="73" t="s">
        <v>67</v>
      </c>
      <c r="D10" s="74" t="s">
        <v>69</v>
      </c>
    </row>
    <row r="11" spans="1:4" ht="12.75">
      <c r="A11" s="265"/>
      <c r="B11" s="265"/>
      <c r="C11" s="75" t="s">
        <v>68</v>
      </c>
      <c r="D11" s="76" t="s">
        <v>68</v>
      </c>
    </row>
    <row r="12" spans="1:4" ht="12.75">
      <c r="A12" s="65">
        <v>2</v>
      </c>
      <c r="B12" s="66" t="s">
        <v>75</v>
      </c>
      <c r="C12" s="68">
        <v>650</v>
      </c>
      <c r="D12" s="69">
        <f aca="true" t="shared" si="0" ref="D12:D17">C12*A12</f>
        <v>1300</v>
      </c>
    </row>
    <row r="13" spans="1:4" ht="12.75">
      <c r="A13" s="49">
        <v>2</v>
      </c>
      <c r="B13" s="167" t="s">
        <v>76</v>
      </c>
      <c r="C13" s="50">
        <v>120</v>
      </c>
      <c r="D13" s="50">
        <f t="shared" si="0"/>
        <v>240</v>
      </c>
    </row>
    <row r="14" spans="1:4" ht="12.75">
      <c r="A14" s="49">
        <v>4</v>
      </c>
      <c r="B14" s="167" t="s">
        <v>77</v>
      </c>
      <c r="C14" s="50">
        <v>25</v>
      </c>
      <c r="D14" s="50">
        <f t="shared" si="0"/>
        <v>100</v>
      </c>
    </row>
    <row r="15" spans="1:4" ht="12.75">
      <c r="A15" s="49">
        <v>1</v>
      </c>
      <c r="B15" s="167" t="s">
        <v>78</v>
      </c>
      <c r="C15" s="50">
        <v>170</v>
      </c>
      <c r="D15" s="50">
        <f t="shared" si="0"/>
        <v>170</v>
      </c>
    </row>
    <row r="16" spans="1:4" ht="12.75">
      <c r="A16" s="49">
        <v>1</v>
      </c>
      <c r="B16" s="167" t="s">
        <v>79</v>
      </c>
      <c r="C16" s="50">
        <v>110</v>
      </c>
      <c r="D16" s="50">
        <f t="shared" si="0"/>
        <v>110</v>
      </c>
    </row>
    <row r="17" spans="1:4" ht="12.75">
      <c r="A17" s="49">
        <v>1</v>
      </c>
      <c r="B17" s="167" t="s">
        <v>80</v>
      </c>
      <c r="C17" s="50">
        <v>80</v>
      </c>
      <c r="D17" s="50">
        <f t="shared" si="0"/>
        <v>80</v>
      </c>
    </row>
    <row r="18" spans="1:4" ht="12.75">
      <c r="A18" s="66"/>
      <c r="B18" s="66"/>
      <c r="C18" s="66"/>
      <c r="D18" s="72"/>
    </row>
    <row r="19" spans="1:4" ht="12.75">
      <c r="A19" s="67"/>
      <c r="B19" s="67"/>
      <c r="C19" s="48" t="s">
        <v>73</v>
      </c>
      <c r="D19" s="71">
        <f>SUM(D12:D18)</f>
        <v>2000</v>
      </c>
    </row>
    <row r="22" spans="5:6" ht="12.75">
      <c r="E22" s="261" t="s">
        <v>74</v>
      </c>
      <c r="F22" s="263" t="s">
        <v>81</v>
      </c>
    </row>
    <row r="23" spans="5:6" ht="12.75">
      <c r="E23" s="262"/>
      <c r="F23" s="264"/>
    </row>
    <row r="24" spans="5:6" ht="12.75">
      <c r="E24" s="77" t="s">
        <v>83</v>
      </c>
      <c r="F24" s="79">
        <v>800</v>
      </c>
    </row>
    <row r="25" spans="5:6" ht="12.75">
      <c r="E25" s="168" t="s">
        <v>82</v>
      </c>
      <c r="F25" s="169">
        <v>1200</v>
      </c>
    </row>
    <row r="26" spans="5:6" ht="12.75">
      <c r="E26" s="66"/>
      <c r="F26" s="79"/>
    </row>
    <row r="27" spans="5:6" ht="12.75">
      <c r="E27" s="78" t="s">
        <v>73</v>
      </c>
      <c r="F27" s="80">
        <f>SUM(F24:F26)</f>
        <v>2000</v>
      </c>
    </row>
  </sheetData>
  <sheetProtection/>
  <mergeCells count="6">
    <mergeCell ref="E22:E23"/>
    <mergeCell ref="F22:F23"/>
    <mergeCell ref="A1:A2"/>
    <mergeCell ref="B1:B2"/>
    <mergeCell ref="A10:A11"/>
    <mergeCell ref="B10:B11"/>
  </mergeCells>
  <printOptions/>
  <pageMargins left="0.75" right="0.75" top="1" bottom="1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22.00390625" style="0" bestFit="1" customWidth="1"/>
    <col min="3" max="3" width="14.140625" style="0" bestFit="1" customWidth="1"/>
  </cols>
  <sheetData>
    <row r="1" spans="1:3" ht="12.75">
      <c r="A1" s="261" t="s">
        <v>74</v>
      </c>
      <c r="B1" s="261" t="s">
        <v>84</v>
      </c>
      <c r="C1" s="263" t="s">
        <v>210</v>
      </c>
    </row>
    <row r="2" spans="1:3" ht="12.75">
      <c r="A2" s="266"/>
      <c r="B2" s="266"/>
      <c r="C2" s="267"/>
    </row>
    <row r="3" spans="1:3" ht="12.75">
      <c r="A3" s="66" t="s">
        <v>85</v>
      </c>
      <c r="B3" s="65" t="s">
        <v>214</v>
      </c>
      <c r="C3" s="79">
        <f>5*80</f>
        <v>400</v>
      </c>
    </row>
    <row r="4" spans="1:3" ht="12.75">
      <c r="A4" s="167" t="s">
        <v>86</v>
      </c>
      <c r="B4" s="49" t="s">
        <v>215</v>
      </c>
      <c r="C4" s="169">
        <f>1*1500</f>
        <v>1500</v>
      </c>
    </row>
    <row r="5" spans="1:3" ht="12.75">
      <c r="A5" s="66"/>
      <c r="B5" s="65"/>
      <c r="C5" s="79"/>
    </row>
    <row r="6" spans="1:3" ht="12.75">
      <c r="A6" s="67"/>
      <c r="B6" s="48" t="s">
        <v>73</v>
      </c>
      <c r="C6" s="80">
        <f>SUM(C3:C5)</f>
        <v>1900</v>
      </c>
    </row>
    <row r="11" ht="13.5" thickBot="1"/>
    <row r="12" spans="6:9" ht="12.75">
      <c r="F12" s="171"/>
      <c r="G12" s="172" t="s">
        <v>149</v>
      </c>
      <c r="H12" s="172" t="s">
        <v>150</v>
      </c>
      <c r="I12" s="173" t="s">
        <v>151</v>
      </c>
    </row>
    <row r="13" spans="6:9" ht="12.75">
      <c r="F13" s="102" t="s">
        <v>146</v>
      </c>
      <c r="G13" s="169">
        <v>160</v>
      </c>
      <c r="H13" s="169">
        <f>G13*4</f>
        <v>640</v>
      </c>
      <c r="I13" s="174">
        <f>G13*(4*52)</f>
        <v>33280</v>
      </c>
    </row>
    <row r="14" spans="6:9" ht="12.75">
      <c r="F14" s="102" t="s">
        <v>147</v>
      </c>
      <c r="G14" s="169">
        <v>180</v>
      </c>
      <c r="H14" s="169">
        <f>G14*4</f>
        <v>720</v>
      </c>
      <c r="I14" s="174">
        <f>G14*(4*52)</f>
        <v>37440</v>
      </c>
    </row>
    <row r="15" spans="6:9" ht="12.75">
      <c r="F15" s="102" t="s">
        <v>148</v>
      </c>
      <c r="G15" s="169">
        <v>140</v>
      </c>
      <c r="H15" s="169">
        <f>G15*4</f>
        <v>560</v>
      </c>
      <c r="I15" s="174">
        <f>G15*(4*52)</f>
        <v>29120</v>
      </c>
    </row>
    <row r="16" spans="6:9" ht="21.75" customHeight="1" thickBot="1">
      <c r="F16" s="175"/>
      <c r="G16" s="176"/>
      <c r="H16" s="177" t="s">
        <v>91</v>
      </c>
      <c r="I16" s="178">
        <f>SUM(I13:I15)</f>
        <v>99840</v>
      </c>
    </row>
  </sheetData>
  <sheetProtection/>
  <mergeCells count="3">
    <mergeCell ref="A1:A2"/>
    <mergeCell ref="B1:B2"/>
    <mergeCell ref="C1:C2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:M23"/>
    </sheetView>
  </sheetViews>
  <sheetFormatPr defaultColWidth="11.421875" defaultRowHeight="12.75"/>
  <cols>
    <col min="1" max="1" width="25.57421875" style="0" bestFit="1" customWidth="1"/>
    <col min="2" max="5" width="7.7109375" style="0" bestFit="1" customWidth="1"/>
    <col min="6" max="13" width="8.7109375" style="0" bestFit="1" customWidth="1"/>
  </cols>
  <sheetData>
    <row r="1" spans="1:13" ht="12.75">
      <c r="A1" s="103"/>
      <c r="B1" s="104">
        <v>1</v>
      </c>
      <c r="C1" s="104">
        <v>2</v>
      </c>
      <c r="D1" s="104">
        <v>3</v>
      </c>
      <c r="E1" s="104">
        <v>4</v>
      </c>
      <c r="F1" s="104">
        <v>5</v>
      </c>
      <c r="G1" s="104">
        <v>6</v>
      </c>
      <c r="H1" s="104">
        <v>7</v>
      </c>
      <c r="I1" s="104">
        <v>8</v>
      </c>
      <c r="J1" s="104">
        <v>9</v>
      </c>
      <c r="K1" s="104">
        <v>10</v>
      </c>
      <c r="L1" s="104">
        <v>11</v>
      </c>
      <c r="M1" s="105">
        <v>12</v>
      </c>
    </row>
    <row r="2" spans="1:13" ht="12.75">
      <c r="A2" s="102" t="s">
        <v>216</v>
      </c>
      <c r="B2" s="93"/>
      <c r="C2" s="93">
        <v>0.36</v>
      </c>
      <c r="D2" s="93">
        <f aca="true" t="shared" si="0" ref="D2:M2">+C2</f>
        <v>0.36</v>
      </c>
      <c r="E2" s="93">
        <f t="shared" si="0"/>
        <v>0.36</v>
      </c>
      <c r="F2" s="93">
        <f t="shared" si="0"/>
        <v>0.36</v>
      </c>
      <c r="G2" s="93">
        <f t="shared" si="0"/>
        <v>0.36</v>
      </c>
      <c r="H2" s="93">
        <f t="shared" si="0"/>
        <v>0.36</v>
      </c>
      <c r="I2" s="93">
        <f t="shared" si="0"/>
        <v>0.36</v>
      </c>
      <c r="J2" s="93">
        <f t="shared" si="0"/>
        <v>0.36</v>
      </c>
      <c r="K2" s="93">
        <f t="shared" si="0"/>
        <v>0.36</v>
      </c>
      <c r="L2" s="93">
        <f t="shared" si="0"/>
        <v>0.36</v>
      </c>
      <c r="M2" s="98">
        <f t="shared" si="0"/>
        <v>0.36</v>
      </c>
    </row>
    <row r="3" spans="1:13" ht="12.75">
      <c r="A3" s="89" t="s">
        <v>115</v>
      </c>
      <c r="B3" s="94"/>
      <c r="C3" s="94">
        <f>+INGRESOS!C29/12</f>
        <v>19066.666666666668</v>
      </c>
      <c r="D3" s="94">
        <f aca="true" t="shared" si="1" ref="D3:M3">+C3</f>
        <v>19066.666666666668</v>
      </c>
      <c r="E3" s="94">
        <f t="shared" si="1"/>
        <v>19066.666666666668</v>
      </c>
      <c r="F3" s="94">
        <f t="shared" si="1"/>
        <v>19066.666666666668</v>
      </c>
      <c r="G3" s="94">
        <f t="shared" si="1"/>
        <v>19066.666666666668</v>
      </c>
      <c r="H3" s="94">
        <f t="shared" si="1"/>
        <v>19066.666666666668</v>
      </c>
      <c r="I3" s="94">
        <f t="shared" si="1"/>
        <v>19066.666666666668</v>
      </c>
      <c r="J3" s="94">
        <f t="shared" si="1"/>
        <v>19066.666666666668</v>
      </c>
      <c r="K3" s="94">
        <f t="shared" si="1"/>
        <v>19066.666666666668</v>
      </c>
      <c r="L3" s="94">
        <f t="shared" si="1"/>
        <v>19066.666666666668</v>
      </c>
      <c r="M3" s="99">
        <f t="shared" si="1"/>
        <v>19066.666666666668</v>
      </c>
    </row>
    <row r="4" spans="1:13" ht="12.75">
      <c r="A4" s="90" t="s">
        <v>116</v>
      </c>
      <c r="B4" s="94">
        <f>B3*B2</f>
        <v>0</v>
      </c>
      <c r="C4" s="94">
        <f aca="true" t="shared" si="2" ref="C4:M4">C3*C2</f>
        <v>6864</v>
      </c>
      <c r="D4" s="94">
        <f t="shared" si="2"/>
        <v>6864</v>
      </c>
      <c r="E4" s="94">
        <f t="shared" si="2"/>
        <v>6864</v>
      </c>
      <c r="F4" s="94">
        <f t="shared" si="2"/>
        <v>6864</v>
      </c>
      <c r="G4" s="94">
        <f t="shared" si="2"/>
        <v>6864</v>
      </c>
      <c r="H4" s="94">
        <f t="shared" si="2"/>
        <v>6864</v>
      </c>
      <c r="I4" s="94">
        <f t="shared" si="2"/>
        <v>6864</v>
      </c>
      <c r="J4" s="94">
        <f t="shared" si="2"/>
        <v>6864</v>
      </c>
      <c r="K4" s="94">
        <f t="shared" si="2"/>
        <v>6864</v>
      </c>
      <c r="L4" s="94">
        <f t="shared" si="2"/>
        <v>6864</v>
      </c>
      <c r="M4" s="99">
        <f t="shared" si="2"/>
        <v>6864</v>
      </c>
    </row>
    <row r="5" spans="1:13" ht="12.75">
      <c r="A5" s="89" t="s">
        <v>117</v>
      </c>
      <c r="B5" s="95"/>
      <c r="C5" s="95">
        <f>+INGRESOS!C31/12</f>
        <v>381.3333333333333</v>
      </c>
      <c r="D5" s="95">
        <f aca="true" t="shared" si="3" ref="D5:M5">+C5</f>
        <v>381.3333333333333</v>
      </c>
      <c r="E5" s="95">
        <f t="shared" si="3"/>
        <v>381.3333333333333</v>
      </c>
      <c r="F5" s="95">
        <f t="shared" si="3"/>
        <v>381.3333333333333</v>
      </c>
      <c r="G5" s="95">
        <f t="shared" si="3"/>
        <v>381.3333333333333</v>
      </c>
      <c r="H5" s="95">
        <f t="shared" si="3"/>
        <v>381.3333333333333</v>
      </c>
      <c r="I5" s="95">
        <f t="shared" si="3"/>
        <v>381.3333333333333</v>
      </c>
      <c r="J5" s="95">
        <f t="shared" si="3"/>
        <v>381.3333333333333</v>
      </c>
      <c r="K5" s="95">
        <f t="shared" si="3"/>
        <v>381.3333333333333</v>
      </c>
      <c r="L5" s="95">
        <f t="shared" si="3"/>
        <v>381.3333333333333</v>
      </c>
      <c r="M5" s="101">
        <f t="shared" si="3"/>
        <v>381.3333333333333</v>
      </c>
    </row>
    <row r="6" spans="1:13" ht="13.5" thickBot="1">
      <c r="A6" s="114" t="s">
        <v>118</v>
      </c>
      <c r="B6" s="115">
        <f aca="true" t="shared" si="4" ref="B6:M6">B4+B5</f>
        <v>0</v>
      </c>
      <c r="C6" s="115">
        <f t="shared" si="4"/>
        <v>7245.333333333333</v>
      </c>
      <c r="D6" s="115">
        <f t="shared" si="4"/>
        <v>7245.333333333333</v>
      </c>
      <c r="E6" s="115">
        <f t="shared" si="4"/>
        <v>7245.333333333333</v>
      </c>
      <c r="F6" s="115">
        <f t="shared" si="4"/>
        <v>7245.333333333333</v>
      </c>
      <c r="G6" s="115">
        <f t="shared" si="4"/>
        <v>7245.333333333333</v>
      </c>
      <c r="H6" s="115">
        <f t="shared" si="4"/>
        <v>7245.333333333333</v>
      </c>
      <c r="I6" s="115">
        <f t="shared" si="4"/>
        <v>7245.333333333333</v>
      </c>
      <c r="J6" s="115">
        <f t="shared" si="4"/>
        <v>7245.333333333333</v>
      </c>
      <c r="K6" s="115">
        <f t="shared" si="4"/>
        <v>7245.333333333333</v>
      </c>
      <c r="L6" s="115">
        <f t="shared" si="4"/>
        <v>7245.333333333333</v>
      </c>
      <c r="M6" s="116">
        <f t="shared" si="4"/>
        <v>7245.333333333333</v>
      </c>
    </row>
    <row r="8" ht="13.5" thickBot="1"/>
    <row r="9" spans="1:13" ht="12.75">
      <c r="A9" s="110"/>
      <c r="B9" s="104">
        <v>1</v>
      </c>
      <c r="C9" s="104">
        <v>2</v>
      </c>
      <c r="D9" s="104">
        <v>3</v>
      </c>
      <c r="E9" s="104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4">
        <v>10</v>
      </c>
      <c r="L9" s="104">
        <v>11</v>
      </c>
      <c r="M9" s="105">
        <v>12</v>
      </c>
    </row>
    <row r="10" spans="1:13" ht="12.75">
      <c r="A10" s="102" t="s">
        <v>119</v>
      </c>
      <c r="B10" s="106">
        <f>3*400</f>
        <v>1200</v>
      </c>
      <c r="C10" s="106">
        <f aca="true" t="shared" si="5" ref="C10:C15">+B10</f>
        <v>1200</v>
      </c>
      <c r="D10" s="106">
        <f aca="true" t="shared" si="6" ref="D10:M10">+C10</f>
        <v>1200</v>
      </c>
      <c r="E10" s="106">
        <f t="shared" si="6"/>
        <v>1200</v>
      </c>
      <c r="F10" s="106">
        <f t="shared" si="6"/>
        <v>1200</v>
      </c>
      <c r="G10" s="106">
        <f t="shared" si="6"/>
        <v>1200</v>
      </c>
      <c r="H10" s="106">
        <f t="shared" si="6"/>
        <v>1200</v>
      </c>
      <c r="I10" s="106">
        <f t="shared" si="6"/>
        <v>1200</v>
      </c>
      <c r="J10" s="106">
        <f t="shared" si="6"/>
        <v>1200</v>
      </c>
      <c r="K10" s="106">
        <f t="shared" si="6"/>
        <v>1200</v>
      </c>
      <c r="L10" s="106">
        <f t="shared" si="6"/>
        <v>1200</v>
      </c>
      <c r="M10" s="108">
        <f t="shared" si="6"/>
        <v>1200</v>
      </c>
    </row>
    <row r="11" spans="1:13" ht="12.75">
      <c r="A11" s="102" t="s">
        <v>120</v>
      </c>
      <c r="B11" s="106">
        <v>288</v>
      </c>
      <c r="C11" s="106">
        <f t="shared" si="5"/>
        <v>288</v>
      </c>
      <c r="D11" s="106">
        <f aca="true" t="shared" si="7" ref="D11:M11">+C11</f>
        <v>288</v>
      </c>
      <c r="E11" s="106">
        <f t="shared" si="7"/>
        <v>288</v>
      </c>
      <c r="F11" s="106">
        <f t="shared" si="7"/>
        <v>288</v>
      </c>
      <c r="G11" s="106">
        <f t="shared" si="7"/>
        <v>288</v>
      </c>
      <c r="H11" s="106">
        <f t="shared" si="7"/>
        <v>288</v>
      </c>
      <c r="I11" s="106">
        <f t="shared" si="7"/>
        <v>288</v>
      </c>
      <c r="J11" s="106">
        <f t="shared" si="7"/>
        <v>288</v>
      </c>
      <c r="K11" s="106">
        <f t="shared" si="7"/>
        <v>288</v>
      </c>
      <c r="L11" s="106">
        <f t="shared" si="7"/>
        <v>288</v>
      </c>
      <c r="M11" s="108">
        <f t="shared" si="7"/>
        <v>288</v>
      </c>
    </row>
    <row r="12" spans="1:13" ht="12.75">
      <c r="A12" s="102" t="s">
        <v>121</v>
      </c>
      <c r="B12" s="106">
        <v>300</v>
      </c>
      <c r="C12" s="106">
        <f t="shared" si="5"/>
        <v>300</v>
      </c>
      <c r="D12" s="106">
        <f aca="true" t="shared" si="8" ref="D12:M12">+C12</f>
        <v>300</v>
      </c>
      <c r="E12" s="106">
        <f t="shared" si="8"/>
        <v>300</v>
      </c>
      <c r="F12" s="106">
        <f t="shared" si="8"/>
        <v>300</v>
      </c>
      <c r="G12" s="106">
        <f t="shared" si="8"/>
        <v>300</v>
      </c>
      <c r="H12" s="106">
        <f t="shared" si="8"/>
        <v>300</v>
      </c>
      <c r="I12" s="106">
        <f t="shared" si="8"/>
        <v>300</v>
      </c>
      <c r="J12" s="106">
        <f t="shared" si="8"/>
        <v>300</v>
      </c>
      <c r="K12" s="106">
        <f t="shared" si="8"/>
        <v>300</v>
      </c>
      <c r="L12" s="106">
        <f t="shared" si="8"/>
        <v>300</v>
      </c>
      <c r="M12" s="108">
        <f t="shared" si="8"/>
        <v>300</v>
      </c>
    </row>
    <row r="13" spans="1:13" ht="12.75">
      <c r="A13" s="102" t="s">
        <v>122</v>
      </c>
      <c r="B13" s="106">
        <f>100*3</f>
        <v>300</v>
      </c>
      <c r="C13" s="106">
        <f t="shared" si="5"/>
        <v>300</v>
      </c>
      <c r="D13" s="106">
        <f aca="true" t="shared" si="9" ref="D13:M15">+C13</f>
        <v>300</v>
      </c>
      <c r="E13" s="106">
        <f t="shared" si="9"/>
        <v>300</v>
      </c>
      <c r="F13" s="106">
        <f t="shared" si="9"/>
        <v>300</v>
      </c>
      <c r="G13" s="106">
        <f t="shared" si="9"/>
        <v>300</v>
      </c>
      <c r="H13" s="106">
        <f t="shared" si="9"/>
        <v>300</v>
      </c>
      <c r="I13" s="106">
        <f t="shared" si="9"/>
        <v>300</v>
      </c>
      <c r="J13" s="106">
        <f t="shared" si="9"/>
        <v>300</v>
      </c>
      <c r="K13" s="106">
        <f t="shared" si="9"/>
        <v>300</v>
      </c>
      <c r="L13" s="106">
        <f t="shared" si="9"/>
        <v>300</v>
      </c>
      <c r="M13" s="108">
        <f t="shared" si="9"/>
        <v>300</v>
      </c>
    </row>
    <row r="14" spans="1:13" ht="12.75">
      <c r="A14" s="102" t="s">
        <v>123</v>
      </c>
      <c r="B14" s="106">
        <f>(2178*3)/12</f>
        <v>544.5</v>
      </c>
      <c r="C14" s="106">
        <f t="shared" si="5"/>
        <v>544.5</v>
      </c>
      <c r="D14" s="106">
        <f t="shared" si="9"/>
        <v>544.5</v>
      </c>
      <c r="E14" s="106">
        <f t="shared" si="9"/>
        <v>544.5</v>
      </c>
      <c r="F14" s="106">
        <f t="shared" si="9"/>
        <v>544.5</v>
      </c>
      <c r="G14" s="106">
        <f t="shared" si="9"/>
        <v>544.5</v>
      </c>
      <c r="H14" s="106">
        <f t="shared" si="9"/>
        <v>544.5</v>
      </c>
      <c r="I14" s="106">
        <f t="shared" si="9"/>
        <v>544.5</v>
      </c>
      <c r="J14" s="106">
        <f t="shared" si="9"/>
        <v>544.5</v>
      </c>
      <c r="K14" s="106">
        <f t="shared" si="9"/>
        <v>544.5</v>
      </c>
      <c r="L14" s="106">
        <f t="shared" si="9"/>
        <v>544.5</v>
      </c>
      <c r="M14" s="108">
        <f t="shared" si="9"/>
        <v>544.5</v>
      </c>
    </row>
    <row r="15" spans="1:13" ht="12.75">
      <c r="A15" s="102" t="s">
        <v>124</v>
      </c>
      <c r="B15" s="106">
        <v>650</v>
      </c>
      <c r="C15" s="106">
        <f t="shared" si="5"/>
        <v>650</v>
      </c>
      <c r="D15" s="106">
        <f t="shared" si="9"/>
        <v>650</v>
      </c>
      <c r="E15" s="106">
        <f t="shared" si="9"/>
        <v>650</v>
      </c>
      <c r="F15" s="106">
        <f t="shared" si="9"/>
        <v>650</v>
      </c>
      <c r="G15" s="106">
        <f t="shared" si="9"/>
        <v>650</v>
      </c>
      <c r="H15" s="106">
        <f t="shared" si="9"/>
        <v>650</v>
      </c>
      <c r="I15" s="106">
        <f t="shared" si="9"/>
        <v>650</v>
      </c>
      <c r="J15" s="106">
        <f t="shared" si="9"/>
        <v>650</v>
      </c>
      <c r="K15" s="106">
        <f t="shared" si="9"/>
        <v>650</v>
      </c>
      <c r="L15" s="106">
        <f t="shared" si="9"/>
        <v>650</v>
      </c>
      <c r="M15" s="108">
        <f t="shared" si="9"/>
        <v>650</v>
      </c>
    </row>
    <row r="16" spans="1:13" ht="13.5" thickBot="1">
      <c r="A16" s="111" t="s">
        <v>126</v>
      </c>
      <c r="B16" s="112">
        <f>SUM(B10:B15)</f>
        <v>3282.5</v>
      </c>
      <c r="C16" s="112">
        <f aca="true" t="shared" si="10" ref="C16:M16">SUM(C10:C15)</f>
        <v>3282.5</v>
      </c>
      <c r="D16" s="112">
        <f t="shared" si="10"/>
        <v>3282.5</v>
      </c>
      <c r="E16" s="112">
        <f t="shared" si="10"/>
        <v>3282.5</v>
      </c>
      <c r="F16" s="112">
        <f t="shared" si="10"/>
        <v>3282.5</v>
      </c>
      <c r="G16" s="112">
        <f t="shared" si="10"/>
        <v>3282.5</v>
      </c>
      <c r="H16" s="112">
        <f t="shared" si="10"/>
        <v>3282.5</v>
      </c>
      <c r="I16" s="112">
        <f t="shared" si="10"/>
        <v>3282.5</v>
      </c>
      <c r="J16" s="112">
        <f t="shared" si="10"/>
        <v>3282.5</v>
      </c>
      <c r="K16" s="112">
        <f t="shared" si="10"/>
        <v>3282.5</v>
      </c>
      <c r="L16" s="112">
        <f t="shared" si="10"/>
        <v>3282.5</v>
      </c>
      <c r="M16" s="113">
        <f t="shared" si="10"/>
        <v>3282.5</v>
      </c>
    </row>
    <row r="17" ht="12.75">
      <c r="N17">
        <f>52/12</f>
        <v>4.333333333333333</v>
      </c>
    </row>
    <row r="18" ht="13.5" thickBot="1"/>
    <row r="19" spans="1:13" ht="12.75">
      <c r="A19" s="103"/>
      <c r="B19" s="120">
        <v>1</v>
      </c>
      <c r="C19" s="120">
        <v>2</v>
      </c>
      <c r="D19" s="120">
        <v>3</v>
      </c>
      <c r="E19" s="120">
        <v>4</v>
      </c>
      <c r="F19" s="120">
        <v>5</v>
      </c>
      <c r="G19" s="120">
        <v>6</v>
      </c>
      <c r="H19" s="120">
        <v>7</v>
      </c>
      <c r="I19" s="120">
        <v>8</v>
      </c>
      <c r="J19" s="120">
        <v>9</v>
      </c>
      <c r="K19" s="120">
        <v>10</v>
      </c>
      <c r="L19" s="120">
        <v>11</v>
      </c>
      <c r="M19" s="105">
        <v>12</v>
      </c>
    </row>
    <row r="20" spans="1:13" ht="12.75">
      <c r="A20" s="89" t="s">
        <v>114</v>
      </c>
      <c r="B20" s="117">
        <f>+B6</f>
        <v>0</v>
      </c>
      <c r="C20" s="117">
        <f aca="true" t="shared" si="11" ref="C20:M20">+C6</f>
        <v>7245.333333333333</v>
      </c>
      <c r="D20" s="117">
        <f t="shared" si="11"/>
        <v>7245.333333333333</v>
      </c>
      <c r="E20" s="117">
        <f t="shared" si="11"/>
        <v>7245.333333333333</v>
      </c>
      <c r="F20" s="117">
        <f t="shared" si="11"/>
        <v>7245.333333333333</v>
      </c>
      <c r="G20" s="117">
        <f t="shared" si="11"/>
        <v>7245.333333333333</v>
      </c>
      <c r="H20" s="117">
        <f t="shared" si="11"/>
        <v>7245.333333333333</v>
      </c>
      <c r="I20" s="117">
        <f t="shared" si="11"/>
        <v>7245.333333333333</v>
      </c>
      <c r="J20" s="117">
        <f t="shared" si="11"/>
        <v>7245.333333333333</v>
      </c>
      <c r="K20" s="117">
        <f t="shared" si="11"/>
        <v>7245.333333333333</v>
      </c>
      <c r="L20" s="117">
        <f t="shared" si="11"/>
        <v>7245.333333333333</v>
      </c>
      <c r="M20" s="121">
        <f t="shared" si="11"/>
        <v>7245.333333333333</v>
      </c>
    </row>
    <row r="21" spans="1:13" ht="13.5" thickBot="1">
      <c r="A21" s="122" t="s">
        <v>125</v>
      </c>
      <c r="B21" s="118">
        <f>+B16</f>
        <v>3282.5</v>
      </c>
      <c r="C21" s="118">
        <f aca="true" t="shared" si="12" ref="C21:M21">+C16</f>
        <v>3282.5</v>
      </c>
      <c r="D21" s="118">
        <f t="shared" si="12"/>
        <v>3282.5</v>
      </c>
      <c r="E21" s="118">
        <f t="shared" si="12"/>
        <v>3282.5</v>
      </c>
      <c r="F21" s="118">
        <f t="shared" si="12"/>
        <v>3282.5</v>
      </c>
      <c r="G21" s="118">
        <f t="shared" si="12"/>
        <v>3282.5</v>
      </c>
      <c r="H21" s="118">
        <f t="shared" si="12"/>
        <v>3282.5</v>
      </c>
      <c r="I21" s="118">
        <f t="shared" si="12"/>
        <v>3282.5</v>
      </c>
      <c r="J21" s="118">
        <f t="shared" si="12"/>
        <v>3282.5</v>
      </c>
      <c r="K21" s="118">
        <f t="shared" si="12"/>
        <v>3282.5</v>
      </c>
      <c r="L21" s="118">
        <f t="shared" si="12"/>
        <v>3282.5</v>
      </c>
      <c r="M21" s="123">
        <f t="shared" si="12"/>
        <v>3282.5</v>
      </c>
    </row>
    <row r="22" spans="1:13" ht="12.75">
      <c r="A22" s="124" t="s">
        <v>127</v>
      </c>
      <c r="B22" s="119">
        <f>B20-B21</f>
        <v>-3282.5</v>
      </c>
      <c r="C22" s="119">
        <f aca="true" t="shared" si="13" ref="C22:M22">C20-C21</f>
        <v>3962.833333333333</v>
      </c>
      <c r="D22" s="119">
        <f t="shared" si="13"/>
        <v>3962.833333333333</v>
      </c>
      <c r="E22" s="119">
        <f t="shared" si="13"/>
        <v>3962.833333333333</v>
      </c>
      <c r="F22" s="119">
        <f t="shared" si="13"/>
        <v>3962.833333333333</v>
      </c>
      <c r="G22" s="119">
        <f t="shared" si="13"/>
        <v>3962.833333333333</v>
      </c>
      <c r="H22" s="119">
        <f t="shared" si="13"/>
        <v>3962.833333333333</v>
      </c>
      <c r="I22" s="119">
        <f t="shared" si="13"/>
        <v>3962.833333333333</v>
      </c>
      <c r="J22" s="119">
        <f t="shared" si="13"/>
        <v>3962.833333333333</v>
      </c>
      <c r="K22" s="119">
        <f t="shared" si="13"/>
        <v>3962.833333333333</v>
      </c>
      <c r="L22" s="119">
        <f t="shared" si="13"/>
        <v>3962.833333333333</v>
      </c>
      <c r="M22" s="125">
        <f t="shared" si="13"/>
        <v>3962.833333333333</v>
      </c>
    </row>
    <row r="23" spans="1:13" ht="13.5" thickBot="1">
      <c r="A23" s="47" t="s">
        <v>128</v>
      </c>
      <c r="B23" s="126">
        <f>+B22</f>
        <v>-3282.5</v>
      </c>
      <c r="C23" s="127">
        <f>C22+B23</f>
        <v>680.333333333333</v>
      </c>
      <c r="D23" s="127">
        <f aca="true" t="shared" si="14" ref="D23:M23">D22+C23</f>
        <v>4643.166666666666</v>
      </c>
      <c r="E23" s="127">
        <f t="shared" si="14"/>
        <v>8606</v>
      </c>
      <c r="F23" s="127">
        <f t="shared" si="14"/>
        <v>12568.833333333332</v>
      </c>
      <c r="G23" s="127">
        <f t="shared" si="14"/>
        <v>16531.666666666664</v>
      </c>
      <c r="H23" s="127">
        <f t="shared" si="14"/>
        <v>20494.499999999996</v>
      </c>
      <c r="I23" s="127">
        <f t="shared" si="14"/>
        <v>24457.33333333333</v>
      </c>
      <c r="J23" s="127">
        <f t="shared" si="14"/>
        <v>28420.16666666666</v>
      </c>
      <c r="K23" s="127">
        <f t="shared" si="14"/>
        <v>32382.999999999993</v>
      </c>
      <c r="L23" s="127">
        <f t="shared" si="14"/>
        <v>36345.83333333333</v>
      </c>
      <c r="M23" s="128">
        <f t="shared" si="14"/>
        <v>40308.666666666664</v>
      </c>
    </row>
    <row r="24" spans="1:13" ht="1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</sheetData>
  <sheetProtection/>
  <printOptions/>
  <pageMargins left="0.75" right="0.75" top="1" bottom="1" header="0" footer="0"/>
  <pageSetup horizontalDpi="300" verticalDpi="300" orientation="portrait" r:id="rId1"/>
  <ignoredErrors>
    <ignoredError sqref="D4:M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del Proyecto Quirola</dc:title>
  <dc:subject/>
  <dc:creator>Lorena Cuenca</dc:creator>
  <cp:keywords/>
  <dc:description/>
  <cp:lastModifiedBy>TRABAJADORA</cp:lastModifiedBy>
  <cp:lastPrinted>2009-10-19T21:53:19Z</cp:lastPrinted>
  <dcterms:created xsi:type="dcterms:W3CDTF">1996-11-27T10:00:04Z</dcterms:created>
  <dcterms:modified xsi:type="dcterms:W3CDTF">2009-10-19T22:20:59Z</dcterms:modified>
  <cp:category/>
  <cp:version/>
  <cp:contentType/>
  <cp:contentStatus/>
</cp:coreProperties>
</file>