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emf" ContentType="image/x-emf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35" windowWidth="9450" windowHeight="5175" firstSheet="10" activeTab="16"/>
  </bookViews>
  <sheets>
    <sheet name="Hoja3" sheetId="3" r:id="rId1"/>
    <sheet name="Hoja5" sheetId="5" r:id="rId2"/>
    <sheet name="Hoja6" sheetId="6" r:id="rId3"/>
    <sheet name="Hoja7" sheetId="7" r:id="rId4"/>
    <sheet name="Hoja8" sheetId="8" r:id="rId5"/>
    <sheet name="Hoja11" sheetId="11" r:id="rId6"/>
    <sheet name="INV. FIJA" sheetId="12" r:id="rId7"/>
    <sheet name="INV. DIFERIDA" sheetId="13" r:id="rId8"/>
    <sheet name="CAP. TRABAJO" sheetId="14" r:id="rId9"/>
    <sheet name="FINANCIAMIENTO" sheetId="15" r:id="rId10"/>
    <sheet name="TABLA AMORT." sheetId="16" r:id="rId11"/>
    <sheet name="DEP Y AMORT." sheetId="17" r:id="rId12"/>
    <sheet name="COSTOS&amp;GASTOS" sheetId="21" r:id="rId13"/>
    <sheet name="INGRESOS" sheetId="18" r:id="rId14"/>
    <sheet name="EP&amp;GPROYECTADO" sheetId="22" r:id="rId15"/>
    <sheet name="FC1" sheetId="23" r:id="rId16"/>
    <sheet name="Analisis" sheetId="27" r:id="rId17"/>
    <sheet name="FC1_CB" sheetId="26" r:id="rId18"/>
    <sheet name="FC2" sheetId="25" r:id="rId19"/>
  </sheets>
  <definedNames>
    <definedName name="ZA0" localSheetId="17">"Crystal Ball Data : Ver. 4.0.3"</definedName>
    <definedName name="ZA0A" localSheetId="17">5+104</definedName>
    <definedName name="ZA0C" localSheetId="17">0+0</definedName>
    <definedName name="ZA0D" localSheetId="17">0+0</definedName>
    <definedName name="ZA0F" localSheetId="17">1+101</definedName>
    <definedName name="ZA0T" localSheetId="17">10576528+0</definedName>
    <definedName name="_ZA100" localSheetId="17">FC1_CB!$C$1+"AC1"+16929+398502+39850.2+0+500000</definedName>
    <definedName name="_ZA101" localSheetId="17">FC1_CB!$C$2+"AC2"+16929+21600+2160+0+"+"</definedName>
    <definedName name="_ZA102" localSheetId="17">FC1_CB!$C$3+"AC3"+16929+10800+1080+0+"+"</definedName>
    <definedName name="_ZA103" localSheetId="17">FC1_CB!#REF!+"AC4"+16929+19846.5+1984.65+0+"+"</definedName>
    <definedName name="_ZA104" localSheetId="17">FC1_CB!$C$4+"AC5"+16929+12600+1260+0+"+"</definedName>
    <definedName name="_ZF101" localSheetId="17">FC1_CB!$B$34+"VAN"+"$"+545+545+441+0+0+0+0+4+3+"-"+"+"+2.6+50+2</definedName>
  </definedNames>
  <calcPr calcId="124519"/>
</workbook>
</file>

<file path=xl/calcChain.xml><?xml version="1.0" encoding="utf-8"?>
<calcChain xmlns="http://schemas.openxmlformats.org/spreadsheetml/2006/main">
  <c r="I13" i="13"/>
  <c r="I14"/>
  <c r="I15"/>
  <c r="I16"/>
  <c r="H13"/>
  <c r="H15"/>
  <c r="H14"/>
  <c r="B14" i="14"/>
  <c r="B13"/>
  <c r="B10"/>
  <c r="C3" i="13"/>
  <c r="C4"/>
  <c r="C6"/>
  <c r="B7" i="17"/>
  <c r="D7"/>
  <c r="C10" i="23"/>
  <c r="C15" i="26"/>
  <c r="B7" i="15"/>
  <c r="C23" i="26"/>
  <c r="E7" i="17"/>
  <c r="D10" i="23"/>
  <c r="D15" i="26"/>
  <c r="D23"/>
  <c r="F7" i="17"/>
  <c r="E10" i="23"/>
  <c r="E15" i="26"/>
  <c r="E23"/>
  <c r="G7" i="17"/>
  <c r="F10" i="23"/>
  <c r="F15" i="26"/>
  <c r="F23"/>
  <c r="G10" i="23"/>
  <c r="G15" i="26"/>
  <c r="G23"/>
  <c r="H15"/>
  <c r="H16"/>
  <c r="H23"/>
  <c r="H29"/>
  <c r="I15"/>
  <c r="I16"/>
  <c r="I23"/>
  <c r="I29"/>
  <c r="J15"/>
  <c r="J16"/>
  <c r="J23"/>
  <c r="J29"/>
  <c r="K15"/>
  <c r="K16"/>
  <c r="K23"/>
  <c r="K29"/>
  <c r="L29"/>
  <c r="B20" i="23"/>
  <c r="B25" i="26"/>
  <c r="B16" i="14"/>
  <c r="B21"/>
  <c r="C18" i="23"/>
  <c r="D18"/>
  <c r="E18"/>
  <c r="F18"/>
  <c r="G18"/>
  <c r="E42"/>
  <c r="E44" s="1"/>
  <c r="E43"/>
  <c r="L10"/>
  <c r="L15" i="26" s="1"/>
  <c r="L23" s="1"/>
  <c r="L11" i="23"/>
  <c r="L16" i="26" s="1"/>
  <c r="K18" i="23"/>
  <c r="L18"/>
  <c r="C19" i="18"/>
  <c r="C20" s="1"/>
  <c r="C21" s="1"/>
  <c r="D5" i="12"/>
  <c r="D23" i="21"/>
  <c r="D20"/>
  <c r="D4"/>
  <c r="E4"/>
  <c r="D5"/>
  <c r="E5"/>
  <c r="D6"/>
  <c r="E6"/>
  <c r="E8"/>
  <c r="E11"/>
  <c r="C23" i="18"/>
  <c r="C25" s="1"/>
  <c r="C7" i="26"/>
  <c r="C8"/>
  <c r="C9"/>
  <c r="C12"/>
  <c r="D18" i="21"/>
  <c r="E18"/>
  <c r="C3" i="23" s="1"/>
  <c r="E20" i="21"/>
  <c r="C6" i="23" s="1"/>
  <c r="D19" i="21"/>
  <c r="E19"/>
  <c r="C5" i="23" s="1"/>
  <c r="D22" i="21"/>
  <c r="E22"/>
  <c r="C4" i="23" s="1"/>
  <c r="D4" s="1"/>
  <c r="E4" s="1"/>
  <c r="F4" s="1"/>
  <c r="G4" s="1"/>
  <c r="H4" s="1"/>
  <c r="I4" s="1"/>
  <c r="J4" s="1"/>
  <c r="K4" s="1"/>
  <c r="L4" s="1"/>
  <c r="E23" i="21"/>
  <c r="C8" i="23" s="1"/>
  <c r="D12" i="12"/>
  <c r="B5" i="17" s="1"/>
  <c r="D13" i="12"/>
  <c r="D14"/>
  <c r="D17"/>
  <c r="D16"/>
  <c r="D1" i="26"/>
  <c r="D7"/>
  <c r="D2"/>
  <c r="D8"/>
  <c r="D3"/>
  <c r="D9"/>
  <c r="D4"/>
  <c r="D12"/>
  <c r="E1"/>
  <c r="E7"/>
  <c r="E2"/>
  <c r="E8"/>
  <c r="E3"/>
  <c r="E9"/>
  <c r="E4"/>
  <c r="E12"/>
  <c r="F1"/>
  <c r="F7"/>
  <c r="F2"/>
  <c r="F8"/>
  <c r="F3"/>
  <c r="F9"/>
  <c r="F4"/>
  <c r="F12"/>
  <c r="G1"/>
  <c r="H1" s="1"/>
  <c r="G7"/>
  <c r="G2"/>
  <c r="H2" s="1"/>
  <c r="G8"/>
  <c r="G3"/>
  <c r="H3" s="1"/>
  <c r="G9"/>
  <c r="G4"/>
  <c r="H4" s="1"/>
  <c r="G12"/>
  <c r="H7" i="17"/>
  <c r="C7" i="25"/>
  <c r="C13"/>
  <c r="C3"/>
  <c r="C6"/>
  <c r="C4"/>
  <c r="C5"/>
  <c r="C9"/>
  <c r="C12"/>
  <c r="C20"/>
  <c r="D7"/>
  <c r="D13"/>
  <c r="D3"/>
  <c r="D6"/>
  <c r="D4"/>
  <c r="D5"/>
  <c r="D9"/>
  <c r="D12"/>
  <c r="D20"/>
  <c r="E7"/>
  <c r="E13"/>
  <c r="E3"/>
  <c r="E6"/>
  <c r="E4"/>
  <c r="E5"/>
  <c r="E9"/>
  <c r="E24"/>
  <c r="E12"/>
  <c r="E20"/>
  <c r="F7"/>
  <c r="F13"/>
  <c r="F3"/>
  <c r="F6"/>
  <c r="F4"/>
  <c r="F5"/>
  <c r="F9"/>
  <c r="F12"/>
  <c r="F20"/>
  <c r="G7"/>
  <c r="G13"/>
  <c r="G3"/>
  <c r="G6"/>
  <c r="G4"/>
  <c r="G5"/>
  <c r="G9"/>
  <c r="G12"/>
  <c r="G20"/>
  <c r="B22"/>
  <c r="C10"/>
  <c r="D10"/>
  <c r="E10"/>
  <c r="F10"/>
  <c r="G10"/>
  <c r="C3" i="12"/>
  <c r="D3"/>
  <c r="D7" s="1"/>
  <c r="D4"/>
  <c r="B4" i="14"/>
  <c r="B6" s="1"/>
  <c r="B20" s="1"/>
  <c r="B22" s="1"/>
  <c r="B23" s="1"/>
  <c r="N17"/>
  <c r="C4" i="18"/>
  <c r="C5" s="1"/>
  <c r="C6" s="1"/>
  <c r="C10" s="1"/>
  <c r="C13" i="14"/>
  <c r="D13"/>
  <c r="C10"/>
  <c r="D10"/>
  <c r="C11"/>
  <c r="D11"/>
  <c r="C12"/>
  <c r="D12"/>
  <c r="C14"/>
  <c r="D14"/>
  <c r="C15"/>
  <c r="D15"/>
  <c r="D16"/>
  <c r="D21"/>
  <c r="D2"/>
  <c r="C16"/>
  <c r="C21"/>
  <c r="E13"/>
  <c r="E10"/>
  <c r="E11"/>
  <c r="E12"/>
  <c r="E14"/>
  <c r="E15"/>
  <c r="E16"/>
  <c r="E21"/>
  <c r="E2"/>
  <c r="F13"/>
  <c r="F10"/>
  <c r="F11"/>
  <c r="F12"/>
  <c r="F14"/>
  <c r="F15"/>
  <c r="F16"/>
  <c r="F21"/>
  <c r="F2"/>
  <c r="G13"/>
  <c r="G10"/>
  <c r="G11"/>
  <c r="G12"/>
  <c r="G14"/>
  <c r="G15"/>
  <c r="G16"/>
  <c r="G21"/>
  <c r="G2"/>
  <c r="H13"/>
  <c r="H10"/>
  <c r="H11"/>
  <c r="H12"/>
  <c r="H14"/>
  <c r="H15"/>
  <c r="H16"/>
  <c r="H21"/>
  <c r="H2"/>
  <c r="I13"/>
  <c r="I10"/>
  <c r="I11"/>
  <c r="I12"/>
  <c r="I14"/>
  <c r="I15"/>
  <c r="I16"/>
  <c r="I21"/>
  <c r="I2"/>
  <c r="J13"/>
  <c r="J10"/>
  <c r="J11"/>
  <c r="J12"/>
  <c r="J14"/>
  <c r="J15"/>
  <c r="J16"/>
  <c r="J21"/>
  <c r="J2"/>
  <c r="K13"/>
  <c r="K10"/>
  <c r="K11"/>
  <c r="K12"/>
  <c r="K14"/>
  <c r="K15"/>
  <c r="K16"/>
  <c r="K21"/>
  <c r="K2"/>
  <c r="L13"/>
  <c r="L10"/>
  <c r="L11"/>
  <c r="L12"/>
  <c r="L14"/>
  <c r="L15"/>
  <c r="L16"/>
  <c r="L21"/>
  <c r="L2"/>
  <c r="M13"/>
  <c r="M10"/>
  <c r="M11"/>
  <c r="M12"/>
  <c r="M14"/>
  <c r="M15"/>
  <c r="M16"/>
  <c r="M21"/>
  <c r="M2"/>
  <c r="C5" i="17"/>
  <c r="F27" i="12"/>
  <c r="D15"/>
  <c r="D19" s="1"/>
  <c r="E19" i="8"/>
  <c r="E17"/>
  <c r="E15"/>
  <c r="E13"/>
  <c r="E11"/>
  <c r="E9"/>
  <c r="E7"/>
  <c r="K5"/>
  <c r="J5"/>
  <c r="I5"/>
  <c r="H5"/>
  <c r="G5"/>
  <c r="E5"/>
  <c r="C5"/>
  <c r="E4" i="7"/>
  <c r="E5"/>
  <c r="E6"/>
  <c r="E7"/>
  <c r="E8"/>
  <c r="E9"/>
  <c r="E10"/>
  <c r="E11"/>
  <c r="E12"/>
  <c r="D13"/>
  <c r="E13"/>
  <c r="E14"/>
  <c r="E3"/>
  <c r="B4" i="17" l="1"/>
  <c r="B5" i="15"/>
  <c r="B6" i="17"/>
  <c r="B6" i="15"/>
  <c r="B21" i="23"/>
  <c r="B26" i="26" s="1"/>
  <c r="B23" i="25"/>
  <c r="B4" i="15"/>
  <c r="H12" i="26"/>
  <c r="I4"/>
  <c r="H9"/>
  <c r="I3"/>
  <c r="H8"/>
  <c r="I2"/>
  <c r="H7"/>
  <c r="I1"/>
  <c r="D3" i="23"/>
  <c r="C28" i="18"/>
  <c r="C29"/>
  <c r="D5" i="17"/>
  <c r="E5" s="1"/>
  <c r="F5" s="1"/>
  <c r="E23" i="23"/>
  <c r="E28" i="26" s="1"/>
  <c r="C13"/>
  <c r="D8" i="23"/>
  <c r="C10" i="26"/>
  <c r="D5" i="23"/>
  <c r="C11" i="26"/>
  <c r="D6" i="23"/>
  <c r="B7" i="22"/>
  <c r="D11" i="26" l="1"/>
  <c r="E6" i="23"/>
  <c r="D10" i="26"/>
  <c r="E5" i="23"/>
  <c r="D13" i="26"/>
  <c r="E8" i="23"/>
  <c r="C7" i="22"/>
  <c r="C31" i="18"/>
  <c r="C5" i="14" s="1"/>
  <c r="D5" s="1"/>
  <c r="E5" s="1"/>
  <c r="F5" s="1"/>
  <c r="G5" s="1"/>
  <c r="H5" s="1"/>
  <c r="I5" s="1"/>
  <c r="J5" s="1"/>
  <c r="K5" s="1"/>
  <c r="L5" s="1"/>
  <c r="M5" s="1"/>
  <c r="C3"/>
  <c r="E3" i="23"/>
  <c r="I7" i="26"/>
  <c r="J1"/>
  <c r="I8"/>
  <c r="J2"/>
  <c r="I9"/>
  <c r="J3"/>
  <c r="I12"/>
  <c r="J4"/>
  <c r="B3" i="17"/>
  <c r="D3" s="1"/>
  <c r="B9" i="15"/>
  <c r="B19" i="23"/>
  <c r="B21" i="25"/>
  <c r="B27" s="1"/>
  <c r="D6" i="17"/>
  <c r="E6" s="1"/>
  <c r="F6" s="1"/>
  <c r="G6" s="1"/>
  <c r="H6" s="1"/>
  <c r="I6" s="1"/>
  <c r="J6" s="1"/>
  <c r="K6" s="1"/>
  <c r="L6" s="1"/>
  <c r="M6" s="1"/>
  <c r="N6"/>
  <c r="D4"/>
  <c r="E4" s="1"/>
  <c r="F4" s="1"/>
  <c r="G4" s="1"/>
  <c r="H4" s="1"/>
  <c r="I4" s="1"/>
  <c r="J4" s="1"/>
  <c r="K4" s="1"/>
  <c r="L4" s="1"/>
  <c r="M4" s="1"/>
  <c r="N4"/>
  <c r="N9" s="1"/>
  <c r="C33" i="18"/>
  <c r="G25" i="25"/>
  <c r="C2" i="23" l="1"/>
  <c r="C2" i="25"/>
  <c r="J30"/>
  <c r="B30"/>
  <c r="B24" i="26"/>
  <c r="F13" i="15"/>
  <c r="C2" i="16" s="1"/>
  <c r="F12" i="15"/>
  <c r="F15" s="1"/>
  <c r="D9" i="17"/>
  <c r="E3"/>
  <c r="E21" i="21"/>
  <c r="J12" i="26"/>
  <c r="K4"/>
  <c r="J9"/>
  <c r="K3"/>
  <c r="J8"/>
  <c r="K2"/>
  <c r="J7"/>
  <c r="K1"/>
  <c r="F3" i="23"/>
  <c r="D3" i="14"/>
  <c r="C4"/>
  <c r="C6" s="1"/>
  <c r="C20" s="1"/>
  <c r="C22" s="1"/>
  <c r="C23" s="1"/>
  <c r="E13" i="26"/>
  <c r="F8" i="23"/>
  <c r="D7" i="22"/>
  <c r="E10" i="26"/>
  <c r="F5" i="23"/>
  <c r="E11" i="26"/>
  <c r="F6" i="23"/>
  <c r="F11" i="26" l="1"/>
  <c r="G6" i="23"/>
  <c r="F10" i="26"/>
  <c r="G5" i="23"/>
  <c r="F13" i="26"/>
  <c r="G8" i="23"/>
  <c r="E7" i="22"/>
  <c r="D4" i="14"/>
  <c r="D6" s="1"/>
  <c r="D20" s="1"/>
  <c r="D22" s="1"/>
  <c r="D23" s="1"/>
  <c r="E3"/>
  <c r="G3" i="23"/>
  <c r="K7" i="26"/>
  <c r="L1"/>
  <c r="L7" s="1"/>
  <c r="K8"/>
  <c r="L2"/>
  <c r="L8" s="1"/>
  <c r="K9"/>
  <c r="L3"/>
  <c r="L9" s="1"/>
  <c r="K12"/>
  <c r="L4"/>
  <c r="L12" s="1"/>
  <c r="C7" i="23"/>
  <c r="C8" i="25"/>
  <c r="D8" s="1"/>
  <c r="E8" s="1"/>
  <c r="F8" s="1"/>
  <c r="G8" s="1"/>
  <c r="E25" i="21"/>
  <c r="E9" i="17"/>
  <c r="F3"/>
  <c r="C9" i="23"/>
  <c r="C11" i="25"/>
  <c r="C19" s="1"/>
  <c r="E8" i="16"/>
  <c r="B9"/>
  <c r="B22" i="23"/>
  <c r="C14" i="25"/>
  <c r="D2"/>
  <c r="D2" i="23"/>
  <c r="B2" i="22"/>
  <c r="E2" i="23" l="1"/>
  <c r="C2" i="22"/>
  <c r="D14" i="25"/>
  <c r="E2"/>
  <c r="C15"/>
  <c r="C16"/>
  <c r="B27" i="26"/>
  <c r="B32" s="1"/>
  <c r="B27" i="23"/>
  <c r="B10" i="16"/>
  <c r="C9"/>
  <c r="C14" i="26"/>
  <c r="C17" i="23"/>
  <c r="B9" i="22"/>
  <c r="F9" i="17"/>
  <c r="G3"/>
  <c r="D9" i="23"/>
  <c r="D11" i="25"/>
  <c r="D19" s="1"/>
  <c r="D7" i="23"/>
  <c r="B3" i="22"/>
  <c r="H3" i="23"/>
  <c r="E4" i="14"/>
  <c r="E6" s="1"/>
  <c r="E20" s="1"/>
  <c r="E22" s="1"/>
  <c r="E23" s="1"/>
  <c r="F3"/>
  <c r="G13" i="26"/>
  <c r="H8" i="23"/>
  <c r="F7" i="22"/>
  <c r="G10" i="26"/>
  <c r="H5" i="23"/>
  <c r="G11" i="26"/>
  <c r="H6" i="23"/>
  <c r="B5" i="22"/>
  <c r="H11" i="26" l="1"/>
  <c r="I6" i="23"/>
  <c r="H10" i="26"/>
  <c r="I5" i="23"/>
  <c r="H13" i="26"/>
  <c r="I8" i="23"/>
  <c r="G7" i="22"/>
  <c r="F4" i="14"/>
  <c r="F6" s="1"/>
  <c r="F20" s="1"/>
  <c r="F22" s="1"/>
  <c r="F23" s="1"/>
  <c r="G3"/>
  <c r="I3" i="23"/>
  <c r="E7"/>
  <c r="C3" i="22"/>
  <c r="D14" i="26"/>
  <c r="D17" i="23"/>
  <c r="C9" i="22"/>
  <c r="G9" i="17"/>
  <c r="H3"/>
  <c r="E9" i="23"/>
  <c r="E11" i="25"/>
  <c r="E19" s="1"/>
  <c r="C22" i="26"/>
  <c r="B11" i="16"/>
  <c r="O30" i="23"/>
  <c r="C17" i="25"/>
  <c r="C18"/>
  <c r="C27" s="1"/>
  <c r="E14"/>
  <c r="F2"/>
  <c r="D15"/>
  <c r="D16"/>
  <c r="F2" i="23"/>
  <c r="D2" i="22"/>
  <c r="D9" i="16"/>
  <c r="C5" i="22"/>
  <c r="E9" i="16" l="1"/>
  <c r="G2" i="23"/>
  <c r="E2" i="22"/>
  <c r="D17" i="25"/>
  <c r="D18"/>
  <c r="D27" s="1"/>
  <c r="L30" s="1"/>
  <c r="F14"/>
  <c r="G2"/>
  <c r="G14" s="1"/>
  <c r="E15"/>
  <c r="E16"/>
  <c r="K30"/>
  <c r="B29"/>
  <c r="B12" i="16"/>
  <c r="E14" i="26"/>
  <c r="E17" i="23"/>
  <c r="D9" i="22"/>
  <c r="I3" i="17"/>
  <c r="H9"/>
  <c r="G11" i="25" s="1"/>
  <c r="G19" s="1"/>
  <c r="F9" i="23"/>
  <c r="F11" i="25"/>
  <c r="F19" s="1"/>
  <c r="D22" i="26"/>
  <c r="F7" i="23"/>
  <c r="D3" i="22"/>
  <c r="J3" i="23"/>
  <c r="G4" i="14"/>
  <c r="G6" s="1"/>
  <c r="G20" s="1"/>
  <c r="G22" s="1"/>
  <c r="G23" s="1"/>
  <c r="H3"/>
  <c r="I13" i="26"/>
  <c r="J8" i="23"/>
  <c r="H7" i="22"/>
  <c r="I10" i="26"/>
  <c r="J5" i="23"/>
  <c r="I11" i="26"/>
  <c r="J6" i="23"/>
  <c r="D5" i="22"/>
  <c r="J11" i="26" l="1"/>
  <c r="K6" i="23"/>
  <c r="J10" i="26"/>
  <c r="K5" i="23"/>
  <c r="J13" i="26"/>
  <c r="K8" i="23"/>
  <c r="I7" i="22"/>
  <c r="H4" i="14"/>
  <c r="H6" s="1"/>
  <c r="H20" s="1"/>
  <c r="H22" s="1"/>
  <c r="H23" s="1"/>
  <c r="I3"/>
  <c r="K3" i="23"/>
  <c r="G7"/>
  <c r="E3" i="22"/>
  <c r="F14" i="26"/>
  <c r="G9" i="23"/>
  <c r="F17"/>
  <c r="G17" s="1"/>
  <c r="H17" s="1"/>
  <c r="I17" s="1"/>
  <c r="J17" s="1"/>
  <c r="K17" s="1"/>
  <c r="L17" s="1"/>
  <c r="E9" i="22"/>
  <c r="I9" i="17"/>
  <c r="J3"/>
  <c r="E22" i="26"/>
  <c r="B13" i="16"/>
  <c r="E17" i="25"/>
  <c r="E18"/>
  <c r="E27" s="1"/>
  <c r="M30" s="1"/>
  <c r="G15"/>
  <c r="G16"/>
  <c r="F15"/>
  <c r="F16"/>
  <c r="H2" i="23"/>
  <c r="F2" i="22"/>
  <c r="C10" i="16"/>
  <c r="E5" i="22"/>
  <c r="D10" i="16" l="1"/>
  <c r="I2" i="23"/>
  <c r="G2" i="22"/>
  <c r="F17" i="25"/>
  <c r="F18"/>
  <c r="F27" s="1"/>
  <c r="N30" s="1"/>
  <c r="G17"/>
  <c r="G18"/>
  <c r="G27" s="1"/>
  <c r="O30" s="1"/>
  <c r="B14" i="16"/>
  <c r="J9" i="17"/>
  <c r="K3"/>
  <c r="G14" i="26"/>
  <c r="H9" i="23"/>
  <c r="F9" i="22"/>
  <c r="F22" i="26"/>
  <c r="H7" i="23"/>
  <c r="F3" i="22"/>
  <c r="L3" i="23"/>
  <c r="I4" i="14"/>
  <c r="I6" s="1"/>
  <c r="I20" s="1"/>
  <c r="I22" s="1"/>
  <c r="I23" s="1"/>
  <c r="J3"/>
  <c r="K13" i="26"/>
  <c r="L8" i="23"/>
  <c r="J7" i="22"/>
  <c r="K10" i="26"/>
  <c r="L5" i="23"/>
  <c r="L10" i="26" s="1"/>
  <c r="K11"/>
  <c r="L6" i="23"/>
  <c r="L11" i="26" s="1"/>
  <c r="F5" i="22"/>
  <c r="L13" i="26" l="1"/>
  <c r="K7" i="22"/>
  <c r="J4" i="14"/>
  <c r="J6" s="1"/>
  <c r="J20" s="1"/>
  <c r="J22" s="1"/>
  <c r="J23" s="1"/>
  <c r="K3"/>
  <c r="I7" i="23"/>
  <c r="G3" i="22"/>
  <c r="H14" i="26"/>
  <c r="I9" i="23"/>
  <c r="G9" i="22"/>
  <c r="G22" i="26"/>
  <c r="K9" i="17"/>
  <c r="L3"/>
  <c r="B15" i="16"/>
  <c r="J2" i="23"/>
  <c r="I12"/>
  <c r="H2" i="22"/>
  <c r="E10" i="16"/>
  <c r="G5" i="22"/>
  <c r="G11" s="1"/>
  <c r="H12" i="23"/>
  <c r="H13" l="1"/>
  <c r="H14"/>
  <c r="G12" i="22"/>
  <c r="G13"/>
  <c r="C11" i="16"/>
  <c r="I13" i="23"/>
  <c r="I14"/>
  <c r="K2"/>
  <c r="I2" i="22"/>
  <c r="B16" i="16"/>
  <c r="L9" i="17"/>
  <c r="M3"/>
  <c r="M9" s="1"/>
  <c r="I14" i="26"/>
  <c r="J9" i="23"/>
  <c r="H9" i="22"/>
  <c r="H22" i="26"/>
  <c r="H17"/>
  <c r="J7" i="23"/>
  <c r="H3" i="22"/>
  <c r="K4" i="14"/>
  <c r="K6" s="1"/>
  <c r="K20" s="1"/>
  <c r="K22" s="1"/>
  <c r="K23" s="1"/>
  <c r="L3"/>
  <c r="H5" i="22"/>
  <c r="H11" s="1"/>
  <c r="H12" l="1"/>
  <c r="H13"/>
  <c r="L4" i="14"/>
  <c r="L6" s="1"/>
  <c r="L20" s="1"/>
  <c r="L22" s="1"/>
  <c r="L23" s="1"/>
  <c r="M3"/>
  <c r="M4" s="1"/>
  <c r="M6" s="1"/>
  <c r="M20" s="1"/>
  <c r="M22" s="1"/>
  <c r="M23" s="1"/>
  <c r="K7" i="23"/>
  <c r="I3" i="22"/>
  <c r="H18" i="26"/>
  <c r="H19"/>
  <c r="J14"/>
  <c r="K9" i="23"/>
  <c r="I9" i="22"/>
  <c r="I22" i="26"/>
  <c r="I17"/>
  <c r="B17" i="16"/>
  <c r="K12" i="23"/>
  <c r="L2"/>
  <c r="J2" i="22"/>
  <c r="I15" i="23"/>
  <c r="I16"/>
  <c r="I27" s="1"/>
  <c r="D11" i="16"/>
  <c r="G14" i="22"/>
  <c r="G16"/>
  <c r="H15" i="23"/>
  <c r="H16"/>
  <c r="H27" s="1"/>
  <c r="I5" i="22"/>
  <c r="I11" s="1"/>
  <c r="J12" i="23"/>
  <c r="J13" l="1"/>
  <c r="J14"/>
  <c r="I12" i="22"/>
  <c r="I13"/>
  <c r="G18"/>
  <c r="G19"/>
  <c r="G20" s="1"/>
  <c r="E11" i="16"/>
  <c r="K2" i="22"/>
  <c r="K13" i="23"/>
  <c r="K14"/>
  <c r="B18" i="16"/>
  <c r="I18" i="26"/>
  <c r="I19"/>
  <c r="K14"/>
  <c r="L9" i="23"/>
  <c r="J9" i="22"/>
  <c r="J22" i="26"/>
  <c r="J17"/>
  <c r="H20"/>
  <c r="H21"/>
  <c r="H32" s="1"/>
  <c r="L7" i="23"/>
  <c r="K3" i="22" s="1"/>
  <c r="J3"/>
  <c r="H14"/>
  <c r="H16"/>
  <c r="J5"/>
  <c r="J11" s="1"/>
  <c r="J12" l="1"/>
  <c r="J13"/>
  <c r="H18"/>
  <c r="H19"/>
  <c r="H20" s="1"/>
  <c r="J18" i="26"/>
  <c r="J19"/>
  <c r="L14"/>
  <c r="K9" i="22"/>
  <c r="K22" i="26"/>
  <c r="K17"/>
  <c r="I20"/>
  <c r="I21"/>
  <c r="I32" s="1"/>
  <c r="B19" i="16"/>
  <c r="K15" i="23"/>
  <c r="K16"/>
  <c r="K27" s="1"/>
  <c r="L25" s="1"/>
  <c r="L30" i="26" s="1"/>
  <c r="C12" i="16"/>
  <c r="I14" i="22"/>
  <c r="I16"/>
  <c r="J15" i="23"/>
  <c r="J16"/>
  <c r="J27" s="1"/>
  <c r="K5" i="22"/>
  <c r="K11" s="1"/>
  <c r="L12" i="23"/>
  <c r="L13" l="1"/>
  <c r="L14"/>
  <c r="K12" i="22"/>
  <c r="K13"/>
  <c r="I18"/>
  <c r="I19"/>
  <c r="I20" s="1"/>
  <c r="D12" i="16"/>
  <c r="C11" i="23"/>
  <c r="B20" i="16"/>
  <c r="K18" i="26"/>
  <c r="K19"/>
  <c r="L22"/>
  <c r="L17"/>
  <c r="J20"/>
  <c r="J21"/>
  <c r="J32" s="1"/>
  <c r="J14" i="22"/>
  <c r="J16"/>
  <c r="J18" l="1"/>
  <c r="J19"/>
  <c r="J20" s="1"/>
  <c r="L18" i="26"/>
  <c r="L19"/>
  <c r="K20"/>
  <c r="K21"/>
  <c r="K32" s="1"/>
  <c r="B21" i="16"/>
  <c r="C16" i="26"/>
  <c r="C17" s="1"/>
  <c r="B8" i="22"/>
  <c r="B11" s="1"/>
  <c r="C12" i="23"/>
  <c r="C24"/>
  <c r="C29" i="26" s="1"/>
  <c r="E12" i="16"/>
  <c r="K14" i="22"/>
  <c r="K16"/>
  <c r="L15" i="23"/>
  <c r="L16"/>
  <c r="L27" s="1"/>
  <c r="K18" i="22" l="1"/>
  <c r="K19"/>
  <c r="K20" s="1"/>
  <c r="C13" i="16"/>
  <c r="C13" i="23"/>
  <c r="C14"/>
  <c r="B12" i="22"/>
  <c r="B13"/>
  <c r="C18" i="26"/>
  <c r="C19"/>
  <c r="B22" i="16"/>
  <c r="L20" i="26"/>
  <c r="L21"/>
  <c r="L32" s="1"/>
  <c r="B23" i="16" l="1"/>
  <c r="C20" i="26"/>
  <c r="C21"/>
  <c r="C32" s="1"/>
  <c r="B14" i="22"/>
  <c r="B16"/>
  <c r="C15" i="23"/>
  <c r="C16"/>
  <c r="C27" s="1"/>
  <c r="D13" i="16"/>
  <c r="E13" l="1"/>
  <c r="P30" i="23"/>
  <c r="B18" i="22"/>
  <c r="B19"/>
  <c r="B20" s="1"/>
  <c r="B24" i="16"/>
  <c r="B25" l="1"/>
  <c r="C14"/>
  <c r="D14" l="1"/>
  <c r="B26"/>
  <c r="B27" l="1"/>
  <c r="E14"/>
  <c r="C15" l="1"/>
  <c r="B28"/>
  <c r="D15" l="1"/>
  <c r="E15" l="1"/>
  <c r="C16" l="1"/>
  <c r="D16" l="1"/>
  <c r="D11" i="23"/>
  <c r="D16" i="26" l="1"/>
  <c r="D17" s="1"/>
  <c r="C8" i="22"/>
  <c r="C11" s="1"/>
  <c r="D12" i="23"/>
  <c r="D24"/>
  <c r="D29" i="26" s="1"/>
  <c r="E16" i="16"/>
  <c r="C17" l="1"/>
  <c r="D13" i="23"/>
  <c r="D14"/>
  <c r="C12" i="22"/>
  <c r="C13"/>
  <c r="D18" i="26"/>
  <c r="D19"/>
  <c r="D20" l="1"/>
  <c r="D21"/>
  <c r="D32" s="1"/>
  <c r="C14" i="22"/>
  <c r="C16"/>
  <c r="D15" i="23"/>
  <c r="D16"/>
  <c r="D27" s="1"/>
  <c r="D17" i="16"/>
  <c r="E17" l="1"/>
  <c r="Q30" i="23"/>
  <c r="C18" i="22"/>
  <c r="C19"/>
  <c r="C20" s="1"/>
  <c r="C18" i="16" l="1"/>
  <c r="D18" l="1"/>
  <c r="E18" l="1"/>
  <c r="C19" l="1"/>
  <c r="D19" l="1"/>
  <c r="E19" l="1"/>
  <c r="C20" l="1"/>
  <c r="D20" l="1"/>
  <c r="E11" i="23"/>
  <c r="E16" i="26" l="1"/>
  <c r="E17" s="1"/>
  <c r="D8" i="22"/>
  <c r="D11" s="1"/>
  <c r="E12" i="23"/>
  <c r="E24"/>
  <c r="E29" i="26" s="1"/>
  <c r="E20" i="16"/>
  <c r="C21" l="1"/>
  <c r="E13" i="23"/>
  <c r="E14"/>
  <c r="D12" i="22"/>
  <c r="D13"/>
  <c r="E18" i="26"/>
  <c r="E19"/>
  <c r="E20" l="1"/>
  <c r="E21"/>
  <c r="E32" s="1"/>
  <c r="D14" i="22"/>
  <c r="D16"/>
  <c r="E15" i="23"/>
  <c r="E16"/>
  <c r="E27" s="1"/>
  <c r="D21" i="16"/>
  <c r="E21" l="1"/>
  <c r="R30" i="23"/>
  <c r="D18" i="22"/>
  <c r="D19"/>
  <c r="D20" s="1"/>
  <c r="C22" i="16" l="1"/>
  <c r="D22" l="1"/>
  <c r="E22" l="1"/>
  <c r="C23" l="1"/>
  <c r="D23" l="1"/>
  <c r="E23" l="1"/>
  <c r="C24" l="1"/>
  <c r="D24" l="1"/>
  <c r="F11" i="23"/>
  <c r="F16" i="26" l="1"/>
  <c r="F17" s="1"/>
  <c r="E8" i="22"/>
  <c r="E11" s="1"/>
  <c r="F12" i="23"/>
  <c r="F24"/>
  <c r="F29" i="26" s="1"/>
  <c r="E24" i="16"/>
  <c r="C25" l="1"/>
  <c r="F13" i="23"/>
  <c r="F14"/>
  <c r="E12" i="22"/>
  <c r="E13"/>
  <c r="F18" i="26"/>
  <c r="F19"/>
  <c r="F20" l="1"/>
  <c r="F21"/>
  <c r="F32" s="1"/>
  <c r="E14" i="22"/>
  <c r="E16"/>
  <c r="F15" i="23"/>
  <c r="F16"/>
  <c r="F27" s="1"/>
  <c r="D25" i="16"/>
  <c r="E25" l="1"/>
  <c r="S30" i="23"/>
  <c r="E18" i="22"/>
  <c r="E19"/>
  <c r="E20" s="1"/>
  <c r="C26" i="16" l="1"/>
  <c r="D26" l="1"/>
  <c r="E26" l="1"/>
  <c r="C27" l="1"/>
  <c r="D27" l="1"/>
  <c r="E27" l="1"/>
  <c r="C28" l="1"/>
  <c r="C29" l="1"/>
  <c r="D28"/>
  <c r="G11" i="23"/>
  <c r="G16" i="26" l="1"/>
  <c r="G17" s="1"/>
  <c r="F8" i="22"/>
  <c r="F11" s="1"/>
  <c r="G12" i="23"/>
  <c r="D29" i="16"/>
  <c r="G24" i="23"/>
  <c r="G29" i="26" s="1"/>
  <c r="E28" i="16"/>
  <c r="G13" i="23" l="1"/>
  <c r="G14"/>
  <c r="F12" i="22"/>
  <c r="F13"/>
  <c r="G18" i="26"/>
  <c r="G19"/>
  <c r="G20" l="1"/>
  <c r="G21"/>
  <c r="G32" s="1"/>
  <c r="B34" s="1"/>
  <c r="F14" i="22"/>
  <c r="F16"/>
  <c r="G15" i="23"/>
  <c r="G16"/>
  <c r="G27" s="1"/>
  <c r="T30" l="1"/>
  <c r="C29"/>
  <c r="C30"/>
  <c r="F18" i="22"/>
  <c r="F19"/>
  <c r="F20" s="1"/>
</calcChain>
</file>

<file path=xl/sharedStrings.xml><?xml version="1.0" encoding="utf-8"?>
<sst xmlns="http://schemas.openxmlformats.org/spreadsheetml/2006/main" count="327" uniqueCount="220">
  <si>
    <t>Manufacturero</t>
  </si>
  <si>
    <t>Agrícola</t>
  </si>
  <si>
    <t>Minero</t>
  </si>
  <si>
    <t>Pecuario</t>
  </si>
  <si>
    <t>COMPETIDORES</t>
  </si>
  <si>
    <t>ACTUALES</t>
  </si>
  <si>
    <t>COMPRADORES</t>
  </si>
  <si>
    <t>PROVEEDORES</t>
  </si>
  <si>
    <t>SUSTITUTOS</t>
  </si>
  <si>
    <r>
      <t>F2</t>
    </r>
    <r>
      <rPr>
        <sz val="10"/>
        <color indexed="12"/>
        <rFont val="Times New Roman"/>
        <family val="1"/>
      </rPr>
      <t>. POTENCIALES</t>
    </r>
  </si>
  <si>
    <r>
      <t>F4</t>
    </r>
    <r>
      <rPr>
        <sz val="10"/>
        <color indexed="12"/>
        <rFont val="Times New Roman"/>
        <family val="1"/>
      </rPr>
      <t>. Poder de los</t>
    </r>
  </si>
  <si>
    <r>
      <t>F1</t>
    </r>
    <r>
      <rPr>
        <sz val="10"/>
        <color indexed="12"/>
        <rFont val="Times New Roman"/>
        <family val="1"/>
      </rPr>
      <t>. COMPETIDORES</t>
    </r>
  </si>
  <si>
    <r>
      <t>F5</t>
    </r>
    <r>
      <rPr>
        <sz val="10"/>
        <color indexed="12"/>
        <rFont val="Times New Roman"/>
        <family val="1"/>
      </rPr>
      <t>. Poder de los</t>
    </r>
  </si>
  <si>
    <r>
      <t>F3.</t>
    </r>
    <r>
      <rPr>
        <sz val="10"/>
        <color indexed="12"/>
        <rFont val="Times New Roman"/>
        <family val="1"/>
      </rPr>
      <t xml:space="preserve"> PRODUCTOS</t>
    </r>
  </si>
  <si>
    <t>1 - 30 has.</t>
  </si>
  <si>
    <t>31 - 50 has.</t>
  </si>
  <si>
    <t>51 - 100 has.</t>
  </si>
  <si>
    <t>mayor a 100 has.</t>
  </si>
  <si>
    <t>Ranking</t>
  </si>
  <si>
    <t>-</t>
  </si>
  <si>
    <t>EXPORTADORA BANANERA NOBOA S.A EBN</t>
  </si>
  <si>
    <t>UINIÓN DE BANANEROS ECUATORIANOS S.A. UBESA</t>
  </si>
  <si>
    <t>KIMTECH S.A</t>
  </si>
  <si>
    <t>REYBANPAC REY BANANO DEL PACÍFICO C.A REYBANPAC</t>
  </si>
  <si>
    <t>JFC ECUADOR</t>
  </si>
  <si>
    <t>CIPAL CORP. INTERNACIONAL PALACIOS S.A.</t>
  </si>
  <si>
    <t>BANAFRESH S.A.</t>
  </si>
  <si>
    <t>PRETTY LIZA FRUIT S.A.</t>
  </si>
  <si>
    <t>SWT TRADER S.A.</t>
  </si>
  <si>
    <t>ISBELNI S.A.</t>
  </si>
  <si>
    <t>Nombre</t>
  </si>
  <si>
    <t>%</t>
  </si>
  <si>
    <t>TOTAL 10 PRIMERAS</t>
  </si>
  <si>
    <t>TOTAL GENERAL</t>
  </si>
  <si>
    <t>2006*</t>
  </si>
  <si>
    <t>C L A S E</t>
  </si>
  <si>
    <t xml:space="preserve">TOTAL DE </t>
  </si>
  <si>
    <t>CAPACIDAD  EN  TONELADAS</t>
  </si>
  <si>
    <t>TONELADAS</t>
  </si>
  <si>
    <t>VEHÍCULOS</t>
  </si>
  <si>
    <t>1/4 A 3</t>
  </si>
  <si>
    <t>31/4 A 6</t>
  </si>
  <si>
    <t>61/2 A 10</t>
  </si>
  <si>
    <t>101/2 A 15</t>
  </si>
  <si>
    <t xml:space="preserve">151/2 Y MÁS </t>
  </si>
  <si>
    <t>TOTAL PAÍS</t>
  </si>
  <si>
    <t>CAMIONETA</t>
  </si>
  <si>
    <t>FURGONETA (CARGA)</t>
  </si>
  <si>
    <t>CAMIÓN</t>
  </si>
  <si>
    <t>TANQUERO</t>
  </si>
  <si>
    <t>VOLQUETE</t>
  </si>
  <si>
    <t>TRÁILER</t>
  </si>
  <si>
    <t>OTRA CLASE</t>
  </si>
  <si>
    <t>TIPO DE</t>
  </si>
  <si>
    <t>CAJA</t>
  </si>
  <si>
    <t>PESO</t>
  </si>
  <si>
    <t>LIBRAS</t>
  </si>
  <si>
    <t>SUSTENTACIÓN</t>
  </si>
  <si>
    <t>Ref Exportación</t>
  </si>
  <si>
    <t>PRECIO MÍNIMO CAJA</t>
  </si>
  <si>
    <t>22 XU</t>
  </si>
  <si>
    <t>208 CH</t>
  </si>
  <si>
    <t>22 XUCS</t>
  </si>
  <si>
    <t>115KDP</t>
  </si>
  <si>
    <t>BB BM</t>
  </si>
  <si>
    <t>Cantidad</t>
  </si>
  <si>
    <t>Equipo</t>
  </si>
  <si>
    <t>Precio unitario</t>
  </si>
  <si>
    <t>en dólares</t>
  </si>
  <si>
    <t>Costo total</t>
  </si>
  <si>
    <t>Camiones "Mijachos"</t>
  </si>
  <si>
    <t>Camiones "Machoromo"</t>
  </si>
  <si>
    <t>Camiones "Mack"</t>
  </si>
  <si>
    <t>Total</t>
  </si>
  <si>
    <t>Concepto</t>
  </si>
  <si>
    <t>Computadoras e impresora</t>
  </si>
  <si>
    <t>Escritorio secretarial</t>
  </si>
  <si>
    <t>Silla secretarial</t>
  </si>
  <si>
    <t>Fax-copiadora-scanner</t>
  </si>
  <si>
    <t>Walkie-talkie</t>
  </si>
  <si>
    <t>Archivadores</t>
  </si>
  <si>
    <t>Costo en dólares</t>
  </si>
  <si>
    <t>Revistimento de oficinas</t>
  </si>
  <si>
    <t>Ampliación de oficinas</t>
  </si>
  <si>
    <t>Cálculo</t>
  </si>
  <si>
    <t>Inducción personal nuevo</t>
  </si>
  <si>
    <t>Estudio del proyecto</t>
  </si>
  <si>
    <t>Equipo de transporte</t>
  </si>
  <si>
    <t>Equipo de oficinas y administración</t>
  </si>
  <si>
    <t>Obra civil</t>
  </si>
  <si>
    <t>Activo diferido</t>
  </si>
  <si>
    <t>Subtotal</t>
  </si>
  <si>
    <t>Capital</t>
  </si>
  <si>
    <t>Plazo años</t>
  </si>
  <si>
    <t>Interés</t>
  </si>
  <si>
    <t>Pagos</t>
  </si>
  <si>
    <t>Trimestrales</t>
  </si>
  <si>
    <t>PERIODO</t>
  </si>
  <si>
    <t>PAGO</t>
  </si>
  <si>
    <t>INTERESES</t>
  </si>
  <si>
    <t>ABONO</t>
  </si>
  <si>
    <t>SALDO</t>
  </si>
  <si>
    <t>Valor</t>
  </si>
  <si>
    <t>VS</t>
  </si>
  <si>
    <t>Equipo de oficina</t>
  </si>
  <si>
    <t>Computadoras</t>
  </si>
  <si>
    <t>Obra Civil</t>
  </si>
  <si>
    <t>Activos diferidos</t>
  </si>
  <si>
    <t>Total:</t>
  </si>
  <si>
    <t>Aporte propio</t>
  </si>
  <si>
    <t>Crédito a largo plazo</t>
  </si>
  <si>
    <t xml:space="preserve">% </t>
  </si>
  <si>
    <t>financiamiento</t>
  </si>
  <si>
    <t>Monto aportado</t>
  </si>
  <si>
    <t>Ingreso mensual</t>
  </si>
  <si>
    <t xml:space="preserve">Cajas adicionales de banano </t>
  </si>
  <si>
    <t>Ventas ($)</t>
  </si>
  <si>
    <t>Ventas adicionales de cajas</t>
  </si>
  <si>
    <t>Ingreso mensual ($)</t>
  </si>
  <si>
    <t>Mano de obra directa</t>
  </si>
  <si>
    <t>Gastos de peaje</t>
  </si>
  <si>
    <t>Gastos de combustible</t>
  </si>
  <si>
    <t>Gastos de mantenimiento</t>
  </si>
  <si>
    <t>Gastos de seguro</t>
  </si>
  <si>
    <t>Gastos Administrativos</t>
  </si>
  <si>
    <t>Egreso mensual</t>
  </si>
  <si>
    <t>Egreso mensual ($)</t>
  </si>
  <si>
    <t>Saldo mensual</t>
  </si>
  <si>
    <t>Saldo acumulado</t>
  </si>
  <si>
    <t>Sin proyecto:</t>
  </si>
  <si>
    <t>3 camiones</t>
  </si>
  <si>
    <t>650 cajas</t>
  </si>
  <si>
    <t>cajas diarias</t>
  </si>
  <si>
    <t>cajas semanales</t>
  </si>
  <si>
    <t>cajas anuales</t>
  </si>
  <si>
    <t>precio x caja de banano</t>
  </si>
  <si>
    <t>Ingreso sin proyecto</t>
  </si>
  <si>
    <t>Con proyecto:</t>
  </si>
  <si>
    <t>1 camión</t>
  </si>
  <si>
    <t>1,200 cajas</t>
  </si>
  <si>
    <t>Ingreso con proyecto</t>
  </si>
  <si>
    <t>Ingreso diferencial</t>
  </si>
  <si>
    <t>Adicional, ventas de cajas vacias</t>
  </si>
  <si>
    <t>precio de cajas completas</t>
  </si>
  <si>
    <t>Ingreso adicional</t>
  </si>
  <si>
    <t>Total Ingresos anuales</t>
  </si>
  <si>
    <t>Naranjal</t>
  </si>
  <si>
    <t>Quevedo</t>
  </si>
  <si>
    <t>Milagro</t>
  </si>
  <si>
    <t>Diario</t>
  </si>
  <si>
    <t>Semanal</t>
  </si>
  <si>
    <t>Anual</t>
  </si>
  <si>
    <t>TOTAL</t>
  </si>
  <si>
    <t>Peaje</t>
  </si>
  <si>
    <t>Combustible</t>
  </si>
  <si>
    <t>Costo de repuestos</t>
  </si>
  <si>
    <t>Gasto de matrícula</t>
  </si>
  <si>
    <t>Mano de obra adicional</t>
  </si>
  <si>
    <t>Gasto en combustible</t>
  </si>
  <si>
    <t>Gasto en peaje</t>
  </si>
  <si>
    <t>Gasto adicional en seguro mercadería</t>
  </si>
  <si>
    <t>Gasto en seguro vehiculos</t>
  </si>
  <si>
    <t>Costo de repuestos y mantenimiento</t>
  </si>
  <si>
    <t>Utilidad antes de Impto a la renta</t>
  </si>
  <si>
    <t>25% Impuesto a la Renta</t>
  </si>
  <si>
    <t>Depreciación</t>
  </si>
  <si>
    <t>Amortización</t>
  </si>
  <si>
    <t>Gastos Financieros</t>
  </si>
  <si>
    <t>Inversión Fija</t>
  </si>
  <si>
    <t>Inversión Diferida</t>
  </si>
  <si>
    <t>Reinversiones</t>
  </si>
  <si>
    <t>Préstamo</t>
  </si>
  <si>
    <t>Pago de Capital</t>
  </si>
  <si>
    <t>FLUJO NETO DE CAJA</t>
  </si>
  <si>
    <t>TIR</t>
  </si>
  <si>
    <t>UTILIDAD BRUTA</t>
  </si>
  <si>
    <t>UTILIDAD NETA</t>
  </si>
  <si>
    <t>Ventas anuales</t>
  </si>
  <si>
    <t>Utilidad Operativa</t>
  </si>
  <si>
    <t>Utilidad antes de Imptos.</t>
  </si>
  <si>
    <t>15% participación trabajadores</t>
  </si>
  <si>
    <t>Utilidad antes Impto. a la Renta</t>
  </si>
  <si>
    <t>Utilidad disponible para accionistas</t>
  </si>
  <si>
    <t>40% repartición de Dividendos</t>
  </si>
  <si>
    <t>(-) Costos Directos</t>
  </si>
  <si>
    <t>(-) Gastos Administrativos</t>
  </si>
  <si>
    <t>(-) Gastos Financieros</t>
  </si>
  <si>
    <t>(-) Depreciación y amortización</t>
  </si>
  <si>
    <t>(-) 15% participación trabajadores</t>
  </si>
  <si>
    <t>(-) 25% Impto. a la Renta</t>
  </si>
  <si>
    <t>(-) 10% Reserva Legal</t>
  </si>
  <si>
    <t>Tarifas:</t>
  </si>
  <si>
    <t>Costo</t>
  </si>
  <si>
    <t>Unitario</t>
  </si>
  <si>
    <t>mensual</t>
  </si>
  <si>
    <t>anual</t>
  </si>
  <si>
    <t>Mano de obra directa*</t>
  </si>
  <si>
    <t>Seguro vehículos**</t>
  </si>
  <si>
    <t>Gastos Administrativos***</t>
  </si>
  <si>
    <t>Otros Gastos*</t>
  </si>
  <si>
    <t>Capital de Trabajo**</t>
  </si>
  <si>
    <t>Valor de desecho***</t>
  </si>
  <si>
    <t>Flujo Neto</t>
  </si>
  <si>
    <t>de efectivo</t>
  </si>
  <si>
    <t>Año 0</t>
  </si>
  <si>
    <t>Año 1</t>
  </si>
  <si>
    <t>Año 2</t>
  </si>
  <si>
    <t>Año 3</t>
  </si>
  <si>
    <t>Año 4</t>
  </si>
  <si>
    <t>Año 5</t>
  </si>
  <si>
    <t>Total en dólares</t>
  </si>
  <si>
    <t>VAN (27.72%)</t>
  </si>
  <si>
    <t>VAN</t>
  </si>
  <si>
    <t>precio x transporte de banano</t>
  </si>
  <si>
    <t>5 x 80</t>
  </si>
  <si>
    <t>1 x 1,500</t>
  </si>
  <si>
    <t>Precio por transporte</t>
  </si>
  <si>
    <t>VAN (14%)</t>
  </si>
  <si>
    <t>Capital de Trabajo</t>
  </si>
  <si>
    <t>Valor de desecho*</t>
  </si>
</sst>
</file>

<file path=xl/styles.xml><?xml version="1.0" encoding="utf-8"?>
<styleSheet xmlns="http://schemas.openxmlformats.org/spreadsheetml/2006/main">
  <numFmts count="7">
    <numFmt numFmtId="175" formatCode="&quot;$&quot;#,##0.00_);[Red]\(&quot;$&quot;#,##0.00\)"/>
    <numFmt numFmtId="205" formatCode="&quot;$&quot;#,##0.00"/>
    <numFmt numFmtId="206" formatCode="&quot;$&quot;#,##0"/>
    <numFmt numFmtId="212" formatCode="_(* #,##0_);_(* \(#,##0\);_(* &quot;-&quot;??_);_(@_)"/>
    <numFmt numFmtId="213" formatCode="[$$-409]#,##0"/>
    <numFmt numFmtId="216" formatCode="&quot;$&quot;#,##0.0"/>
    <numFmt numFmtId="218" formatCode="[$$-409]#,##0.00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9"/>
      <name val="Arial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u/>
      <sz val="10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8"/>
      <name val="Arial"/>
    </font>
    <font>
      <sz val="7"/>
      <name val="Arial"/>
    </font>
    <font>
      <b/>
      <sz val="7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/>
    <xf numFmtId="9" fontId="0" fillId="0" borderId="0" xfId="0" applyNumberFormat="1"/>
    <xf numFmtId="0" fontId="4" fillId="0" borderId="0" xfId="0" applyFont="1"/>
    <xf numFmtId="0" fontId="5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7" fillId="0" borderId="0" xfId="0" applyFont="1"/>
    <xf numFmtId="0" fontId="7" fillId="2" borderId="0" xfId="0" applyFont="1" applyFill="1"/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/>
    <xf numFmtId="0" fontId="8" fillId="2" borderId="12" xfId="0" applyFont="1" applyFill="1" applyBorder="1"/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10" fontId="7" fillId="2" borderId="17" xfId="0" applyNumberFormat="1" applyFont="1" applyFill="1" applyBorder="1"/>
    <xf numFmtId="10" fontId="8" fillId="2" borderId="17" xfId="0" applyNumberFormat="1" applyFont="1" applyFill="1" applyBorder="1"/>
    <xf numFmtId="0" fontId="8" fillId="2" borderId="18" xfId="0" applyFont="1" applyFill="1" applyBorder="1"/>
    <xf numFmtId="10" fontId="8" fillId="2" borderId="19" xfId="0" applyNumberFormat="1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9" fillId="4" borderId="22" xfId="0" applyFont="1" applyFill="1" applyBorder="1"/>
    <xf numFmtId="0" fontId="9" fillId="4" borderId="23" xfId="0" applyFont="1" applyFill="1" applyBorder="1"/>
    <xf numFmtId="0" fontId="9" fillId="4" borderId="24" xfId="0" applyFont="1" applyFill="1" applyBorder="1"/>
    <xf numFmtId="0" fontId="1" fillId="4" borderId="0" xfId="0" applyFont="1" applyFill="1"/>
    <xf numFmtId="0" fontId="9" fillId="0" borderId="0" xfId="0" applyFont="1"/>
    <xf numFmtId="0" fontId="9" fillId="4" borderId="0" xfId="0" applyFont="1" applyFill="1"/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/>
    <xf numFmtId="0" fontId="9" fillId="2" borderId="0" xfId="0" applyFont="1" applyFill="1"/>
    <xf numFmtId="3" fontId="1" fillId="2" borderId="0" xfId="0" applyNumberFormat="1" applyFont="1" applyFill="1"/>
    <xf numFmtId="3" fontId="9" fillId="2" borderId="0" xfId="0" applyNumberFormat="1" applyFont="1" applyFill="1"/>
    <xf numFmtId="0" fontId="1" fillId="4" borderId="23" xfId="0" applyFont="1" applyFill="1" applyBorder="1" applyAlignment="1">
      <alignment horizontal="center"/>
    </xf>
    <xf numFmtId="3" fontId="0" fillId="0" borderId="0" xfId="0" applyNumberFormat="1"/>
    <xf numFmtId="0" fontId="1" fillId="2" borderId="8" xfId="0" applyFont="1" applyFill="1" applyBorder="1"/>
    <xf numFmtId="0" fontId="1" fillId="2" borderId="23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05" fontId="0" fillId="2" borderId="12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205" fontId="0" fillId="2" borderId="17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05" fontId="0" fillId="2" borderId="18" xfId="0" applyNumberFormat="1" applyFill="1" applyBorder="1" applyAlignment="1">
      <alignment horizontal="center"/>
    </xf>
    <xf numFmtId="205" fontId="0" fillId="2" borderId="19" xfId="0" applyNumberForma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205" fontId="1" fillId="0" borderId="0" xfId="0" applyNumberFormat="1" applyFont="1" applyAlignment="1">
      <alignment horizontal="center"/>
    </xf>
    <xf numFmtId="0" fontId="1" fillId="0" borderId="0" xfId="0" applyFont="1"/>
    <xf numFmtId="205" fontId="0" fillId="0" borderId="0" xfId="0" applyNumberFormat="1"/>
    <xf numFmtId="205" fontId="1" fillId="0" borderId="0" xfId="0" applyNumberFormat="1" applyFont="1"/>
    <xf numFmtId="0" fontId="0" fillId="2" borderId="29" xfId="0" applyFill="1" applyBorder="1" applyAlignment="1">
      <alignment horizontal="center"/>
    </xf>
    <xf numFmtId="0" fontId="0" fillId="2" borderId="29" xfId="0" applyFill="1" applyBorder="1"/>
    <xf numFmtId="0" fontId="0" fillId="2" borderId="23" xfId="0" applyFill="1" applyBorder="1"/>
    <xf numFmtId="205" fontId="0" fillId="2" borderId="29" xfId="0" applyNumberFormat="1" applyFill="1" applyBorder="1" applyAlignment="1">
      <alignment horizontal="center"/>
    </xf>
    <xf numFmtId="205" fontId="0" fillId="2" borderId="30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205" fontId="1" fillId="2" borderId="3" xfId="0" applyNumberFormat="1" applyFont="1" applyFill="1" applyBorder="1" applyAlignment="1">
      <alignment horizontal="center"/>
    </xf>
    <xf numFmtId="0" fontId="0" fillId="2" borderId="30" xfId="0" applyFill="1" applyBorder="1"/>
    <xf numFmtId="0" fontId="1" fillId="5" borderId="2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2" borderId="29" xfId="0" applyFill="1" applyBorder="1" applyAlignment="1">
      <alignment horizontal="left"/>
    </xf>
    <xf numFmtId="0" fontId="1" fillId="2" borderId="23" xfId="0" applyFont="1" applyFill="1" applyBorder="1"/>
    <xf numFmtId="205" fontId="0" fillId="2" borderId="30" xfId="0" applyNumberFormat="1" applyFill="1" applyBorder="1"/>
    <xf numFmtId="205" fontId="1" fillId="2" borderId="3" xfId="0" applyNumberFormat="1" applyFont="1" applyFill="1" applyBorder="1"/>
    <xf numFmtId="206" fontId="0" fillId="0" borderId="0" xfId="0" applyNumberFormat="1"/>
    <xf numFmtId="206" fontId="0" fillId="2" borderId="29" xfId="0" applyNumberFormat="1" applyFill="1" applyBorder="1"/>
    <xf numFmtId="9" fontId="0" fillId="2" borderId="29" xfId="0" applyNumberFormat="1" applyFill="1" applyBorder="1" applyAlignment="1">
      <alignment horizontal="center"/>
    </xf>
    <xf numFmtId="0" fontId="0" fillId="2" borderId="4" xfId="0" applyFill="1" applyBorder="1"/>
    <xf numFmtId="0" fontId="11" fillId="0" borderId="0" xfId="0" applyFont="1"/>
    <xf numFmtId="20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31" xfId="0" applyFill="1" applyBorder="1"/>
    <xf numFmtId="0" fontId="0" fillId="2" borderId="7" xfId="0" applyFill="1" applyBorder="1"/>
    <xf numFmtId="0" fontId="0" fillId="2" borderId="32" xfId="0" applyFill="1" applyBorder="1"/>
    <xf numFmtId="0" fontId="0" fillId="2" borderId="0" xfId="0" applyFill="1" applyBorder="1"/>
    <xf numFmtId="0" fontId="0" fillId="2" borderId="10" xfId="0" applyFill="1" applyBorder="1"/>
    <xf numFmtId="4" fontId="0" fillId="2" borderId="12" xfId="0" applyNumberFormat="1" applyFill="1" applyBorder="1" applyAlignment="1">
      <alignment horizontal="center"/>
    </xf>
    <xf numFmtId="212" fontId="0" fillId="2" borderId="12" xfId="0" applyNumberFormat="1" applyFill="1" applyBorder="1" applyAlignment="1">
      <alignment horizontal="center"/>
    </xf>
    <xf numFmtId="4" fontId="0" fillId="2" borderId="12" xfId="0" applyNumberForma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" fontId="0" fillId="2" borderId="17" xfId="0" applyNumberFormat="1" applyFill="1" applyBorder="1" applyAlignment="1">
      <alignment horizontal="center"/>
    </xf>
    <xf numFmtId="212" fontId="0" fillId="2" borderId="17" xfId="0" applyNumberFormat="1" applyFill="1" applyBorder="1" applyAlignment="1">
      <alignment horizontal="center"/>
    </xf>
    <xf numFmtId="0" fontId="0" fillId="2" borderId="17" xfId="0" applyFill="1" applyBorder="1"/>
    <xf numFmtId="4" fontId="0" fillId="2" borderId="17" xfId="0" applyNumberFormat="1" applyFill="1" applyBorder="1"/>
    <xf numFmtId="0" fontId="0" fillId="2" borderId="16" xfId="0" applyFill="1" applyBorder="1"/>
    <xf numFmtId="0" fontId="0" fillId="5" borderId="31" xfId="0" applyFill="1" applyBorder="1"/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3" fontId="0" fillId="2" borderId="12" xfId="0" applyNumberFormat="1" applyFill="1" applyBorder="1"/>
    <xf numFmtId="0" fontId="0" fillId="2" borderId="13" xfId="0" applyFill="1" applyBorder="1"/>
    <xf numFmtId="3" fontId="0" fillId="2" borderId="17" xfId="0" applyNumberFormat="1" applyFill="1" applyBorder="1"/>
    <xf numFmtId="0" fontId="0" fillId="2" borderId="25" xfId="0" applyFill="1" applyBorder="1"/>
    <xf numFmtId="0" fontId="0" fillId="5" borderId="13" xfId="0" applyFill="1" applyBorder="1"/>
    <xf numFmtId="0" fontId="1" fillId="2" borderId="25" xfId="0" applyFont="1" applyFill="1" applyBorder="1"/>
    <xf numFmtId="3" fontId="1" fillId="2" borderId="18" xfId="0" applyNumberFormat="1" applyFont="1" applyFill="1" applyBorder="1"/>
    <xf numFmtId="3" fontId="1" fillId="2" borderId="19" xfId="0" applyNumberFormat="1" applyFont="1" applyFill="1" applyBorder="1"/>
    <xf numFmtId="0" fontId="1" fillId="2" borderId="33" xfId="0" applyFont="1" applyFill="1" applyBorder="1"/>
    <xf numFmtId="212" fontId="1" fillId="2" borderId="18" xfId="0" applyNumberFormat="1" applyFont="1" applyFill="1" applyBorder="1"/>
    <xf numFmtId="212" fontId="1" fillId="2" borderId="19" xfId="0" applyNumberFormat="1" applyFont="1" applyFill="1" applyBorder="1"/>
    <xf numFmtId="212" fontId="0" fillId="2" borderId="29" xfId="0" applyNumberFormat="1" applyFill="1" applyBorder="1"/>
    <xf numFmtId="212" fontId="0" fillId="2" borderId="34" xfId="0" applyNumberFormat="1" applyFill="1" applyBorder="1"/>
    <xf numFmtId="212" fontId="0" fillId="2" borderId="26" xfId="0" applyNumberFormat="1" applyFill="1" applyBorder="1"/>
    <xf numFmtId="0" fontId="1" fillId="5" borderId="35" xfId="0" applyFont="1" applyFill="1" applyBorder="1" applyAlignment="1">
      <alignment horizontal="center"/>
    </xf>
    <xf numFmtId="212" fontId="0" fillId="2" borderId="36" xfId="0" applyNumberFormat="1" applyFill="1" applyBorder="1"/>
    <xf numFmtId="0" fontId="0" fillId="2" borderId="8" xfId="0" applyFill="1" applyBorder="1"/>
    <xf numFmtId="212" fontId="0" fillId="2" borderId="37" xfId="0" applyNumberFormat="1" applyFill="1" applyBorder="1"/>
    <xf numFmtId="0" fontId="0" fillId="2" borderId="6" xfId="0" applyFill="1" applyBorder="1"/>
    <xf numFmtId="212" fontId="0" fillId="2" borderId="38" xfId="0" applyNumberFormat="1" applyFill="1" applyBorder="1"/>
    <xf numFmtId="212" fontId="10" fillId="2" borderId="34" xfId="0" applyNumberFormat="1" applyFont="1" applyFill="1" applyBorder="1"/>
    <xf numFmtId="212" fontId="1" fillId="2" borderId="34" xfId="0" applyNumberFormat="1" applyFont="1" applyFill="1" applyBorder="1"/>
    <xf numFmtId="212" fontId="1" fillId="2" borderId="37" xfId="0" applyNumberFormat="1" applyFont="1" applyFill="1" applyBorder="1"/>
    <xf numFmtId="0" fontId="1" fillId="5" borderId="38" xfId="0" applyFont="1" applyFill="1" applyBorder="1" applyAlignment="1">
      <alignment horizontal="center"/>
    </xf>
    <xf numFmtId="205" fontId="0" fillId="2" borderId="36" xfId="0" applyNumberFormat="1" applyFill="1" applyBorder="1" applyAlignment="1">
      <alignment horizontal="center"/>
    </xf>
    <xf numFmtId="0" fontId="0" fillId="2" borderId="36" xfId="0" applyFill="1" applyBorder="1"/>
    <xf numFmtId="205" fontId="1" fillId="2" borderId="37" xfId="0" applyNumberFormat="1" applyFont="1" applyFill="1" applyBorder="1"/>
    <xf numFmtId="0" fontId="1" fillId="5" borderId="39" xfId="0" applyFont="1" applyFill="1" applyBorder="1" applyAlignment="1">
      <alignment horizontal="center"/>
    </xf>
    <xf numFmtId="0" fontId="1" fillId="2" borderId="40" xfId="0" applyFont="1" applyFill="1" applyBorder="1"/>
    <xf numFmtId="0" fontId="0" fillId="2" borderId="27" xfId="0" applyFill="1" applyBorder="1"/>
    <xf numFmtId="0" fontId="0" fillId="2" borderId="40" xfId="0" applyFill="1" applyBorder="1"/>
    <xf numFmtId="0" fontId="1" fillId="5" borderId="28" xfId="0" applyFont="1" applyFill="1" applyBorder="1" applyAlignment="1">
      <alignment horizontal="center"/>
    </xf>
    <xf numFmtId="0" fontId="0" fillId="2" borderId="9" xfId="0" applyFill="1" applyBorder="1"/>
    <xf numFmtId="205" fontId="0" fillId="2" borderId="15" xfId="0" applyNumberFormat="1" applyFill="1" applyBorder="1"/>
    <xf numFmtId="0" fontId="0" fillId="2" borderId="19" xfId="0" applyFill="1" applyBorder="1"/>
    <xf numFmtId="0" fontId="1" fillId="2" borderId="27" xfId="0" applyFont="1" applyFill="1" applyBorder="1" applyAlignment="1">
      <alignment horizontal="center"/>
    </xf>
    <xf numFmtId="0" fontId="0" fillId="2" borderId="41" xfId="0" applyFill="1" applyBorder="1"/>
    <xf numFmtId="0" fontId="1" fillId="2" borderId="42" xfId="0" applyFont="1" applyFill="1" applyBorder="1" applyAlignment="1">
      <alignment horizontal="center"/>
    </xf>
    <xf numFmtId="175" fontId="1" fillId="2" borderId="34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37" xfId="0" applyFill="1" applyBorder="1"/>
    <xf numFmtId="0" fontId="0" fillId="2" borderId="27" xfId="0" applyFill="1" applyBorder="1" applyAlignment="1">
      <alignment horizontal="center"/>
    </xf>
    <xf numFmtId="175" fontId="0" fillId="2" borderId="23" xfId="0" applyNumberFormat="1" applyFill="1" applyBorder="1"/>
    <xf numFmtId="205" fontId="0" fillId="2" borderId="28" xfId="0" applyNumberFormat="1" applyFill="1" applyBorder="1"/>
    <xf numFmtId="0" fontId="0" fillId="2" borderId="18" xfId="0" applyFill="1" applyBorder="1"/>
    <xf numFmtId="0" fontId="1" fillId="2" borderId="35" xfId="0" applyFont="1" applyFill="1" applyBorder="1" applyAlignment="1">
      <alignment horizontal="center"/>
    </xf>
    <xf numFmtId="206" fontId="1" fillId="2" borderId="34" xfId="0" applyNumberFormat="1" applyFont="1" applyFill="1" applyBorder="1"/>
    <xf numFmtId="206" fontId="0" fillId="2" borderId="36" xfId="0" applyNumberFormat="1" applyFill="1" applyBorder="1"/>
    <xf numFmtId="206" fontId="1" fillId="2" borderId="37" xfId="0" applyNumberFormat="1" applyFont="1" applyFill="1" applyBorder="1"/>
    <xf numFmtId="206" fontId="0" fillId="2" borderId="23" xfId="0" applyNumberFormat="1" applyFill="1" applyBorder="1"/>
    <xf numFmtId="206" fontId="0" fillId="2" borderId="28" xfId="0" applyNumberFormat="1" applyFill="1" applyBorder="1"/>
    <xf numFmtId="0" fontId="0" fillId="2" borderId="42" xfId="0" applyFill="1" applyBorder="1"/>
    <xf numFmtId="206" fontId="0" fillId="2" borderId="42" xfId="0" applyNumberFormat="1" applyFill="1" applyBorder="1"/>
    <xf numFmtId="206" fontId="0" fillId="2" borderId="17" xfId="0" applyNumberFormat="1" applyFill="1" applyBorder="1"/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10" fontId="1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10" fontId="0" fillId="2" borderId="17" xfId="0" applyNumberFormat="1" applyFill="1" applyBorder="1"/>
    <xf numFmtId="206" fontId="3" fillId="2" borderId="12" xfId="0" applyNumberFormat="1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2" borderId="12" xfId="0" applyFill="1" applyBorder="1" applyAlignment="1">
      <alignment horizontal="left"/>
    </xf>
    <xf numFmtId="205" fontId="0" fillId="2" borderId="12" xfId="0" applyNumberFormat="1" applyFill="1" applyBorder="1"/>
    <xf numFmtId="9" fontId="0" fillId="2" borderId="12" xfId="0" applyNumberForma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205" fontId="0" fillId="2" borderId="17" xfId="0" applyNumberFormat="1" applyFill="1" applyBorder="1"/>
    <xf numFmtId="0" fontId="0" fillId="0" borderId="25" xfId="0" applyBorder="1"/>
    <xf numFmtId="0" fontId="0" fillId="0" borderId="18" xfId="0" applyBorder="1"/>
    <xf numFmtId="0" fontId="1" fillId="2" borderId="18" xfId="0" applyFont="1" applyFill="1" applyBorder="1" applyAlignment="1">
      <alignment horizontal="center"/>
    </xf>
    <xf numFmtId="205" fontId="1" fillId="2" borderId="19" xfId="0" applyNumberFormat="1" applyFont="1" applyFill="1" applyBorder="1"/>
    <xf numFmtId="0" fontId="2" fillId="0" borderId="0" xfId="0" applyFont="1"/>
    <xf numFmtId="0" fontId="2" fillId="2" borderId="12" xfId="0" applyFont="1" applyFill="1" applyBorder="1"/>
    <xf numFmtId="206" fontId="2" fillId="2" borderId="12" xfId="0" applyNumberFormat="1" applyFont="1" applyFill="1" applyBorder="1"/>
    <xf numFmtId="0" fontId="2" fillId="2" borderId="12" xfId="0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30" xfId="0" applyFont="1" applyFill="1" applyBorder="1"/>
    <xf numFmtId="0" fontId="12" fillId="2" borderId="23" xfId="0" applyFont="1" applyFill="1" applyBorder="1"/>
    <xf numFmtId="0" fontId="2" fillId="2" borderId="23" xfId="0" applyFont="1" applyFill="1" applyBorder="1"/>
    <xf numFmtId="206" fontId="12" fillId="2" borderId="23" xfId="0" applyNumberFormat="1" applyFont="1" applyFill="1" applyBorder="1"/>
    <xf numFmtId="206" fontId="12" fillId="2" borderId="3" xfId="0" applyNumberFormat="1" applyFont="1" applyFill="1" applyBorder="1"/>
    <xf numFmtId="0" fontId="2" fillId="2" borderId="12" xfId="0" applyFont="1" applyFill="1" applyBorder="1" applyAlignment="1">
      <alignment wrapText="1"/>
    </xf>
    <xf numFmtId="206" fontId="13" fillId="2" borderId="12" xfId="0" applyNumberFormat="1" applyFont="1" applyFill="1" applyBorder="1"/>
    <xf numFmtId="216" fontId="2" fillId="2" borderId="12" xfId="0" applyNumberFormat="1" applyFont="1" applyFill="1" applyBorder="1"/>
    <xf numFmtId="175" fontId="0" fillId="2" borderId="12" xfId="0" applyNumberFormat="1" applyFill="1" applyBorder="1"/>
    <xf numFmtId="0" fontId="3" fillId="2" borderId="31" xfId="0" applyFont="1" applyFill="1" applyBorder="1"/>
    <xf numFmtId="0" fontId="14" fillId="2" borderId="35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3" fillId="0" borderId="0" xfId="0" applyFont="1"/>
    <xf numFmtId="0" fontId="3" fillId="2" borderId="16" xfId="0" applyFont="1" applyFill="1" applyBorder="1" applyAlignment="1">
      <alignment wrapText="1"/>
    </xf>
    <xf numFmtId="213" fontId="3" fillId="2" borderId="12" xfId="0" applyNumberFormat="1" applyFont="1" applyFill="1" applyBorder="1"/>
    <xf numFmtId="213" fontId="3" fillId="2" borderId="17" xfId="0" applyNumberFormat="1" applyFont="1" applyFill="1" applyBorder="1"/>
    <xf numFmtId="0" fontId="3" fillId="2" borderId="7" xfId="0" applyFont="1" applyFill="1" applyBorder="1" applyAlignment="1">
      <alignment wrapText="1"/>
    </xf>
    <xf numFmtId="213" fontId="3" fillId="2" borderId="29" xfId="0" applyNumberFormat="1" applyFont="1" applyFill="1" applyBorder="1"/>
    <xf numFmtId="0" fontId="3" fillId="2" borderId="29" xfId="0" applyFont="1" applyFill="1" applyBorder="1"/>
    <xf numFmtId="0" fontId="3" fillId="2" borderId="36" xfId="0" applyFont="1" applyFill="1" applyBorder="1"/>
    <xf numFmtId="0" fontId="3" fillId="2" borderId="32" xfId="0" applyFont="1" applyFill="1" applyBorder="1" applyAlignment="1">
      <alignment wrapText="1"/>
    </xf>
    <xf numFmtId="213" fontId="3" fillId="2" borderId="42" xfId="0" applyNumberFormat="1" applyFont="1" applyFill="1" applyBorder="1"/>
    <xf numFmtId="0" fontId="3" fillId="2" borderId="12" xfId="0" applyFont="1" applyFill="1" applyBorder="1"/>
    <xf numFmtId="0" fontId="3" fillId="2" borderId="17" xfId="0" applyFont="1" applyFill="1" applyBorder="1"/>
    <xf numFmtId="0" fontId="14" fillId="2" borderId="32" xfId="0" applyFont="1" applyFill="1" applyBorder="1" applyAlignment="1">
      <alignment wrapText="1"/>
    </xf>
    <xf numFmtId="213" fontId="14" fillId="2" borderId="42" xfId="0" applyNumberFormat="1" applyFont="1" applyFill="1" applyBorder="1"/>
    <xf numFmtId="213" fontId="14" fillId="2" borderId="17" xfId="0" applyNumberFormat="1" applyFont="1" applyFill="1" applyBorder="1"/>
    <xf numFmtId="0" fontId="3" fillId="2" borderId="25" xfId="0" applyFont="1" applyFill="1" applyBorder="1" applyAlignment="1">
      <alignment wrapText="1"/>
    </xf>
    <xf numFmtId="213" fontId="3" fillId="2" borderId="18" xfId="0" applyNumberFormat="1" applyFont="1" applyFill="1" applyBorder="1"/>
    <xf numFmtId="213" fontId="3" fillId="2" borderId="19" xfId="0" applyNumberFormat="1" applyFont="1" applyFill="1" applyBorder="1"/>
    <xf numFmtId="0" fontId="14" fillId="2" borderId="14" xfId="0" applyFont="1" applyFill="1" applyBorder="1" applyAlignment="1">
      <alignment horizontal="center"/>
    </xf>
    <xf numFmtId="0" fontId="3" fillId="2" borderId="27" xfId="0" applyFont="1" applyFill="1" applyBorder="1"/>
    <xf numFmtId="206" fontId="3" fillId="2" borderId="23" xfId="0" applyNumberFormat="1" applyFont="1" applyFill="1" applyBorder="1"/>
    <xf numFmtId="0" fontId="3" fillId="2" borderId="23" xfId="0" applyFont="1" applyFill="1" applyBorder="1"/>
    <xf numFmtId="0" fontId="3" fillId="2" borderId="3" xfId="0" applyFont="1" applyFill="1" applyBorder="1"/>
    <xf numFmtId="0" fontId="3" fillId="2" borderId="28" xfId="0" applyFont="1" applyFill="1" applyBorder="1"/>
    <xf numFmtId="0" fontId="14" fillId="2" borderId="8" xfId="0" applyFont="1" applyFill="1" applyBorder="1"/>
    <xf numFmtId="206" fontId="14" fillId="2" borderId="34" xfId="0" applyNumberFormat="1" applyFont="1" applyFill="1" applyBorder="1"/>
    <xf numFmtId="206" fontId="14" fillId="2" borderId="37" xfId="0" applyNumberFormat="1" applyFont="1" applyFill="1" applyBorder="1"/>
    <xf numFmtId="0" fontId="14" fillId="0" borderId="0" xfId="0" applyFont="1"/>
    <xf numFmtId="0" fontId="3" fillId="2" borderId="13" xfId="0" applyFont="1" applyFill="1" applyBorder="1"/>
    <xf numFmtId="10" fontId="14" fillId="0" borderId="0" xfId="0" applyNumberFormat="1" applyFont="1"/>
    <xf numFmtId="0" fontId="14" fillId="2" borderId="44" xfId="0" applyFont="1" applyFill="1" applyBorder="1" applyAlignment="1">
      <alignment horizontal="center"/>
    </xf>
    <xf numFmtId="206" fontId="3" fillId="2" borderId="17" xfId="0" applyNumberFormat="1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0" fontId="3" fillId="0" borderId="0" xfId="0" applyNumberFormat="1" applyFont="1"/>
    <xf numFmtId="9" fontId="3" fillId="0" borderId="0" xfId="0" applyNumberFormat="1" applyFont="1"/>
    <xf numFmtId="206" fontId="3" fillId="2" borderId="12" xfId="0" applyNumberFormat="1" applyFont="1" applyFill="1" applyBorder="1"/>
    <xf numFmtId="206" fontId="3" fillId="0" borderId="12" xfId="0" applyNumberFormat="1" applyFont="1" applyBorder="1"/>
    <xf numFmtId="0" fontId="3" fillId="0" borderId="12" xfId="0" applyFont="1" applyBorder="1"/>
    <xf numFmtId="206" fontId="15" fillId="2" borderId="12" xfId="0" applyNumberFormat="1" applyFont="1" applyFill="1" applyBorder="1"/>
    <xf numFmtId="0" fontId="3" fillId="2" borderId="31" xfId="0" applyFont="1" applyFill="1" applyBorder="1" applyAlignment="1">
      <alignment shrinkToFit="1"/>
    </xf>
    <xf numFmtId="0" fontId="15" fillId="2" borderId="12" xfId="0" applyFont="1" applyFill="1" applyBorder="1" applyAlignment="1">
      <alignment wrapText="1" shrinkToFit="1"/>
    </xf>
    <xf numFmtId="206" fontId="16" fillId="2" borderId="34" xfId="0" applyNumberFormat="1" applyFont="1" applyFill="1" applyBorder="1"/>
    <xf numFmtId="216" fontId="16" fillId="0" borderId="0" xfId="0" applyNumberFormat="1" applyFont="1"/>
    <xf numFmtId="9" fontId="0" fillId="0" borderId="0" xfId="0" applyNumberFormat="1" applyAlignment="1">
      <alignment horizontal="center"/>
    </xf>
    <xf numFmtId="218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206" fontId="3" fillId="2" borderId="12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206" fontId="0" fillId="2" borderId="12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206" fontId="0" fillId="2" borderId="17" xfId="0" applyNumberForma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Gráfico 2.3. Composición de la carga terrestre 2007
</a:t>
            </a:r>
          </a:p>
        </c:rich>
      </c:tx>
      <c:layout>
        <c:manualLayout>
          <c:xMode val="edge"/>
          <c:yMode val="edge"/>
          <c:x val="0.16296325767371542"/>
          <c:y val="3.6423841059602648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9629665128879356"/>
          <c:y val="0.41390728476821192"/>
          <c:w val="0.60740850587475748"/>
          <c:h val="0.430463576158940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Percent val="1"/>
            <c:showLeaderLines val="1"/>
          </c:dLbls>
          <c:cat>
            <c:strRef>
              <c:f>Hoja3!$A$1:$A$4</c:f>
              <c:strCache>
                <c:ptCount val="4"/>
                <c:pt idx="0">
                  <c:v>Manufacturero</c:v>
                </c:pt>
                <c:pt idx="1">
                  <c:v>Agrícola</c:v>
                </c:pt>
                <c:pt idx="2">
                  <c:v>Minero</c:v>
                </c:pt>
                <c:pt idx="3">
                  <c:v>Pecuario</c:v>
                </c:pt>
              </c:strCache>
            </c:strRef>
          </c:cat>
          <c:val>
            <c:numRef>
              <c:f>Hoja3!$B$1:$B$4</c:f>
              <c:numCache>
                <c:formatCode>0%</c:formatCode>
                <c:ptCount val="4"/>
                <c:pt idx="0">
                  <c:v>0.5</c:v>
                </c:pt>
                <c:pt idx="1">
                  <c:v>0.26</c:v>
                </c:pt>
                <c:pt idx="2">
                  <c:v>0.19</c:v>
                </c:pt>
                <c:pt idx="3">
                  <c:v>0.05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888932090806009"/>
          <c:y val="0.90066225165562919"/>
          <c:w val="0.52037131143538673"/>
          <c:h val="7.61589403973509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Estructura productiva del sector bananero nacional</a:t>
            </a:r>
          </a:p>
        </c:rich>
      </c:tx>
      <c:layout>
        <c:manualLayout>
          <c:xMode val="edge"/>
          <c:yMode val="edge"/>
          <c:x val="0.13426866845866386"/>
          <c:y val="3.8062348045435575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4228470836664381"/>
          <c:y val="0.28027729015275288"/>
          <c:w val="0.67134334229331938"/>
          <c:h val="0.46020839000390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Percent val="1"/>
            <c:showLeaderLines val="1"/>
          </c:dLbls>
          <c:cat>
            <c:strRef>
              <c:f>Hoja6!$A$1:$A$4</c:f>
              <c:strCache>
                <c:ptCount val="4"/>
                <c:pt idx="0">
                  <c:v>1 - 30 has.</c:v>
                </c:pt>
                <c:pt idx="1">
                  <c:v>31 - 50 has.</c:v>
                </c:pt>
                <c:pt idx="2">
                  <c:v>51 - 100 has.</c:v>
                </c:pt>
                <c:pt idx="3">
                  <c:v>mayor a 100 has.</c:v>
                </c:pt>
              </c:strCache>
            </c:strRef>
          </c:cat>
          <c:val>
            <c:numRef>
              <c:f>Hoja6!$B$1:$B$4</c:f>
              <c:numCache>
                <c:formatCode>0%</c:formatCode>
                <c:ptCount val="4"/>
                <c:pt idx="0">
                  <c:v>0.8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0.03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627267843565885"/>
          <c:y val="0.89619528579707397"/>
          <c:w val="0.72745562164917887"/>
          <c:h val="7.958490954954711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Sensibilidad del VAN con respecto al Ingreso</a:t>
            </a:r>
          </a:p>
        </c:rich>
      </c:tx>
      <c:layout>
        <c:manualLayout>
          <c:xMode val="edge"/>
          <c:yMode val="edge"/>
          <c:x val="0.22641544199501584"/>
          <c:y val="3.370786516853932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408828691327467"/>
          <c:y val="0.19382022471910113"/>
          <c:w val="0.82390063614852982"/>
          <c:h val="0.65730337078651691"/>
        </c:manualLayout>
      </c:layout>
      <c:lineChart>
        <c:grouping val="standard"/>
        <c:ser>
          <c:idx val="1"/>
          <c:order val="0"/>
          <c:tx>
            <c:strRef>
              <c:f>Analisis!$A$3</c:f>
              <c:strCache>
                <c:ptCount val="1"/>
                <c:pt idx="0">
                  <c:v>VAN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Analisis!$B$2:$J$2</c:f>
              <c:numCache>
                <c:formatCode>0%</c:formatCode>
                <c:ptCount val="9"/>
                <c:pt idx="0">
                  <c:v>-0.2</c:v>
                </c:pt>
                <c:pt idx="1">
                  <c:v>-0.15</c:v>
                </c:pt>
                <c:pt idx="2">
                  <c:v>-0.1</c:v>
                </c:pt>
                <c:pt idx="3">
                  <c:v>-0.05</c:v>
                </c:pt>
                <c:pt idx="4">
                  <c:v>0</c:v>
                </c:pt>
                <c:pt idx="5">
                  <c:v>0.05</c:v>
                </c:pt>
                <c:pt idx="6">
                  <c:v>0.1</c:v>
                </c:pt>
                <c:pt idx="7">
                  <c:v>0.15</c:v>
                </c:pt>
                <c:pt idx="8">
                  <c:v>0.2</c:v>
                </c:pt>
              </c:numCache>
            </c:numRef>
          </c:cat>
          <c:val>
            <c:numRef>
              <c:f>Analisis!$B$3:$J$3</c:f>
              <c:numCache>
                <c:formatCode>[$$-409]#,##0.00</c:formatCode>
                <c:ptCount val="9"/>
                <c:pt idx="0">
                  <c:v>-53864.5</c:v>
                </c:pt>
                <c:pt idx="1">
                  <c:v>-39469</c:v>
                </c:pt>
                <c:pt idx="2">
                  <c:v>-23766.5</c:v>
                </c:pt>
                <c:pt idx="3">
                  <c:v>-6567.7</c:v>
                </c:pt>
                <c:pt idx="4">
                  <c:v>12351.1</c:v>
                </c:pt>
                <c:pt idx="5">
                  <c:v>32215.7</c:v>
                </c:pt>
                <c:pt idx="6">
                  <c:v>52080</c:v>
                </c:pt>
                <c:pt idx="7">
                  <c:v>71945</c:v>
                </c:pt>
                <c:pt idx="8">
                  <c:v>91809.8</c:v>
                </c:pt>
              </c:numCache>
            </c:numRef>
          </c:val>
        </c:ser>
        <c:marker val="1"/>
        <c:axId val="63723392"/>
        <c:axId val="50569216"/>
      </c:lineChart>
      <c:catAx>
        <c:axId val="63723392"/>
        <c:scaling>
          <c:orientation val="minMax"/>
        </c:scaling>
        <c:axPos val="b"/>
        <c:numFmt formatCode="0%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569216"/>
        <c:crosses val="autoZero"/>
        <c:lblAlgn val="ctr"/>
        <c:lblOffset val="100"/>
        <c:tickLblSkip val="1"/>
        <c:tickMarkSkip val="1"/>
      </c:catAx>
      <c:valAx>
        <c:axId val="50569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409]#,##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723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125794034053831"/>
          <c:y val="0.9129213483146067"/>
          <c:w val="0.10691840316431303"/>
          <c:h val="6.7415730337078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Sensibilidad de la TIR con respecto al Ingreso</a:t>
            </a:r>
          </a:p>
        </c:rich>
      </c:tx>
      <c:layout>
        <c:manualLayout>
          <c:xMode val="edge"/>
          <c:yMode val="edge"/>
          <c:x val="0.21521069606261387"/>
          <c:y val="3.58306758809355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48869129356811"/>
          <c:y val="0.21824138945660732"/>
          <c:w val="0.86246090978476087"/>
          <c:h val="0.54397480655602126"/>
        </c:manualLayout>
      </c:layout>
      <c:lineChart>
        <c:grouping val="standard"/>
        <c:ser>
          <c:idx val="1"/>
          <c:order val="0"/>
          <c:tx>
            <c:strRef>
              <c:f>Analisis!$A$4</c:f>
              <c:strCache>
                <c:ptCount val="1"/>
                <c:pt idx="0">
                  <c:v>TIR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Analisis!$B$2:$J$2</c:f>
              <c:numCache>
                <c:formatCode>0%</c:formatCode>
                <c:ptCount val="9"/>
                <c:pt idx="0">
                  <c:v>-0.2</c:v>
                </c:pt>
                <c:pt idx="1">
                  <c:v>-0.15</c:v>
                </c:pt>
                <c:pt idx="2">
                  <c:v>-0.1</c:v>
                </c:pt>
                <c:pt idx="3">
                  <c:v>-0.05</c:v>
                </c:pt>
                <c:pt idx="4">
                  <c:v>0</c:v>
                </c:pt>
                <c:pt idx="5">
                  <c:v>0.05</c:v>
                </c:pt>
                <c:pt idx="6">
                  <c:v>0.1</c:v>
                </c:pt>
                <c:pt idx="7">
                  <c:v>0.15</c:v>
                </c:pt>
                <c:pt idx="8">
                  <c:v>0.2</c:v>
                </c:pt>
              </c:numCache>
            </c:numRef>
          </c:cat>
          <c:val>
            <c:numRef>
              <c:f>Analisis!$B$4:$J$4</c:f>
              <c:numCache>
                <c:formatCode>0.00%</c:formatCode>
                <c:ptCount val="9"/>
                <c:pt idx="0">
                  <c:v>5.3100000000000001E-2</c:v>
                </c:pt>
                <c:pt idx="1">
                  <c:v>7.8399999999999997E-2</c:v>
                </c:pt>
                <c:pt idx="2">
                  <c:v>0.10390000000000001</c:v>
                </c:pt>
                <c:pt idx="3">
                  <c:v>0.13</c:v>
                </c:pt>
                <c:pt idx="4">
                  <c:v>0.157</c:v>
                </c:pt>
                <c:pt idx="5">
                  <c:v>0.18390000000000001</c:v>
                </c:pt>
                <c:pt idx="6">
                  <c:v>0.20979999999999999</c:v>
                </c:pt>
                <c:pt idx="7">
                  <c:v>0.2349</c:v>
                </c:pt>
                <c:pt idx="8">
                  <c:v>0.25940000000000002</c:v>
                </c:pt>
              </c:numCache>
            </c:numRef>
          </c:val>
        </c:ser>
        <c:marker val="1"/>
        <c:axId val="50584960"/>
        <c:axId val="64566784"/>
      </c:lineChart>
      <c:catAx>
        <c:axId val="50584960"/>
        <c:scaling>
          <c:orientation val="minMax"/>
        </c:scaling>
        <c:axPos val="b"/>
        <c:numFmt formatCode="0%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4566784"/>
        <c:crosses val="autoZero"/>
        <c:lblAlgn val="ctr"/>
        <c:lblOffset val="100"/>
        <c:tickLblSkip val="1"/>
        <c:tickMarkSkip val="1"/>
      </c:catAx>
      <c:valAx>
        <c:axId val="64566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584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9676453903174783"/>
          <c:y val="0.89902423119438235"/>
          <c:w val="9.7087532058322046E-2"/>
          <c:h val="7.817602010385933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</xdr:row>
      <xdr:rowOff>152400</xdr:rowOff>
    </xdr:from>
    <xdr:to>
      <xdr:col>11</xdr:col>
      <xdr:colOff>476250</xdr:colOff>
      <xdr:row>21</xdr:row>
      <xdr:rowOff>114300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295275</xdr:colOff>
      <xdr:row>6</xdr:row>
      <xdr:rowOff>123825</xdr:rowOff>
    </xdr:from>
    <xdr:to>
      <xdr:col>11</xdr:col>
      <xdr:colOff>190500</xdr:colOff>
      <xdr:row>12</xdr:row>
      <xdr:rowOff>38100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6019800" y="1095375"/>
          <a:ext cx="1114425" cy="88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Ferrosos y acera, bebidas, papel cartón, derivados del petróleo, equipos de transporte maquinaria y equipo alimentos y textiles</a:t>
          </a:r>
        </a:p>
      </xdr:txBody>
    </xdr:sp>
    <xdr:clientData/>
  </xdr:twoCellAnchor>
  <xdr:twoCellAnchor>
    <xdr:from>
      <xdr:col>6</xdr:col>
      <xdr:colOff>247650</xdr:colOff>
      <xdr:row>8</xdr:row>
      <xdr:rowOff>0</xdr:rowOff>
    </xdr:from>
    <xdr:to>
      <xdr:col>7</xdr:col>
      <xdr:colOff>352425</xdr:colOff>
      <xdr:row>9</xdr:row>
      <xdr:rowOff>47625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4143375" y="1295400"/>
          <a:ext cx="7143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ganadería</a:t>
          </a:r>
        </a:p>
      </xdr:txBody>
    </xdr:sp>
    <xdr:clientData/>
  </xdr:twoCellAnchor>
  <xdr:twoCellAnchor>
    <xdr:from>
      <xdr:col>3</xdr:col>
      <xdr:colOff>361950</xdr:colOff>
      <xdr:row>9</xdr:row>
      <xdr:rowOff>114300</xdr:rowOff>
    </xdr:from>
    <xdr:to>
      <xdr:col>4</xdr:col>
      <xdr:colOff>485775</xdr:colOff>
      <xdr:row>12</xdr:row>
      <xdr:rowOff>57150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2428875" y="1571625"/>
          <a:ext cx="73342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minerales no metálicos, cemento</a:t>
          </a:r>
        </a:p>
      </xdr:txBody>
    </xdr:sp>
    <xdr:clientData/>
  </xdr:twoCellAnchor>
  <xdr:twoCellAnchor>
    <xdr:from>
      <xdr:col>3</xdr:col>
      <xdr:colOff>419100</xdr:colOff>
      <xdr:row>17</xdr:row>
      <xdr:rowOff>47625</xdr:rowOff>
    </xdr:from>
    <xdr:to>
      <xdr:col>5</xdr:col>
      <xdr:colOff>0</xdr:colOff>
      <xdr:row>19</xdr:row>
      <xdr:rowOff>95250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2486025" y="2800350"/>
          <a:ext cx="800100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banano, cacao y otros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38100</xdr:rowOff>
    </xdr:from>
    <xdr:to>
      <xdr:col>4</xdr:col>
      <xdr:colOff>742950</xdr:colOff>
      <xdr:row>11</xdr:row>
      <xdr:rowOff>0</xdr:rowOff>
    </xdr:to>
    <xdr:sp macro="" textlink="">
      <xdr:nvSpPr>
        <xdr:cNvPr id="4103" name="Oval 7"/>
        <xdr:cNvSpPr>
          <a:spLocks noChangeArrowheads="1"/>
        </xdr:cNvSpPr>
      </xdr:nvSpPr>
      <xdr:spPr bwMode="auto">
        <a:xfrm>
          <a:off x="1219200" y="523875"/>
          <a:ext cx="2657475" cy="12573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571500</xdr:colOff>
      <xdr:row>2</xdr:row>
      <xdr:rowOff>152400</xdr:rowOff>
    </xdr:from>
    <xdr:to>
      <xdr:col>3</xdr:col>
      <xdr:colOff>571500</xdr:colOff>
      <xdr:row>5</xdr:row>
      <xdr:rowOff>152400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2543175" y="476250"/>
          <a:ext cx="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6</xdr:row>
      <xdr:rowOff>152400</xdr:rowOff>
    </xdr:from>
    <xdr:to>
      <xdr:col>4</xdr:col>
      <xdr:colOff>742950</xdr:colOff>
      <xdr:row>6</xdr:row>
      <xdr:rowOff>152400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 flipH="1">
          <a:off x="3133725" y="11239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</xdr:colOff>
      <xdr:row>6</xdr:row>
      <xdr:rowOff>152400</xdr:rowOff>
    </xdr:from>
    <xdr:to>
      <xdr:col>2</xdr:col>
      <xdr:colOff>752475</xdr:colOff>
      <xdr:row>6</xdr:row>
      <xdr:rowOff>152400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>
          <a:off x="1219200" y="11239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571500</xdr:colOff>
      <xdr:row>8</xdr:row>
      <xdr:rowOff>19050</xdr:rowOff>
    </xdr:from>
    <xdr:to>
      <xdr:col>3</xdr:col>
      <xdr:colOff>571500</xdr:colOff>
      <xdr:row>10</xdr:row>
      <xdr:rowOff>152400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 flipV="1">
          <a:off x="2543175" y="131445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2</xdr:row>
      <xdr:rowOff>9525</xdr:rowOff>
    </xdr:from>
    <xdr:to>
      <xdr:col>9</xdr:col>
      <xdr:colOff>123825</xdr:colOff>
      <xdr:row>19</xdr:row>
      <xdr:rowOff>9525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142875</xdr:rowOff>
    </xdr:from>
    <xdr:to>
      <xdr:col>2</xdr:col>
      <xdr:colOff>809625</xdr:colOff>
      <xdr:row>19</xdr:row>
      <xdr:rowOff>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2257425"/>
          <a:ext cx="30194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27</xdr:row>
      <xdr:rowOff>85725</xdr:rowOff>
    </xdr:from>
    <xdr:to>
      <xdr:col>3</xdr:col>
      <xdr:colOff>323850</xdr:colOff>
      <xdr:row>27</xdr:row>
      <xdr:rowOff>85725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 flipH="1">
          <a:off x="2486025" y="445770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5</xdr:row>
      <xdr:rowOff>9525</xdr:rowOff>
    </xdr:from>
    <xdr:to>
      <xdr:col>11</xdr:col>
      <xdr:colOff>619125</xdr:colOff>
      <xdr:row>26</xdr:row>
      <xdr:rowOff>0</xdr:rowOff>
    </xdr:to>
    <xdr:graphicFrame macro="">
      <xdr:nvGraphicFramePr>
        <xdr:cNvPr id="9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238125</xdr:colOff>
      <xdr:row>27</xdr:row>
      <xdr:rowOff>9525</xdr:rowOff>
    </xdr:from>
    <xdr:to>
      <xdr:col>12</xdr:col>
      <xdr:colOff>28575</xdr:colOff>
      <xdr:row>45</xdr:row>
      <xdr:rowOff>19050</xdr:rowOff>
    </xdr:to>
    <xdr:graphicFrame macro="">
      <xdr:nvGraphicFramePr>
        <xdr:cNvPr id="92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20" sqref="B20"/>
    </sheetView>
  </sheetViews>
  <sheetFormatPr baseColWidth="10" defaultColWidth="9.140625" defaultRowHeight="12.75"/>
  <cols>
    <col min="1" max="1" width="12.7109375" bestFit="1" customWidth="1"/>
  </cols>
  <sheetData>
    <row r="1" spans="1:2">
      <c r="A1" t="s">
        <v>0</v>
      </c>
      <c r="B1" s="3">
        <v>0.5</v>
      </c>
    </row>
    <row r="2" spans="1:2">
      <c r="A2" t="s">
        <v>1</v>
      </c>
      <c r="B2" s="3">
        <v>0.26</v>
      </c>
    </row>
    <row r="3" spans="1:2">
      <c r="A3" t="s">
        <v>2</v>
      </c>
      <c r="B3" s="3">
        <v>0.19</v>
      </c>
    </row>
    <row r="4" spans="1:2">
      <c r="A4" t="s">
        <v>3</v>
      </c>
      <c r="B4" s="3">
        <v>0.05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15"/>
  <sheetViews>
    <sheetView topLeftCell="A5" workbookViewId="0">
      <selection activeCell="A10" sqref="A10"/>
    </sheetView>
  </sheetViews>
  <sheetFormatPr baseColWidth="10" defaultRowHeight="12.75"/>
  <cols>
    <col min="1" max="1" width="30.7109375" bestFit="1" customWidth="1"/>
    <col min="2" max="2" width="16.28515625" bestFit="1" customWidth="1"/>
    <col min="4" max="4" width="18.140625" bestFit="1" customWidth="1"/>
    <col min="5" max="5" width="14.5703125" bestFit="1" customWidth="1"/>
    <col min="6" max="6" width="15.28515625" bestFit="1" customWidth="1"/>
  </cols>
  <sheetData>
    <row r="2" spans="1:6">
      <c r="A2" s="261" t="s">
        <v>74</v>
      </c>
      <c r="B2" s="263" t="s">
        <v>81</v>
      </c>
    </row>
    <row r="3" spans="1:6">
      <c r="A3" s="266"/>
      <c r="B3" s="267"/>
    </row>
    <row r="4" spans="1:6">
      <c r="A4" s="167" t="s">
        <v>87</v>
      </c>
      <c r="B4" s="169">
        <f>+'INV. FIJA'!D7</f>
        <v>242000</v>
      </c>
    </row>
    <row r="5" spans="1:6">
      <c r="A5" s="167" t="s">
        <v>88</v>
      </c>
      <c r="B5" s="169">
        <f>+'INV. FIJA'!D19</f>
        <v>2000</v>
      </c>
    </row>
    <row r="6" spans="1:6">
      <c r="A6" s="167" t="s">
        <v>89</v>
      </c>
      <c r="B6" s="169">
        <f>+'INV. FIJA'!F27</f>
        <v>2000</v>
      </c>
    </row>
    <row r="7" spans="1:6">
      <c r="A7" s="167" t="s">
        <v>90</v>
      </c>
      <c r="B7" s="169">
        <f>+'INV. DIFERIDA'!C6</f>
        <v>1900</v>
      </c>
    </row>
    <row r="8" spans="1:6">
      <c r="A8" s="66"/>
      <c r="B8" s="79"/>
    </row>
    <row r="9" spans="1:6">
      <c r="A9" s="78" t="s">
        <v>73</v>
      </c>
      <c r="B9" s="80">
        <f>SUM(B4:B7)</f>
        <v>247900</v>
      </c>
    </row>
    <row r="10" spans="1:6">
      <c r="D10" s="261" t="s">
        <v>74</v>
      </c>
      <c r="E10" s="73" t="s">
        <v>111</v>
      </c>
      <c r="F10" s="74" t="s">
        <v>113</v>
      </c>
    </row>
    <row r="11" spans="1:6">
      <c r="D11" s="262"/>
      <c r="E11" s="75" t="s">
        <v>112</v>
      </c>
      <c r="F11" s="76" t="s">
        <v>68</v>
      </c>
    </row>
    <row r="12" spans="1:6">
      <c r="D12" s="66" t="s">
        <v>109</v>
      </c>
      <c r="E12" s="83">
        <v>0.4</v>
      </c>
      <c r="F12" s="69">
        <f>E12*$B$9</f>
        <v>99160</v>
      </c>
    </row>
    <row r="13" spans="1:6">
      <c r="D13" s="167" t="s">
        <v>110</v>
      </c>
      <c r="E13" s="170">
        <v>0.6</v>
      </c>
      <c r="F13" s="50">
        <f>E13*$B$9</f>
        <v>148740</v>
      </c>
    </row>
    <row r="14" spans="1:6">
      <c r="D14" s="66"/>
      <c r="E14" s="66"/>
      <c r="F14" s="69"/>
    </row>
    <row r="15" spans="1:6">
      <c r="D15" s="67"/>
      <c r="E15" s="48" t="s">
        <v>73</v>
      </c>
      <c r="F15" s="71">
        <f>SUM(F12:F14)</f>
        <v>247900</v>
      </c>
    </row>
  </sheetData>
  <mergeCells count="3">
    <mergeCell ref="A2:A3"/>
    <mergeCell ref="B2:B3"/>
    <mergeCell ref="D10:D11"/>
  </mergeCells>
  <phoneticPr fontId="3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sqref="A1:E29"/>
    </sheetView>
  </sheetViews>
  <sheetFormatPr baseColWidth="10" defaultRowHeight="12.75"/>
  <sheetData>
    <row r="1" spans="1:5" ht="13.5" thickBot="1">
      <c r="A1" s="124"/>
      <c r="B1" s="84"/>
      <c r="C1" s="84"/>
      <c r="D1" s="84"/>
      <c r="E1" s="138"/>
    </row>
    <row r="2" spans="1:5">
      <c r="A2" s="89"/>
      <c r="B2" s="107" t="s">
        <v>92</v>
      </c>
      <c r="C2" s="139">
        <f>+FINANCIAMIENTO!F13</f>
        <v>148740</v>
      </c>
      <c r="D2" s="91"/>
      <c r="E2" s="92"/>
    </row>
    <row r="3" spans="1:5">
      <c r="A3" s="89"/>
      <c r="B3" s="102" t="s">
        <v>93</v>
      </c>
      <c r="C3" s="100">
        <v>5</v>
      </c>
      <c r="D3" s="91"/>
      <c r="E3" s="92"/>
    </row>
    <row r="4" spans="1:5">
      <c r="A4" s="89"/>
      <c r="B4" s="102" t="s">
        <v>94</v>
      </c>
      <c r="C4" s="165">
        <v>9.35E-2</v>
      </c>
      <c r="D4" s="91"/>
      <c r="E4" s="92"/>
    </row>
    <row r="5" spans="1:5" ht="13.5" thickBot="1">
      <c r="A5" s="89"/>
      <c r="B5" s="109" t="s">
        <v>95</v>
      </c>
      <c r="C5" s="140" t="s">
        <v>96</v>
      </c>
      <c r="D5" s="91"/>
      <c r="E5" s="92"/>
    </row>
    <row r="6" spans="1:5">
      <c r="A6" s="135"/>
      <c r="B6" s="2"/>
      <c r="C6" s="2"/>
      <c r="D6" s="2"/>
      <c r="E6" s="142"/>
    </row>
    <row r="7" spans="1:5">
      <c r="A7" s="141" t="s">
        <v>97</v>
      </c>
      <c r="B7" s="143" t="s">
        <v>98</v>
      </c>
      <c r="C7" s="143" t="s">
        <v>99</v>
      </c>
      <c r="D7" s="143" t="s">
        <v>100</v>
      </c>
      <c r="E7" s="145" t="s">
        <v>101</v>
      </c>
    </row>
    <row r="8" spans="1:5">
      <c r="A8" s="49">
        <v>0</v>
      </c>
      <c r="B8" s="167"/>
      <c r="C8" s="167"/>
      <c r="D8" s="167"/>
      <c r="E8" s="169">
        <f>+C2</f>
        <v>148740</v>
      </c>
    </row>
    <row r="9" spans="1:5">
      <c r="A9" s="49">
        <v>1</v>
      </c>
      <c r="B9" s="193">
        <f>PMT(9.35%/4,C3*4,-C2)</f>
        <v>9395.4012262324122</v>
      </c>
      <c r="C9" s="193">
        <f>E8*($C$4/4)</f>
        <v>3476.7975000000001</v>
      </c>
      <c r="D9" s="193">
        <f>B9-C9</f>
        <v>5918.6037262324116</v>
      </c>
      <c r="E9" s="169">
        <f>E8-D9</f>
        <v>142821.39627376758</v>
      </c>
    </row>
    <row r="10" spans="1:5">
      <c r="A10" s="49">
        <v>2</v>
      </c>
      <c r="B10" s="193">
        <f>+B9</f>
        <v>9395.4012262324122</v>
      </c>
      <c r="C10" s="193">
        <f t="shared" ref="C10:C28" si="0">E9*($C$4/4)</f>
        <v>3338.4501378993173</v>
      </c>
      <c r="D10" s="193">
        <f t="shared" ref="D10:D28" si="1">B10-C10</f>
        <v>6056.951088333095</v>
      </c>
      <c r="E10" s="169">
        <f t="shared" ref="E10:E28" si="2">E9-D10</f>
        <v>136764.44518543448</v>
      </c>
    </row>
    <row r="11" spans="1:5">
      <c r="A11" s="49">
        <v>3</v>
      </c>
      <c r="B11" s="193">
        <f t="shared" ref="B11:B28" si="3">+B10</f>
        <v>9395.4012262324122</v>
      </c>
      <c r="C11" s="193">
        <f t="shared" si="0"/>
        <v>3196.8689062095309</v>
      </c>
      <c r="D11" s="193">
        <f t="shared" si="1"/>
        <v>6198.5323200228813</v>
      </c>
      <c r="E11" s="169">
        <f t="shared" si="2"/>
        <v>130565.91286541161</v>
      </c>
    </row>
    <row r="12" spans="1:5">
      <c r="A12" s="49">
        <v>4</v>
      </c>
      <c r="B12" s="193">
        <f t="shared" si="3"/>
        <v>9395.4012262324122</v>
      </c>
      <c r="C12" s="193">
        <f t="shared" si="0"/>
        <v>3051.9782132289961</v>
      </c>
      <c r="D12" s="193">
        <f t="shared" si="1"/>
        <v>6343.4230130034157</v>
      </c>
      <c r="E12" s="169">
        <f t="shared" si="2"/>
        <v>124222.48985240819</v>
      </c>
    </row>
    <row r="13" spans="1:5">
      <c r="A13" s="49">
        <v>5</v>
      </c>
      <c r="B13" s="193">
        <f t="shared" si="3"/>
        <v>9395.4012262324122</v>
      </c>
      <c r="C13" s="193">
        <f t="shared" si="0"/>
        <v>2903.7007003000417</v>
      </c>
      <c r="D13" s="193">
        <f t="shared" si="1"/>
        <v>6491.7005259323705</v>
      </c>
      <c r="E13" s="169">
        <f t="shared" si="2"/>
        <v>117730.78932647582</v>
      </c>
    </row>
    <row r="14" spans="1:5">
      <c r="A14" s="49">
        <v>6</v>
      </c>
      <c r="B14" s="193">
        <f t="shared" si="3"/>
        <v>9395.4012262324122</v>
      </c>
      <c r="C14" s="193">
        <f t="shared" si="0"/>
        <v>2751.9572005063724</v>
      </c>
      <c r="D14" s="193">
        <f t="shared" si="1"/>
        <v>6643.4440257260394</v>
      </c>
      <c r="E14" s="169">
        <f t="shared" si="2"/>
        <v>111087.34530074977</v>
      </c>
    </row>
    <row r="15" spans="1:5">
      <c r="A15" s="49">
        <v>7</v>
      </c>
      <c r="B15" s="193">
        <f t="shared" si="3"/>
        <v>9395.4012262324122</v>
      </c>
      <c r="C15" s="193">
        <f t="shared" si="0"/>
        <v>2596.666696405026</v>
      </c>
      <c r="D15" s="193">
        <f t="shared" si="1"/>
        <v>6798.7345298273867</v>
      </c>
      <c r="E15" s="169">
        <f t="shared" si="2"/>
        <v>104288.61077092239</v>
      </c>
    </row>
    <row r="16" spans="1:5">
      <c r="A16" s="49">
        <v>8</v>
      </c>
      <c r="B16" s="193">
        <f t="shared" si="3"/>
        <v>9395.4012262324122</v>
      </c>
      <c r="C16" s="193">
        <f t="shared" si="0"/>
        <v>2437.7462767703109</v>
      </c>
      <c r="D16" s="193">
        <f t="shared" si="1"/>
        <v>6957.6549494621013</v>
      </c>
      <c r="E16" s="169">
        <f t="shared" si="2"/>
        <v>97330.955821460288</v>
      </c>
    </row>
    <row r="17" spans="1:5">
      <c r="A17" s="49">
        <v>9</v>
      </c>
      <c r="B17" s="193">
        <f t="shared" si="3"/>
        <v>9395.4012262324122</v>
      </c>
      <c r="C17" s="193">
        <f t="shared" si="0"/>
        <v>2275.1110923266342</v>
      </c>
      <c r="D17" s="193">
        <f t="shared" si="1"/>
        <v>7120.290133905778</v>
      </c>
      <c r="E17" s="169">
        <f t="shared" si="2"/>
        <v>90210.665687554516</v>
      </c>
    </row>
    <row r="18" spans="1:5">
      <c r="A18" s="49">
        <v>10</v>
      </c>
      <c r="B18" s="193">
        <f t="shared" si="3"/>
        <v>9395.4012262324122</v>
      </c>
      <c r="C18" s="193">
        <f t="shared" si="0"/>
        <v>2108.6743104465868</v>
      </c>
      <c r="D18" s="193">
        <f t="shared" si="1"/>
        <v>7286.7269157858254</v>
      </c>
      <c r="E18" s="169">
        <f t="shared" si="2"/>
        <v>82923.938771768691</v>
      </c>
    </row>
    <row r="19" spans="1:5">
      <c r="A19" s="49">
        <v>11</v>
      </c>
      <c r="B19" s="193">
        <f t="shared" si="3"/>
        <v>9395.4012262324122</v>
      </c>
      <c r="C19" s="193">
        <f t="shared" si="0"/>
        <v>1938.3470687900931</v>
      </c>
      <c r="D19" s="193">
        <f t="shared" si="1"/>
        <v>7457.0541574423187</v>
      </c>
      <c r="E19" s="169">
        <f t="shared" si="2"/>
        <v>75466.88461432638</v>
      </c>
    </row>
    <row r="20" spans="1:5">
      <c r="A20" s="49">
        <v>12</v>
      </c>
      <c r="B20" s="193">
        <f t="shared" si="3"/>
        <v>9395.4012262324122</v>
      </c>
      <c r="C20" s="193">
        <f t="shared" si="0"/>
        <v>1764.0384278598792</v>
      </c>
      <c r="D20" s="193">
        <f t="shared" si="1"/>
        <v>7631.3627983725328</v>
      </c>
      <c r="E20" s="169">
        <f t="shared" si="2"/>
        <v>67835.521815953849</v>
      </c>
    </row>
    <row r="21" spans="1:5">
      <c r="A21" s="49">
        <v>13</v>
      </c>
      <c r="B21" s="193">
        <f t="shared" si="3"/>
        <v>9395.4012262324122</v>
      </c>
      <c r="C21" s="193">
        <f t="shared" si="0"/>
        <v>1585.6553224479212</v>
      </c>
      <c r="D21" s="193">
        <f t="shared" si="1"/>
        <v>7809.745903784491</v>
      </c>
      <c r="E21" s="169">
        <f t="shared" si="2"/>
        <v>60025.77591216936</v>
      </c>
    </row>
    <row r="22" spans="1:5">
      <c r="A22" s="49">
        <v>14</v>
      </c>
      <c r="B22" s="193">
        <f t="shared" si="3"/>
        <v>9395.4012262324122</v>
      </c>
      <c r="C22" s="193">
        <f t="shared" si="0"/>
        <v>1403.1025119469589</v>
      </c>
      <c r="D22" s="193">
        <f t="shared" si="1"/>
        <v>7992.2987142854536</v>
      </c>
      <c r="E22" s="169">
        <f t="shared" si="2"/>
        <v>52033.477197883905</v>
      </c>
    </row>
    <row r="23" spans="1:5">
      <c r="A23" s="49">
        <v>15</v>
      </c>
      <c r="B23" s="193">
        <f t="shared" si="3"/>
        <v>9395.4012262324122</v>
      </c>
      <c r="C23" s="193">
        <f t="shared" si="0"/>
        <v>1216.2825295005364</v>
      </c>
      <c r="D23" s="193">
        <f t="shared" si="1"/>
        <v>8179.1186967318754</v>
      </c>
      <c r="E23" s="169">
        <f t="shared" si="2"/>
        <v>43854.358501152034</v>
      </c>
    </row>
    <row r="24" spans="1:5">
      <c r="A24" s="49">
        <v>16</v>
      </c>
      <c r="B24" s="193">
        <f t="shared" si="3"/>
        <v>9395.4012262324122</v>
      </c>
      <c r="C24" s="193">
        <f t="shared" si="0"/>
        <v>1025.0956299644288</v>
      </c>
      <c r="D24" s="193">
        <f t="shared" si="1"/>
        <v>8370.3055962679828</v>
      </c>
      <c r="E24" s="169">
        <f t="shared" si="2"/>
        <v>35484.052904884054</v>
      </c>
    </row>
    <row r="25" spans="1:5">
      <c r="A25" s="49">
        <v>17</v>
      </c>
      <c r="B25" s="193">
        <f t="shared" si="3"/>
        <v>9395.4012262324122</v>
      </c>
      <c r="C25" s="193">
        <f t="shared" si="0"/>
        <v>829.43973665166482</v>
      </c>
      <c r="D25" s="193">
        <f t="shared" si="1"/>
        <v>8565.9614895807481</v>
      </c>
      <c r="E25" s="169">
        <f t="shared" si="2"/>
        <v>26918.091415303308</v>
      </c>
    </row>
    <row r="26" spans="1:5">
      <c r="A26" s="49">
        <v>18</v>
      </c>
      <c r="B26" s="193">
        <f t="shared" si="3"/>
        <v>9395.4012262324122</v>
      </c>
      <c r="C26" s="193">
        <f t="shared" si="0"/>
        <v>629.21038683271479</v>
      </c>
      <c r="D26" s="193">
        <f t="shared" si="1"/>
        <v>8766.1908393996982</v>
      </c>
      <c r="E26" s="169">
        <f t="shared" si="2"/>
        <v>18151.900575903608</v>
      </c>
    </row>
    <row r="27" spans="1:5">
      <c r="A27" s="49">
        <v>19</v>
      </c>
      <c r="B27" s="193">
        <f t="shared" si="3"/>
        <v>9395.4012262324122</v>
      </c>
      <c r="C27" s="193">
        <f t="shared" si="0"/>
        <v>424.30067596174683</v>
      </c>
      <c r="D27" s="193">
        <f t="shared" si="1"/>
        <v>8971.1005502706648</v>
      </c>
      <c r="E27" s="169">
        <f t="shared" si="2"/>
        <v>9180.8000256329433</v>
      </c>
    </row>
    <row r="28" spans="1:5">
      <c r="A28" s="147">
        <v>20</v>
      </c>
      <c r="B28" s="148">
        <f t="shared" si="3"/>
        <v>9395.4012262324122</v>
      </c>
      <c r="C28" s="148">
        <f t="shared" si="0"/>
        <v>214.60120059917006</v>
      </c>
      <c r="D28" s="148">
        <f t="shared" si="1"/>
        <v>9180.8000256332416</v>
      </c>
      <c r="E28" s="149">
        <f t="shared" si="2"/>
        <v>-2.9831426218152046E-10</v>
      </c>
    </row>
    <row r="29" spans="1:5" ht="13.5" thickBot="1">
      <c r="A29" s="122"/>
      <c r="B29" s="150"/>
      <c r="C29" s="144">
        <f>SUM(C9:C28)</f>
        <v>39168.024524647939</v>
      </c>
      <c r="D29" s="144">
        <f>SUM(D9:D28)</f>
        <v>148740.00000000032</v>
      </c>
      <c r="E29" s="146"/>
    </row>
  </sheetData>
  <phoneticPr fontId="3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sqref="A1:N9"/>
    </sheetView>
  </sheetViews>
  <sheetFormatPr baseColWidth="10" defaultRowHeight="11.25"/>
  <cols>
    <col min="1" max="1" width="9.140625" style="179" customWidth="1"/>
    <col min="2" max="2" width="6.28515625" style="179" customWidth="1"/>
    <col min="3" max="3" width="2.42578125" style="179" customWidth="1"/>
    <col min="4" max="13" width="6.28515625" style="179" customWidth="1"/>
    <col min="14" max="14" width="5.5703125" style="179" customWidth="1"/>
    <col min="15" max="16384" width="11.42578125" style="179"/>
  </cols>
  <sheetData>
    <row r="1" spans="1:14">
      <c r="A1" s="268" t="s">
        <v>74</v>
      </c>
      <c r="B1" s="268" t="s">
        <v>102</v>
      </c>
      <c r="C1" s="268" t="s">
        <v>31</v>
      </c>
      <c r="D1" s="268">
        <v>1</v>
      </c>
      <c r="E1" s="268">
        <v>2</v>
      </c>
      <c r="F1" s="268">
        <v>3</v>
      </c>
      <c r="G1" s="268">
        <v>4</v>
      </c>
      <c r="H1" s="268">
        <v>5</v>
      </c>
      <c r="I1" s="268">
        <v>6</v>
      </c>
      <c r="J1" s="268">
        <v>7</v>
      </c>
      <c r="K1" s="268">
        <v>8</v>
      </c>
      <c r="L1" s="268">
        <v>9</v>
      </c>
      <c r="M1" s="268">
        <v>10</v>
      </c>
      <c r="N1" s="268" t="s">
        <v>103</v>
      </c>
    </row>
    <row r="2" spans="1:14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22.5">
      <c r="A3" s="190" t="s">
        <v>87</v>
      </c>
      <c r="B3" s="191">
        <f>+FINANCIAMIENTO!B4</f>
        <v>242000</v>
      </c>
      <c r="C3" s="182">
        <v>10</v>
      </c>
      <c r="D3" s="191">
        <f>B3/10</f>
        <v>24200</v>
      </c>
      <c r="E3" s="191">
        <f t="shared" ref="E3:M4" si="0">+D3</f>
        <v>24200</v>
      </c>
      <c r="F3" s="191">
        <f t="shared" si="0"/>
        <v>24200</v>
      </c>
      <c r="G3" s="191">
        <f t="shared" si="0"/>
        <v>24200</v>
      </c>
      <c r="H3" s="191">
        <f t="shared" si="0"/>
        <v>24200</v>
      </c>
      <c r="I3" s="191">
        <f t="shared" si="0"/>
        <v>24200</v>
      </c>
      <c r="J3" s="191">
        <f t="shared" si="0"/>
        <v>24200</v>
      </c>
      <c r="K3" s="191">
        <f t="shared" si="0"/>
        <v>24200</v>
      </c>
      <c r="L3" s="191">
        <f t="shared" si="0"/>
        <v>24200</v>
      </c>
      <c r="M3" s="191">
        <f t="shared" si="0"/>
        <v>24200</v>
      </c>
      <c r="N3" s="181">
        <v>0</v>
      </c>
    </row>
    <row r="4" spans="1:14" ht="22.5">
      <c r="A4" s="190" t="s">
        <v>104</v>
      </c>
      <c r="B4" s="181">
        <f>+'INV. FIJA'!D19-'INV. FIJA'!D12</f>
        <v>700</v>
      </c>
      <c r="C4" s="182">
        <v>10</v>
      </c>
      <c r="D4" s="181">
        <f>B4/C4</f>
        <v>70</v>
      </c>
      <c r="E4" s="181">
        <f t="shared" si="0"/>
        <v>70</v>
      </c>
      <c r="F4" s="181">
        <f t="shared" si="0"/>
        <v>70</v>
      </c>
      <c r="G4" s="181">
        <f t="shared" si="0"/>
        <v>70</v>
      </c>
      <c r="H4" s="181">
        <f t="shared" si="0"/>
        <v>70</v>
      </c>
      <c r="I4" s="181">
        <f t="shared" si="0"/>
        <v>70</v>
      </c>
      <c r="J4" s="181">
        <f t="shared" si="0"/>
        <v>70</v>
      </c>
      <c r="K4" s="181">
        <f t="shared" si="0"/>
        <v>70</v>
      </c>
      <c r="L4" s="181">
        <f t="shared" si="0"/>
        <v>70</v>
      </c>
      <c r="M4" s="181">
        <f t="shared" si="0"/>
        <v>70</v>
      </c>
      <c r="N4" s="181">
        <f>B4-(5*D4)</f>
        <v>350</v>
      </c>
    </row>
    <row r="5" spans="1:14" ht="11.25" customHeight="1">
      <c r="A5" s="190" t="s">
        <v>105</v>
      </c>
      <c r="B5" s="181">
        <f>+'INV. FIJA'!D12</f>
        <v>1300</v>
      </c>
      <c r="C5" s="183">
        <f>100/3</f>
        <v>33.333333333333336</v>
      </c>
      <c r="D5" s="192">
        <f>B5/3</f>
        <v>433.33333333333331</v>
      </c>
      <c r="E5" s="192">
        <f>+D5</f>
        <v>433.33333333333331</v>
      </c>
      <c r="F5" s="192">
        <f>+E5</f>
        <v>433.33333333333331</v>
      </c>
      <c r="G5" s="180">
        <v>0</v>
      </c>
      <c r="H5" s="180">
        <v>0</v>
      </c>
      <c r="I5" s="180">
        <v>0</v>
      </c>
      <c r="J5" s="180">
        <v>0</v>
      </c>
      <c r="K5" s="180">
        <v>0</v>
      </c>
      <c r="L5" s="180">
        <v>0</v>
      </c>
      <c r="M5" s="180">
        <v>0</v>
      </c>
      <c r="N5" s="180">
        <v>0</v>
      </c>
    </row>
    <row r="6" spans="1:14">
      <c r="A6" s="190" t="s">
        <v>106</v>
      </c>
      <c r="B6" s="181">
        <f>+'INV. FIJA'!F27</f>
        <v>2000</v>
      </c>
      <c r="C6" s="182">
        <v>10</v>
      </c>
      <c r="D6" s="181">
        <f>B6/C6</f>
        <v>200</v>
      </c>
      <c r="E6" s="181">
        <f>+D6</f>
        <v>200</v>
      </c>
      <c r="F6" s="181">
        <f t="shared" ref="F6:M7" si="1">+E6</f>
        <v>200</v>
      </c>
      <c r="G6" s="181">
        <f t="shared" si="1"/>
        <v>200</v>
      </c>
      <c r="H6" s="181">
        <f t="shared" si="1"/>
        <v>200</v>
      </c>
      <c r="I6" s="181">
        <f t="shared" si="1"/>
        <v>200</v>
      </c>
      <c r="J6" s="181">
        <f t="shared" si="1"/>
        <v>200</v>
      </c>
      <c r="K6" s="181">
        <f t="shared" si="1"/>
        <v>200</v>
      </c>
      <c r="L6" s="181">
        <f t="shared" si="1"/>
        <v>200</v>
      </c>
      <c r="M6" s="181">
        <f t="shared" si="1"/>
        <v>200</v>
      </c>
      <c r="N6" s="181">
        <f>B6-(5*D6)</f>
        <v>1000</v>
      </c>
    </row>
    <row r="7" spans="1:14" ht="22.5">
      <c r="A7" s="190" t="s">
        <v>107</v>
      </c>
      <c r="B7" s="181">
        <f>+'INV. DIFERIDA'!C6</f>
        <v>1900</v>
      </c>
      <c r="C7" s="182">
        <v>20</v>
      </c>
      <c r="D7" s="181">
        <f>B7/5</f>
        <v>380</v>
      </c>
      <c r="E7" s="181">
        <f>+D7</f>
        <v>380</v>
      </c>
      <c r="F7" s="181">
        <f t="shared" si="1"/>
        <v>380</v>
      </c>
      <c r="G7" s="181">
        <f t="shared" si="1"/>
        <v>380</v>
      </c>
      <c r="H7" s="181">
        <f t="shared" si="1"/>
        <v>380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0">
        <v>0</v>
      </c>
    </row>
    <row r="8" spans="1:14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5"/>
    </row>
    <row r="9" spans="1:14">
      <c r="A9" s="186" t="s">
        <v>108</v>
      </c>
      <c r="B9" s="187"/>
      <c r="C9" s="187"/>
      <c r="D9" s="188">
        <f t="shared" ref="D9:N9" si="2">SUM(D3:D8)</f>
        <v>25283.333333333332</v>
      </c>
      <c r="E9" s="188">
        <f t="shared" si="2"/>
        <v>25283.333333333332</v>
      </c>
      <c r="F9" s="188">
        <f t="shared" si="2"/>
        <v>25283.333333333332</v>
      </c>
      <c r="G9" s="188">
        <f t="shared" si="2"/>
        <v>24850</v>
      </c>
      <c r="H9" s="188">
        <f t="shared" si="2"/>
        <v>24850</v>
      </c>
      <c r="I9" s="188">
        <f>SUM(I3:I8)</f>
        <v>24470</v>
      </c>
      <c r="J9" s="188">
        <f>SUM(J3:J8)</f>
        <v>24470</v>
      </c>
      <c r="K9" s="188">
        <f>SUM(K3:K8)</f>
        <v>24470</v>
      </c>
      <c r="L9" s="188">
        <f>SUM(L3:L8)</f>
        <v>24470</v>
      </c>
      <c r="M9" s="188">
        <f>SUM(M3:M8)</f>
        <v>24470</v>
      </c>
      <c r="N9" s="189">
        <f t="shared" si="2"/>
        <v>1350</v>
      </c>
    </row>
  </sheetData>
  <mergeCells count="14">
    <mergeCell ref="A1:A2"/>
    <mergeCell ref="B1:B2"/>
    <mergeCell ref="C1:C2"/>
    <mergeCell ref="D1:D2"/>
    <mergeCell ref="N1:N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honeticPr fontId="3" type="noConversion"/>
  <pageMargins left="0.75" right="0.75" top="1" bottom="1" header="0" footer="0"/>
  <pageSetup orientation="portrait" horizontalDpi="300" verticalDpi="300" r:id="rId1"/>
  <headerFooter alignWithMargins="0"/>
  <ignoredErrors>
    <ignoredError sqref="D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2:F25"/>
  <sheetViews>
    <sheetView workbookViewId="0">
      <selection activeCell="A16" sqref="A16:E25"/>
    </sheetView>
  </sheetViews>
  <sheetFormatPr baseColWidth="10" defaultRowHeight="12.75"/>
  <cols>
    <col min="1" max="1" width="22.5703125" bestFit="1" customWidth="1"/>
    <col min="2" max="2" width="11.140625" bestFit="1" customWidth="1"/>
    <col min="3" max="3" width="8.140625" bestFit="1" customWidth="1"/>
    <col min="4" max="4" width="14.7109375" bestFit="1" customWidth="1"/>
    <col min="5" max="5" width="11.140625" bestFit="1" customWidth="1"/>
  </cols>
  <sheetData>
    <row r="2" spans="1:6" ht="13.5" thickBot="1">
      <c r="A2" s="85" t="s">
        <v>129</v>
      </c>
    </row>
    <row r="3" spans="1:6">
      <c r="B3" s="103"/>
      <c r="C3" s="104" t="s">
        <v>149</v>
      </c>
      <c r="D3" s="104" t="s">
        <v>150</v>
      </c>
      <c r="E3" s="105" t="s">
        <v>151</v>
      </c>
      <c r="F3" s="1"/>
    </row>
    <row r="4" spans="1:6">
      <c r="A4" t="s">
        <v>191</v>
      </c>
      <c r="B4" s="89" t="s">
        <v>146</v>
      </c>
      <c r="C4" s="69">
        <v>160</v>
      </c>
      <c r="D4" s="69">
        <f>C4*4</f>
        <v>640</v>
      </c>
      <c r="E4" s="130">
        <f>D4*52</f>
        <v>33280</v>
      </c>
    </row>
    <row r="5" spans="1:6">
      <c r="B5" s="89" t="s">
        <v>147</v>
      </c>
      <c r="C5" s="69">
        <v>180</v>
      </c>
      <c r="D5" s="69">
        <f>C5*4</f>
        <v>720</v>
      </c>
      <c r="E5" s="130">
        <f>D5*52</f>
        <v>37440</v>
      </c>
    </row>
    <row r="6" spans="1:6">
      <c r="B6" s="89" t="s">
        <v>148</v>
      </c>
      <c r="C6" s="69">
        <v>140</v>
      </c>
      <c r="D6" s="69">
        <f>C6*4</f>
        <v>560</v>
      </c>
      <c r="E6" s="130">
        <f>D6*52</f>
        <v>29120</v>
      </c>
    </row>
    <row r="7" spans="1:6">
      <c r="B7" s="89"/>
      <c r="C7" s="72"/>
      <c r="D7" s="72"/>
      <c r="E7" s="131"/>
    </row>
    <row r="8" spans="1:6" ht="13.5" thickBot="1">
      <c r="B8" s="122"/>
      <c r="C8" s="136"/>
      <c r="D8" s="134" t="s">
        <v>91</v>
      </c>
      <c r="E8" s="132">
        <f>SUM(E4:E7)</f>
        <v>99840</v>
      </c>
    </row>
    <row r="11" spans="1:6">
      <c r="D11" s="62" t="s">
        <v>152</v>
      </c>
      <c r="E11" s="64">
        <f>+E8</f>
        <v>99840</v>
      </c>
    </row>
    <row r="14" spans="1:6">
      <c r="A14" s="85" t="s">
        <v>137</v>
      </c>
    </row>
    <row r="15" spans="1:6" ht="13.5" thickBot="1">
      <c r="A15" s="85"/>
    </row>
    <row r="16" spans="1:6" ht="15" customHeight="1">
      <c r="A16" s="270" t="s">
        <v>74</v>
      </c>
      <c r="B16" s="272" t="s">
        <v>65</v>
      </c>
      <c r="C16" s="133" t="s">
        <v>192</v>
      </c>
      <c r="D16" s="133" t="s">
        <v>192</v>
      </c>
      <c r="E16" s="129" t="s">
        <v>192</v>
      </c>
    </row>
    <row r="17" spans="1:5" ht="15" customHeight="1">
      <c r="A17" s="271"/>
      <c r="B17" s="264"/>
      <c r="C17" s="76" t="s">
        <v>193</v>
      </c>
      <c r="D17" s="76" t="s">
        <v>194</v>
      </c>
      <c r="E17" s="137" t="s">
        <v>195</v>
      </c>
    </row>
    <row r="18" spans="1:5" ht="15" customHeight="1">
      <c r="A18" s="167" t="s">
        <v>196</v>
      </c>
      <c r="B18" s="49">
        <v>3</v>
      </c>
      <c r="C18" s="169">
        <v>400</v>
      </c>
      <c r="D18" s="169">
        <f>B18*C18</f>
        <v>1200</v>
      </c>
      <c r="E18" s="169">
        <f>D18*12</f>
        <v>14400</v>
      </c>
    </row>
    <row r="19" spans="1:5" ht="15" customHeight="1">
      <c r="A19" s="167" t="s">
        <v>153</v>
      </c>
      <c r="B19" s="49">
        <v>3</v>
      </c>
      <c r="C19" s="169">
        <v>6</v>
      </c>
      <c r="D19" s="169">
        <f>B19*C19*4*4</f>
        <v>288</v>
      </c>
      <c r="E19" s="169">
        <f>D19*12</f>
        <v>3456</v>
      </c>
    </row>
    <row r="20" spans="1:5" ht="15" customHeight="1">
      <c r="A20" s="167" t="s">
        <v>154</v>
      </c>
      <c r="B20" s="49">
        <v>3</v>
      </c>
      <c r="C20" s="169">
        <v>25</v>
      </c>
      <c r="D20" s="169">
        <f>B20*C20*4</f>
        <v>300</v>
      </c>
      <c r="E20" s="169">
        <f>D20*12</f>
        <v>3600</v>
      </c>
    </row>
    <row r="21" spans="1:5" ht="15" customHeight="1">
      <c r="A21" s="167" t="s">
        <v>197</v>
      </c>
      <c r="B21" s="49"/>
      <c r="C21" s="167"/>
      <c r="D21" s="167"/>
      <c r="E21" s="169">
        <f>0.03*('INV. FIJA'!D7-'DEP Y AMORT.'!D3)</f>
        <v>6534</v>
      </c>
    </row>
    <row r="22" spans="1:5" ht="15" customHeight="1">
      <c r="A22" s="167" t="s">
        <v>155</v>
      </c>
      <c r="B22" s="49">
        <v>3</v>
      </c>
      <c r="C22" s="169">
        <v>100</v>
      </c>
      <c r="D22" s="169">
        <f>B22*C22</f>
        <v>300</v>
      </c>
      <c r="E22" s="169">
        <f>D22*12</f>
        <v>3600</v>
      </c>
    </row>
    <row r="23" spans="1:5" ht="15" customHeight="1">
      <c r="A23" s="167" t="s">
        <v>198</v>
      </c>
      <c r="B23" s="49"/>
      <c r="C23" s="167"/>
      <c r="D23" s="169">
        <f>400+250</f>
        <v>650</v>
      </c>
      <c r="E23" s="169">
        <f>D23*12</f>
        <v>7800</v>
      </c>
    </row>
    <row r="24" spans="1:5" ht="15" customHeight="1">
      <c r="A24" s="89"/>
      <c r="B24" s="72"/>
      <c r="C24" s="72"/>
      <c r="D24" s="72"/>
      <c r="E24" s="131"/>
    </row>
    <row r="25" spans="1:5" ht="15" customHeight="1" thickBot="1">
      <c r="A25" s="122"/>
      <c r="B25" s="136"/>
      <c r="C25" s="136"/>
      <c r="D25" s="134" t="s">
        <v>73</v>
      </c>
      <c r="E25" s="132">
        <f>SUM(E18:E23)</f>
        <v>39390</v>
      </c>
    </row>
  </sheetData>
  <mergeCells count="2">
    <mergeCell ref="A16:A17"/>
    <mergeCell ref="B16:B17"/>
  </mergeCells>
  <phoneticPr fontId="3" type="noConversion"/>
  <pageMargins left="0.75" right="0.75" top="1" bottom="1" header="0" footer="0"/>
  <pageSetup orientation="portrait" horizontalDpi="300" verticalDpi="300" r:id="rId1"/>
  <headerFooter alignWithMargins="0"/>
  <ignoredErrors>
    <ignoredError sqref="D19 E2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2:D33"/>
  <sheetViews>
    <sheetView workbookViewId="0">
      <selection activeCell="C31" sqref="C31"/>
    </sheetView>
  </sheetViews>
  <sheetFormatPr baseColWidth="10" defaultRowHeight="12.75"/>
  <cols>
    <col min="1" max="1" width="13.42578125" bestFit="1" customWidth="1"/>
    <col min="3" max="3" width="12.7109375" bestFit="1" customWidth="1"/>
    <col min="4" max="4" width="28.7109375" bestFit="1" customWidth="1"/>
  </cols>
  <sheetData>
    <row r="2" spans="1:4">
      <c r="A2" s="85" t="s">
        <v>129</v>
      </c>
    </row>
    <row r="4" spans="1:4">
      <c r="A4" t="s">
        <v>130</v>
      </c>
      <c r="B4" t="s">
        <v>131</v>
      </c>
      <c r="C4" s="46">
        <f>3*650</f>
        <v>1950</v>
      </c>
      <c r="D4" t="s">
        <v>132</v>
      </c>
    </row>
    <row r="5" spans="1:4">
      <c r="C5" s="46">
        <f>C4*4</f>
        <v>7800</v>
      </c>
      <c r="D5" t="s">
        <v>133</v>
      </c>
    </row>
    <row r="6" spans="1:4">
      <c r="C6" s="46">
        <f>C5*52</f>
        <v>405600</v>
      </c>
      <c r="D6" t="s">
        <v>134</v>
      </c>
    </row>
    <row r="8" spans="1:4">
      <c r="C8" s="63">
        <v>0.36</v>
      </c>
      <c r="D8" t="s">
        <v>213</v>
      </c>
    </row>
    <row r="10" spans="1:4">
      <c r="C10" s="64">
        <f>C6*C8</f>
        <v>146016</v>
      </c>
      <c r="D10" t="s">
        <v>136</v>
      </c>
    </row>
    <row r="13" spans="1:4">
      <c r="A13" s="85" t="s">
        <v>137</v>
      </c>
    </row>
    <row r="15" spans="1:4">
      <c r="A15" t="s">
        <v>138</v>
      </c>
      <c r="B15" t="s">
        <v>131</v>
      </c>
    </row>
    <row r="16" spans="1:4">
      <c r="A16" t="s">
        <v>138</v>
      </c>
      <c r="B16" t="s">
        <v>139</v>
      </c>
    </row>
    <row r="17" spans="1:4">
      <c r="A17" t="s">
        <v>138</v>
      </c>
      <c r="B17" t="s">
        <v>139</v>
      </c>
    </row>
    <row r="19" spans="1:4">
      <c r="C19" s="46">
        <f>650+1200+1200</f>
        <v>3050</v>
      </c>
      <c r="D19" t="s">
        <v>132</v>
      </c>
    </row>
    <row r="20" spans="1:4">
      <c r="C20" s="46">
        <f>C19*4</f>
        <v>12200</v>
      </c>
      <c r="D20" t="s">
        <v>133</v>
      </c>
    </row>
    <row r="21" spans="1:4">
      <c r="C21" s="46">
        <f>C20*52</f>
        <v>634400</v>
      </c>
      <c r="D21" t="s">
        <v>134</v>
      </c>
    </row>
    <row r="23" spans="1:4">
      <c r="C23" s="63">
        <f>+C8</f>
        <v>0.36</v>
      </c>
      <c r="D23" t="s">
        <v>135</v>
      </c>
    </row>
    <row r="25" spans="1:4">
      <c r="C25" s="64">
        <f>C23*C21</f>
        <v>228384</v>
      </c>
      <c r="D25" t="s">
        <v>140</v>
      </c>
    </row>
    <row r="28" spans="1:4">
      <c r="C28" s="61">
        <f>C25-C10</f>
        <v>82368</v>
      </c>
      <c r="D28" s="1" t="s">
        <v>141</v>
      </c>
    </row>
    <row r="29" spans="1:4">
      <c r="C29" s="46">
        <f>C21-C6</f>
        <v>228800</v>
      </c>
      <c r="D29" t="s">
        <v>142</v>
      </c>
    </row>
    <row r="30" spans="1:4">
      <c r="C30" s="63">
        <v>0.02</v>
      </c>
      <c r="D30" t="s">
        <v>143</v>
      </c>
    </row>
    <row r="31" spans="1:4">
      <c r="C31" s="63">
        <f>C29*C30</f>
        <v>4576</v>
      </c>
      <c r="D31" t="s">
        <v>144</v>
      </c>
    </row>
    <row r="33" spans="3:4">
      <c r="C33" s="86">
        <f>C28+C31</f>
        <v>86944</v>
      </c>
      <c r="D33" s="87" t="s">
        <v>145</v>
      </c>
    </row>
  </sheetData>
  <phoneticPr fontId="3" type="noConversion"/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0"/>
    </sheetView>
  </sheetViews>
  <sheetFormatPr baseColWidth="10" defaultRowHeight="11.25"/>
  <cols>
    <col min="1" max="1" width="14.28515625" style="197" customWidth="1"/>
    <col min="2" max="11" width="7.5703125" style="197" bestFit="1" customWidth="1"/>
    <col min="12" max="16384" width="11.42578125" style="197"/>
  </cols>
  <sheetData>
    <row r="1" spans="1:11">
      <c r="A1" s="194"/>
      <c r="B1" s="195">
        <v>1</v>
      </c>
      <c r="C1" s="195">
        <v>2</v>
      </c>
      <c r="D1" s="195">
        <v>3</v>
      </c>
      <c r="E1" s="195">
        <v>4</v>
      </c>
      <c r="F1" s="195">
        <v>5</v>
      </c>
      <c r="G1" s="195">
        <v>6</v>
      </c>
      <c r="H1" s="195">
        <v>7</v>
      </c>
      <c r="I1" s="195">
        <v>8</v>
      </c>
      <c r="J1" s="195">
        <v>9</v>
      </c>
      <c r="K1" s="196">
        <v>10</v>
      </c>
    </row>
    <row r="2" spans="1:11">
      <c r="A2" s="198" t="s">
        <v>177</v>
      </c>
      <c r="B2" s="199">
        <f>+'FC1'!C2</f>
        <v>86944</v>
      </c>
      <c r="C2" s="199">
        <f>+'FC1'!D2</f>
        <v>86944</v>
      </c>
      <c r="D2" s="199">
        <f>+'FC1'!E2</f>
        <v>86944</v>
      </c>
      <c r="E2" s="199">
        <f>+'FC1'!F2</f>
        <v>86944</v>
      </c>
      <c r="F2" s="199">
        <f>+'FC1'!G2</f>
        <v>86944</v>
      </c>
      <c r="G2" s="199">
        <f>+'FC1'!H2</f>
        <v>86944</v>
      </c>
      <c r="H2" s="199">
        <f>+'FC1'!I2</f>
        <v>86944</v>
      </c>
      <c r="I2" s="199">
        <f>+'FC1'!J2</f>
        <v>86944</v>
      </c>
      <c r="J2" s="199">
        <f>+'FC1'!K2</f>
        <v>86944</v>
      </c>
      <c r="K2" s="200">
        <f>+'FC1'!L2</f>
        <v>86944</v>
      </c>
    </row>
    <row r="3" spans="1:11">
      <c r="A3" s="198" t="s">
        <v>184</v>
      </c>
      <c r="B3" s="199">
        <f>-'FC1'!C3-'FC1'!C4-'FC1'!C5-'FC1'!C6-'FC1'!C7</f>
        <v>31590</v>
      </c>
      <c r="C3" s="199">
        <f>-'FC1'!D3-'FC1'!D4-'FC1'!D5-'FC1'!D6-'FC1'!D7</f>
        <v>31590</v>
      </c>
      <c r="D3" s="199">
        <f>-'FC1'!E3-'FC1'!E4-'FC1'!E5-'FC1'!E6-'FC1'!E7</f>
        <v>31590</v>
      </c>
      <c r="E3" s="199">
        <f>-'FC1'!F3-'FC1'!F4-'FC1'!F5-'FC1'!F6-'FC1'!F7</f>
        <v>31590</v>
      </c>
      <c r="F3" s="199">
        <f>-'FC1'!G3-'FC1'!G4-'FC1'!G5-'FC1'!G6-'FC1'!G7</f>
        <v>31590</v>
      </c>
      <c r="G3" s="199">
        <f>-'FC1'!H3-'FC1'!H4-'FC1'!H5-'FC1'!H6-'FC1'!H7</f>
        <v>31590</v>
      </c>
      <c r="H3" s="199">
        <f>-'FC1'!I3-'FC1'!I4-'FC1'!I5-'FC1'!I6-'FC1'!I7</f>
        <v>31590</v>
      </c>
      <c r="I3" s="199">
        <f>-'FC1'!J3-'FC1'!J4-'FC1'!J5-'FC1'!J6-'FC1'!J7</f>
        <v>31590</v>
      </c>
      <c r="J3" s="199">
        <f>-'FC1'!K3-'FC1'!K4-'FC1'!K5-'FC1'!K6-'FC1'!K7</f>
        <v>31590</v>
      </c>
      <c r="K3" s="200">
        <f>-'FC1'!L3-'FC1'!L4-'FC1'!L5-'FC1'!L6-'FC1'!L7</f>
        <v>31590</v>
      </c>
    </row>
    <row r="4" spans="1:11">
      <c r="A4" s="201"/>
      <c r="B4" s="202"/>
      <c r="C4" s="202"/>
      <c r="D4" s="202"/>
      <c r="E4" s="202"/>
      <c r="F4" s="202"/>
      <c r="G4" s="203"/>
      <c r="H4" s="203"/>
      <c r="I4" s="203"/>
      <c r="J4" s="203"/>
      <c r="K4" s="204"/>
    </row>
    <row r="5" spans="1:11">
      <c r="A5" s="205" t="s">
        <v>178</v>
      </c>
      <c r="B5" s="206">
        <f t="shared" ref="B5:K5" si="0">B2-B3</f>
        <v>55354</v>
      </c>
      <c r="C5" s="206">
        <f t="shared" si="0"/>
        <v>55354</v>
      </c>
      <c r="D5" s="206">
        <f t="shared" si="0"/>
        <v>55354</v>
      </c>
      <c r="E5" s="206">
        <f t="shared" si="0"/>
        <v>55354</v>
      </c>
      <c r="F5" s="206">
        <f t="shared" si="0"/>
        <v>55354</v>
      </c>
      <c r="G5" s="206">
        <f t="shared" si="0"/>
        <v>55354</v>
      </c>
      <c r="H5" s="206">
        <f t="shared" si="0"/>
        <v>55354</v>
      </c>
      <c r="I5" s="206">
        <f t="shared" si="0"/>
        <v>55354</v>
      </c>
      <c r="J5" s="206">
        <f t="shared" si="0"/>
        <v>55354</v>
      </c>
      <c r="K5" s="200">
        <f t="shared" si="0"/>
        <v>55354</v>
      </c>
    </row>
    <row r="6" spans="1:11">
      <c r="A6" s="201"/>
      <c r="B6" s="202"/>
      <c r="C6" s="202"/>
      <c r="D6" s="202"/>
      <c r="E6" s="202"/>
      <c r="F6" s="202"/>
      <c r="G6" s="203"/>
      <c r="H6" s="203"/>
      <c r="I6" s="203"/>
      <c r="J6" s="203"/>
      <c r="K6" s="204"/>
    </row>
    <row r="7" spans="1:11" ht="22.5">
      <c r="A7" s="198" t="s">
        <v>185</v>
      </c>
      <c r="B7" s="199">
        <f>-'FC1'!C8</f>
        <v>7800</v>
      </c>
      <c r="C7" s="199">
        <f>-'FC1'!D8</f>
        <v>7800</v>
      </c>
      <c r="D7" s="199">
        <f>-'FC1'!E8</f>
        <v>7800</v>
      </c>
      <c r="E7" s="199">
        <f>-'FC1'!F8</f>
        <v>7800</v>
      </c>
      <c r="F7" s="199">
        <f>-'FC1'!G8</f>
        <v>7800</v>
      </c>
      <c r="G7" s="199">
        <f>-'FC1'!H8</f>
        <v>7800</v>
      </c>
      <c r="H7" s="199">
        <f>-'FC1'!I8</f>
        <v>7800</v>
      </c>
      <c r="I7" s="199">
        <f>-'FC1'!J8</f>
        <v>7800</v>
      </c>
      <c r="J7" s="199">
        <f>-'FC1'!K8</f>
        <v>7800</v>
      </c>
      <c r="K7" s="200">
        <f>-'FC1'!L8</f>
        <v>7800</v>
      </c>
    </row>
    <row r="8" spans="1:11" ht="22.5">
      <c r="A8" s="198" t="s">
        <v>186</v>
      </c>
      <c r="B8" s="199">
        <f>-'FC1'!C11</f>
        <v>13064.094757337845</v>
      </c>
      <c r="C8" s="199">
        <f>-'FC1'!D11</f>
        <v>10690.070873981751</v>
      </c>
      <c r="D8" s="199">
        <f>-'FC1'!E11</f>
        <v>8086.170899423194</v>
      </c>
      <c r="E8" s="199">
        <f>-'FC1'!F11</f>
        <v>5230.1359938598443</v>
      </c>
      <c r="F8" s="199">
        <f>-'FC1'!G11</f>
        <v>2097.5520000452966</v>
      </c>
      <c r="G8" s="207">
        <v>0</v>
      </c>
      <c r="H8" s="207">
        <v>0</v>
      </c>
      <c r="I8" s="207">
        <v>0</v>
      </c>
      <c r="J8" s="207">
        <v>0</v>
      </c>
      <c r="K8" s="208">
        <v>0</v>
      </c>
    </row>
    <row r="9" spans="1:11" ht="22.5">
      <c r="A9" s="198" t="s">
        <v>187</v>
      </c>
      <c r="B9" s="199">
        <f>-'FC1'!C9-'FC1'!C10</f>
        <v>25283.333333333332</v>
      </c>
      <c r="C9" s="199">
        <f>-'FC1'!D9-'FC1'!D10</f>
        <v>25283.333333333332</v>
      </c>
      <c r="D9" s="199">
        <f>-'FC1'!E9-'FC1'!E10</f>
        <v>25283.333333333332</v>
      </c>
      <c r="E9" s="199">
        <f>-'FC1'!F9-'FC1'!F10</f>
        <v>24850</v>
      </c>
      <c r="F9" s="199">
        <f>-'FC1'!G9-'FC1'!G10</f>
        <v>24850</v>
      </c>
      <c r="G9" s="199">
        <f>-'FC1'!H9-'FC1'!H10</f>
        <v>24470</v>
      </c>
      <c r="H9" s="199">
        <f>-'FC1'!I9-'FC1'!I10</f>
        <v>24470</v>
      </c>
      <c r="I9" s="199">
        <f>-'FC1'!J9-'FC1'!J10</f>
        <v>24470</v>
      </c>
      <c r="J9" s="199">
        <f>-'FC1'!K9-'FC1'!K10</f>
        <v>24470</v>
      </c>
      <c r="K9" s="200">
        <f>-'FC1'!L9-'FC1'!L10</f>
        <v>24470</v>
      </c>
    </row>
    <row r="10" spans="1:11">
      <c r="A10" s="201"/>
      <c r="B10" s="202"/>
      <c r="C10" s="202"/>
      <c r="D10" s="202"/>
      <c r="E10" s="202"/>
      <c r="F10" s="202"/>
      <c r="G10" s="203"/>
      <c r="H10" s="203"/>
      <c r="I10" s="203"/>
      <c r="J10" s="203"/>
      <c r="K10" s="204"/>
    </row>
    <row r="11" spans="1:11" ht="22.5">
      <c r="A11" s="198" t="s">
        <v>179</v>
      </c>
      <c r="B11" s="199">
        <f t="shared" ref="B11:K11" si="1">B5-B7-B8-B9</f>
        <v>9206.5719093288244</v>
      </c>
      <c r="C11" s="199">
        <f t="shared" si="1"/>
        <v>11580.595792684919</v>
      </c>
      <c r="D11" s="199">
        <f t="shared" si="1"/>
        <v>14184.495767243472</v>
      </c>
      <c r="E11" s="199">
        <f t="shared" si="1"/>
        <v>17473.864006140153</v>
      </c>
      <c r="F11" s="199">
        <f t="shared" si="1"/>
        <v>20606.447999954704</v>
      </c>
      <c r="G11" s="199">
        <f t="shared" si="1"/>
        <v>23084</v>
      </c>
      <c r="H11" s="199">
        <f t="shared" si="1"/>
        <v>23084</v>
      </c>
      <c r="I11" s="199">
        <f t="shared" si="1"/>
        <v>23084</v>
      </c>
      <c r="J11" s="199">
        <f t="shared" si="1"/>
        <v>23084</v>
      </c>
      <c r="K11" s="200">
        <f t="shared" si="1"/>
        <v>23084</v>
      </c>
    </row>
    <row r="12" spans="1:11" ht="33.75">
      <c r="A12" s="198" t="s">
        <v>188</v>
      </c>
      <c r="B12" s="199">
        <f t="shared" ref="B12:K12" si="2">0.15*B11</f>
        <v>1380.9857863993236</v>
      </c>
      <c r="C12" s="199">
        <f t="shared" si="2"/>
        <v>1737.0893689027378</v>
      </c>
      <c r="D12" s="199">
        <f t="shared" si="2"/>
        <v>2127.6743650865205</v>
      </c>
      <c r="E12" s="199">
        <f t="shared" si="2"/>
        <v>2621.079600921023</v>
      </c>
      <c r="F12" s="199">
        <f t="shared" si="2"/>
        <v>3090.9671999932057</v>
      </c>
      <c r="G12" s="199">
        <f t="shared" si="2"/>
        <v>3462.6</v>
      </c>
      <c r="H12" s="199">
        <f t="shared" si="2"/>
        <v>3462.6</v>
      </c>
      <c r="I12" s="199">
        <f t="shared" si="2"/>
        <v>3462.6</v>
      </c>
      <c r="J12" s="199">
        <f t="shared" si="2"/>
        <v>3462.6</v>
      </c>
      <c r="K12" s="200">
        <f t="shared" si="2"/>
        <v>3462.6</v>
      </c>
    </row>
    <row r="13" spans="1:11" ht="22.5">
      <c r="A13" s="198" t="s">
        <v>181</v>
      </c>
      <c r="B13" s="199">
        <f t="shared" ref="B13:K13" si="3">B11-B12</f>
        <v>7825.5861229295006</v>
      </c>
      <c r="C13" s="199">
        <f t="shared" si="3"/>
        <v>9843.5064237821807</v>
      </c>
      <c r="D13" s="199">
        <f t="shared" si="3"/>
        <v>12056.821402156951</v>
      </c>
      <c r="E13" s="199">
        <f t="shared" si="3"/>
        <v>14852.78440521913</v>
      </c>
      <c r="F13" s="199">
        <f t="shared" si="3"/>
        <v>17515.480799961497</v>
      </c>
      <c r="G13" s="199">
        <f t="shared" si="3"/>
        <v>19621.400000000001</v>
      </c>
      <c r="H13" s="199">
        <f t="shared" si="3"/>
        <v>19621.400000000001</v>
      </c>
      <c r="I13" s="199">
        <f t="shared" si="3"/>
        <v>19621.400000000001</v>
      </c>
      <c r="J13" s="199">
        <f t="shared" si="3"/>
        <v>19621.400000000001</v>
      </c>
      <c r="K13" s="200">
        <f t="shared" si="3"/>
        <v>19621.400000000001</v>
      </c>
    </row>
    <row r="14" spans="1:11" ht="22.5">
      <c r="A14" s="198" t="s">
        <v>189</v>
      </c>
      <c r="B14" s="199">
        <f t="shared" ref="B14:K14" si="4">0.25*B13</f>
        <v>1956.3965307323751</v>
      </c>
      <c r="C14" s="199">
        <f t="shared" si="4"/>
        <v>2460.8766059455452</v>
      </c>
      <c r="D14" s="199">
        <f t="shared" si="4"/>
        <v>3014.2053505392378</v>
      </c>
      <c r="E14" s="199">
        <f t="shared" si="4"/>
        <v>3713.1961013047826</v>
      </c>
      <c r="F14" s="199">
        <f t="shared" si="4"/>
        <v>4378.8701999903742</v>
      </c>
      <c r="G14" s="199">
        <f t="shared" si="4"/>
        <v>4905.3500000000004</v>
      </c>
      <c r="H14" s="199">
        <f t="shared" si="4"/>
        <v>4905.3500000000004</v>
      </c>
      <c r="I14" s="199">
        <f t="shared" si="4"/>
        <v>4905.3500000000004</v>
      </c>
      <c r="J14" s="199">
        <f t="shared" si="4"/>
        <v>4905.3500000000004</v>
      </c>
      <c r="K14" s="200">
        <f t="shared" si="4"/>
        <v>4905.3500000000004</v>
      </c>
    </row>
    <row r="15" spans="1:11">
      <c r="A15" s="201"/>
      <c r="B15" s="202"/>
      <c r="C15" s="202"/>
      <c r="D15" s="202"/>
      <c r="E15" s="202"/>
      <c r="F15" s="202"/>
      <c r="G15" s="203"/>
      <c r="H15" s="203"/>
      <c r="I15" s="203"/>
      <c r="J15" s="203"/>
      <c r="K15" s="204"/>
    </row>
    <row r="16" spans="1:11">
      <c r="A16" s="209" t="s">
        <v>176</v>
      </c>
      <c r="B16" s="210">
        <f t="shared" ref="B16:K16" si="5">B13-B14</f>
        <v>5869.1895921971254</v>
      </c>
      <c r="C16" s="210">
        <f t="shared" si="5"/>
        <v>7382.629817836636</v>
      </c>
      <c r="D16" s="210">
        <f t="shared" si="5"/>
        <v>9042.6160516177133</v>
      </c>
      <c r="E16" s="210">
        <f t="shared" si="5"/>
        <v>11139.588303914348</v>
      </c>
      <c r="F16" s="210">
        <f t="shared" si="5"/>
        <v>13136.610599971122</v>
      </c>
      <c r="G16" s="210">
        <f t="shared" si="5"/>
        <v>14716.050000000001</v>
      </c>
      <c r="H16" s="210">
        <f t="shared" si="5"/>
        <v>14716.050000000001</v>
      </c>
      <c r="I16" s="210">
        <f t="shared" si="5"/>
        <v>14716.050000000001</v>
      </c>
      <c r="J16" s="210">
        <f t="shared" si="5"/>
        <v>14716.050000000001</v>
      </c>
      <c r="K16" s="211">
        <f t="shared" si="5"/>
        <v>14716.050000000001</v>
      </c>
    </row>
    <row r="17" spans="1:11">
      <c r="A17" s="201"/>
      <c r="B17" s="202"/>
      <c r="C17" s="202"/>
      <c r="D17" s="202"/>
      <c r="E17" s="202"/>
      <c r="F17" s="202"/>
      <c r="G17" s="203"/>
      <c r="H17" s="203"/>
      <c r="I17" s="203"/>
      <c r="J17" s="203"/>
      <c r="K17" s="204"/>
    </row>
    <row r="18" spans="1:11" ht="22.5">
      <c r="A18" s="198" t="s">
        <v>190</v>
      </c>
      <c r="B18" s="199">
        <f t="shared" ref="B18:K18" si="6">0.1*B16</f>
        <v>586.91895921971252</v>
      </c>
      <c r="C18" s="199">
        <f t="shared" si="6"/>
        <v>738.26298178366369</v>
      </c>
      <c r="D18" s="199">
        <f t="shared" si="6"/>
        <v>904.2616051617714</v>
      </c>
      <c r="E18" s="199">
        <f t="shared" si="6"/>
        <v>1113.958830391435</v>
      </c>
      <c r="F18" s="199">
        <f t="shared" si="6"/>
        <v>1313.6610599971123</v>
      </c>
      <c r="G18" s="199">
        <f t="shared" si="6"/>
        <v>1471.6050000000002</v>
      </c>
      <c r="H18" s="199">
        <f t="shared" si="6"/>
        <v>1471.6050000000002</v>
      </c>
      <c r="I18" s="199">
        <f t="shared" si="6"/>
        <v>1471.6050000000002</v>
      </c>
      <c r="J18" s="199">
        <f t="shared" si="6"/>
        <v>1471.6050000000002</v>
      </c>
      <c r="K18" s="200">
        <f t="shared" si="6"/>
        <v>1471.6050000000002</v>
      </c>
    </row>
    <row r="19" spans="1:11" ht="22.5">
      <c r="A19" s="198" t="s">
        <v>182</v>
      </c>
      <c r="B19" s="199">
        <f t="shared" ref="B19:K19" si="7">B16-B18</f>
        <v>5282.2706329774128</v>
      </c>
      <c r="C19" s="199">
        <f t="shared" si="7"/>
        <v>6644.3668360529718</v>
      </c>
      <c r="D19" s="199">
        <f t="shared" si="7"/>
        <v>8138.3544464559418</v>
      </c>
      <c r="E19" s="199">
        <f t="shared" si="7"/>
        <v>10025.629473522913</v>
      </c>
      <c r="F19" s="199">
        <f t="shared" si="7"/>
        <v>11822.94953997401</v>
      </c>
      <c r="G19" s="199">
        <f t="shared" si="7"/>
        <v>13244.445000000002</v>
      </c>
      <c r="H19" s="199">
        <f t="shared" si="7"/>
        <v>13244.445000000002</v>
      </c>
      <c r="I19" s="199">
        <f t="shared" si="7"/>
        <v>13244.445000000002</v>
      </c>
      <c r="J19" s="199">
        <f t="shared" si="7"/>
        <v>13244.445000000002</v>
      </c>
      <c r="K19" s="200">
        <f t="shared" si="7"/>
        <v>13244.445000000002</v>
      </c>
    </row>
    <row r="20" spans="1:11" ht="23.25" thickBot="1">
      <c r="A20" s="212" t="s">
        <v>183</v>
      </c>
      <c r="B20" s="213">
        <f t="shared" ref="B20:K20" si="8">0.4*B19</f>
        <v>2112.9082531909653</v>
      </c>
      <c r="C20" s="213">
        <f t="shared" si="8"/>
        <v>2657.7467344211891</v>
      </c>
      <c r="D20" s="213">
        <f t="shared" si="8"/>
        <v>3255.3417785823767</v>
      </c>
      <c r="E20" s="213">
        <f t="shared" si="8"/>
        <v>4010.2517894091652</v>
      </c>
      <c r="F20" s="213">
        <f t="shared" si="8"/>
        <v>4729.1798159896043</v>
      </c>
      <c r="G20" s="213">
        <f t="shared" si="8"/>
        <v>5297.7780000000012</v>
      </c>
      <c r="H20" s="213">
        <f t="shared" si="8"/>
        <v>5297.7780000000012</v>
      </c>
      <c r="I20" s="213">
        <f t="shared" si="8"/>
        <v>5297.7780000000012</v>
      </c>
      <c r="J20" s="213">
        <f t="shared" si="8"/>
        <v>5297.7780000000012</v>
      </c>
      <c r="K20" s="214">
        <f t="shared" si="8"/>
        <v>5297.7780000000012</v>
      </c>
    </row>
  </sheetData>
  <phoneticPr fontId="3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44"/>
  <sheetViews>
    <sheetView topLeftCell="A11" workbookViewId="0">
      <selection activeCell="C33" sqref="C33"/>
    </sheetView>
  </sheetViews>
  <sheetFormatPr baseColWidth="10" defaultRowHeight="11.25"/>
  <cols>
    <col min="1" max="1" width="10.42578125" style="197" customWidth="1"/>
    <col min="2" max="2" width="7.7109375" style="197" customWidth="1"/>
    <col min="3" max="3" width="8.85546875" style="197" bestFit="1" customWidth="1"/>
    <col min="4" max="12" width="7.42578125" style="197" customWidth="1"/>
    <col min="13" max="16384" width="11.42578125" style="197"/>
  </cols>
  <sheetData>
    <row r="1" spans="1:12" ht="12" customHeight="1">
      <c r="A1" s="238"/>
      <c r="B1" s="195">
        <v>0</v>
      </c>
      <c r="C1" s="195">
        <v>1</v>
      </c>
      <c r="D1" s="195">
        <v>2</v>
      </c>
      <c r="E1" s="195">
        <v>3</v>
      </c>
      <c r="F1" s="195">
        <v>4</v>
      </c>
      <c r="G1" s="195">
        <v>5</v>
      </c>
      <c r="H1" s="195">
        <v>6</v>
      </c>
      <c r="I1" s="215">
        <v>7</v>
      </c>
      <c r="J1" s="215">
        <v>8</v>
      </c>
      <c r="K1" s="195">
        <v>9</v>
      </c>
      <c r="L1" s="196">
        <v>10</v>
      </c>
    </row>
    <row r="2" spans="1:12" ht="19.5" customHeight="1">
      <c r="A2" s="239" t="s">
        <v>144</v>
      </c>
      <c r="B2" s="207"/>
      <c r="C2" s="234">
        <f>+INGRESOS!C33</f>
        <v>86944</v>
      </c>
      <c r="D2" s="234">
        <f t="shared" ref="D2:L4" si="0">+C2</f>
        <v>86944</v>
      </c>
      <c r="E2" s="234">
        <f t="shared" si="0"/>
        <v>86944</v>
      </c>
      <c r="F2" s="234">
        <f t="shared" si="0"/>
        <v>86944</v>
      </c>
      <c r="G2" s="234">
        <f t="shared" si="0"/>
        <v>86944</v>
      </c>
      <c r="H2" s="235">
        <f>+G2</f>
        <v>86944</v>
      </c>
      <c r="I2" s="235">
        <f>+H2</f>
        <v>86944</v>
      </c>
      <c r="J2" s="235">
        <f>+I2</f>
        <v>86944</v>
      </c>
      <c r="K2" s="235">
        <f>+J2</f>
        <v>86944</v>
      </c>
      <c r="L2" s="235">
        <f>+K2</f>
        <v>86944</v>
      </c>
    </row>
    <row r="3" spans="1:12" ht="18.75">
      <c r="A3" s="239" t="s">
        <v>157</v>
      </c>
      <c r="B3" s="207"/>
      <c r="C3" s="234">
        <f>-'COSTOS&amp;GASTOS'!E18</f>
        <v>-14400</v>
      </c>
      <c r="D3" s="234">
        <f t="shared" si="0"/>
        <v>-14400</v>
      </c>
      <c r="E3" s="234">
        <f t="shared" si="0"/>
        <v>-14400</v>
      </c>
      <c r="F3" s="234">
        <f t="shared" si="0"/>
        <v>-14400</v>
      </c>
      <c r="G3" s="234">
        <f t="shared" si="0"/>
        <v>-14400</v>
      </c>
      <c r="H3" s="234">
        <f t="shared" si="0"/>
        <v>-14400</v>
      </c>
      <c r="I3" s="234">
        <f t="shared" si="0"/>
        <v>-14400</v>
      </c>
      <c r="J3" s="234">
        <f t="shared" si="0"/>
        <v>-14400</v>
      </c>
      <c r="K3" s="234">
        <f t="shared" si="0"/>
        <v>-14400</v>
      </c>
      <c r="L3" s="234">
        <f t="shared" si="0"/>
        <v>-14400</v>
      </c>
    </row>
    <row r="4" spans="1:12" ht="27.75">
      <c r="A4" s="239" t="s">
        <v>162</v>
      </c>
      <c r="B4" s="207"/>
      <c r="C4" s="234">
        <f>-'COSTOS&amp;GASTOS'!E22</f>
        <v>-3600</v>
      </c>
      <c r="D4" s="234">
        <f t="shared" si="0"/>
        <v>-3600</v>
      </c>
      <c r="E4" s="234">
        <f t="shared" si="0"/>
        <v>-3600</v>
      </c>
      <c r="F4" s="234">
        <f t="shared" si="0"/>
        <v>-3600</v>
      </c>
      <c r="G4" s="234">
        <f t="shared" ref="G4:L4" si="1">+F4</f>
        <v>-3600</v>
      </c>
      <c r="H4" s="234">
        <f t="shared" si="1"/>
        <v>-3600</v>
      </c>
      <c r="I4" s="234">
        <f t="shared" si="1"/>
        <v>-3600</v>
      </c>
      <c r="J4" s="234">
        <f t="shared" si="1"/>
        <v>-3600</v>
      </c>
      <c r="K4" s="234">
        <f t="shared" si="1"/>
        <v>-3600</v>
      </c>
      <c r="L4" s="234">
        <f t="shared" si="1"/>
        <v>-3600</v>
      </c>
    </row>
    <row r="5" spans="1:12">
      <c r="A5" s="239" t="s">
        <v>159</v>
      </c>
      <c r="B5" s="207"/>
      <c r="C5" s="234">
        <f>-'COSTOS&amp;GASTOS'!E19</f>
        <v>-3456</v>
      </c>
      <c r="D5" s="234">
        <f>+C5</f>
        <v>-3456</v>
      </c>
      <c r="E5" s="234">
        <f t="shared" ref="E5:L8" si="2">+D5</f>
        <v>-3456</v>
      </c>
      <c r="F5" s="234">
        <f t="shared" si="2"/>
        <v>-3456</v>
      </c>
      <c r="G5" s="234">
        <f t="shared" si="2"/>
        <v>-3456</v>
      </c>
      <c r="H5" s="234">
        <f t="shared" si="2"/>
        <v>-3456</v>
      </c>
      <c r="I5" s="234">
        <f t="shared" si="2"/>
        <v>-3456</v>
      </c>
      <c r="J5" s="234">
        <f t="shared" si="2"/>
        <v>-3456</v>
      </c>
      <c r="K5" s="234">
        <f t="shared" si="2"/>
        <v>-3456</v>
      </c>
      <c r="L5" s="234">
        <f t="shared" si="2"/>
        <v>-3456</v>
      </c>
    </row>
    <row r="6" spans="1:12" ht="18.75">
      <c r="A6" s="239" t="s">
        <v>158</v>
      </c>
      <c r="B6" s="207"/>
      <c r="C6" s="234">
        <f>-'COSTOS&amp;GASTOS'!E20</f>
        <v>-3600</v>
      </c>
      <c r="D6" s="234">
        <f>+C6</f>
        <v>-3600</v>
      </c>
      <c r="E6" s="234">
        <f t="shared" si="2"/>
        <v>-3600</v>
      </c>
      <c r="F6" s="234">
        <f t="shared" si="2"/>
        <v>-3600</v>
      </c>
      <c r="G6" s="234">
        <f t="shared" si="2"/>
        <v>-3600</v>
      </c>
      <c r="H6" s="234">
        <f t="shared" si="2"/>
        <v>-3600</v>
      </c>
      <c r="I6" s="234">
        <f t="shared" si="2"/>
        <v>-3600</v>
      </c>
      <c r="J6" s="234">
        <f t="shared" si="2"/>
        <v>-3600</v>
      </c>
      <c r="K6" s="234">
        <f t="shared" si="2"/>
        <v>-3600</v>
      </c>
      <c r="L6" s="234">
        <f t="shared" si="2"/>
        <v>-3600</v>
      </c>
    </row>
    <row r="7" spans="1:12" ht="27.75">
      <c r="A7" s="239" t="s">
        <v>161</v>
      </c>
      <c r="B7" s="207"/>
      <c r="C7" s="234">
        <f>-'COSTOS&amp;GASTOS'!E21</f>
        <v>-6534</v>
      </c>
      <c r="D7" s="234">
        <f>+C7</f>
        <v>-6534</v>
      </c>
      <c r="E7" s="234">
        <f t="shared" si="2"/>
        <v>-6534</v>
      </c>
      <c r="F7" s="234">
        <f t="shared" si="2"/>
        <v>-6534</v>
      </c>
      <c r="G7" s="234">
        <f t="shared" si="2"/>
        <v>-6534</v>
      </c>
      <c r="H7" s="234">
        <f t="shared" si="2"/>
        <v>-6534</v>
      </c>
      <c r="I7" s="234">
        <f t="shared" si="2"/>
        <v>-6534</v>
      </c>
      <c r="J7" s="234">
        <f t="shared" si="2"/>
        <v>-6534</v>
      </c>
      <c r="K7" s="234">
        <f t="shared" si="2"/>
        <v>-6534</v>
      </c>
      <c r="L7" s="234">
        <f t="shared" si="2"/>
        <v>-6534</v>
      </c>
    </row>
    <row r="8" spans="1:12" ht="18.75">
      <c r="A8" s="239" t="s">
        <v>124</v>
      </c>
      <c r="B8" s="207"/>
      <c r="C8" s="234">
        <f>-'COSTOS&amp;GASTOS'!E23</f>
        <v>-7800</v>
      </c>
      <c r="D8" s="234">
        <f>+C8</f>
        <v>-7800</v>
      </c>
      <c r="E8" s="234">
        <f t="shared" si="2"/>
        <v>-7800</v>
      </c>
      <c r="F8" s="234">
        <f t="shared" si="2"/>
        <v>-7800</v>
      </c>
      <c r="G8" s="234">
        <f t="shared" si="2"/>
        <v>-7800</v>
      </c>
      <c r="H8" s="234">
        <f t="shared" si="2"/>
        <v>-7800</v>
      </c>
      <c r="I8" s="234">
        <f t="shared" si="2"/>
        <v>-7800</v>
      </c>
      <c r="J8" s="234">
        <f t="shared" si="2"/>
        <v>-7800</v>
      </c>
      <c r="K8" s="234">
        <f t="shared" si="2"/>
        <v>-7800</v>
      </c>
      <c r="L8" s="234">
        <f t="shared" si="2"/>
        <v>-7800</v>
      </c>
    </row>
    <row r="9" spans="1:12">
      <c r="A9" s="239" t="s">
        <v>165</v>
      </c>
      <c r="B9" s="207"/>
      <c r="C9" s="234">
        <f>-'DEP Y AMORT.'!D9+'DEP Y AMORT.'!D7</f>
        <v>-24903.333333333332</v>
      </c>
      <c r="D9" s="234">
        <f>-'DEP Y AMORT.'!E9+'DEP Y AMORT.'!E7</f>
        <v>-24903.333333333332</v>
      </c>
      <c r="E9" s="234">
        <f>-'DEP Y AMORT.'!F9+'DEP Y AMORT.'!F7</f>
        <v>-24903.333333333332</v>
      </c>
      <c r="F9" s="234">
        <f>-'DEP Y AMORT.'!G9+'DEP Y AMORT.'!G7</f>
        <v>-24470</v>
      </c>
      <c r="G9" s="234">
        <f t="shared" ref="G9:L9" si="3">+F9</f>
        <v>-24470</v>
      </c>
      <c r="H9" s="234">
        <f t="shared" si="3"/>
        <v>-24470</v>
      </c>
      <c r="I9" s="234">
        <f t="shared" si="3"/>
        <v>-24470</v>
      </c>
      <c r="J9" s="234">
        <f t="shared" si="3"/>
        <v>-24470</v>
      </c>
      <c r="K9" s="234">
        <f t="shared" si="3"/>
        <v>-24470</v>
      </c>
      <c r="L9" s="234">
        <f t="shared" si="3"/>
        <v>-24470</v>
      </c>
    </row>
    <row r="10" spans="1:12">
      <c r="A10" s="239" t="s">
        <v>166</v>
      </c>
      <c r="B10" s="207"/>
      <c r="C10" s="234">
        <f>-'DEP Y AMORT.'!D7</f>
        <v>-380</v>
      </c>
      <c r="D10" s="234">
        <f>-'DEP Y AMORT.'!E7</f>
        <v>-380</v>
      </c>
      <c r="E10" s="234">
        <f>-'DEP Y AMORT.'!F7</f>
        <v>-380</v>
      </c>
      <c r="F10" s="234">
        <f>-'DEP Y AMORT.'!G7</f>
        <v>-380</v>
      </c>
      <c r="G10" s="234">
        <f>+F10</f>
        <v>-380</v>
      </c>
      <c r="H10" s="234">
        <v>0</v>
      </c>
      <c r="I10" s="234">
        <v>0</v>
      </c>
      <c r="J10" s="234">
        <v>0</v>
      </c>
      <c r="K10" s="234">
        <v>0</v>
      </c>
      <c r="L10" s="234">
        <f>+K10</f>
        <v>0</v>
      </c>
    </row>
    <row r="11" spans="1:12" ht="18.75">
      <c r="A11" s="239" t="s">
        <v>167</v>
      </c>
      <c r="B11" s="207"/>
      <c r="C11" s="234">
        <f>-'TABLA AMORT.'!C9-'TABLA AMORT.'!C10-'TABLA AMORT.'!C11-'TABLA AMORT.'!C12</f>
        <v>-13064.094757337845</v>
      </c>
      <c r="D11" s="234">
        <f>-'TABLA AMORT.'!C13-'TABLA AMORT.'!C14-'TABLA AMORT.'!C15-'TABLA AMORT.'!C16</f>
        <v>-10690.070873981751</v>
      </c>
      <c r="E11" s="234">
        <f>-'TABLA AMORT.'!C17-'TABLA AMORT.'!C18-'TABLA AMORT.'!C19-'TABLA AMORT.'!C20</f>
        <v>-8086.170899423194</v>
      </c>
      <c r="F11" s="234">
        <f>-'TABLA AMORT.'!C21-'TABLA AMORT.'!C22-'TABLA AMORT.'!C23-'TABLA AMORT.'!C24</f>
        <v>-5230.1359938598443</v>
      </c>
      <c r="G11" s="234">
        <f>-'TABLA AMORT.'!C25-'TABLA AMORT.'!C26-'TABLA AMORT.'!C27-'TABLA AMORT.'!C28</f>
        <v>-2097.5520000452966</v>
      </c>
      <c r="H11" s="234">
        <v>0</v>
      </c>
      <c r="I11" s="234">
        <v>0</v>
      </c>
      <c r="J11" s="234">
        <v>0</v>
      </c>
      <c r="K11" s="234">
        <v>0</v>
      </c>
      <c r="L11" s="234">
        <f>+K11</f>
        <v>0</v>
      </c>
    </row>
    <row r="12" spans="1:12" ht="18.75">
      <c r="A12" s="239" t="s">
        <v>175</v>
      </c>
      <c r="B12" s="207"/>
      <c r="C12" s="234">
        <f>SUM(C2:C11)</f>
        <v>9206.5719093288226</v>
      </c>
      <c r="D12" s="234">
        <f>SUM(D2:D11)</f>
        <v>11580.595792684917</v>
      </c>
      <c r="E12" s="234">
        <f>SUM(E2:E11)</f>
        <v>14184.495767243474</v>
      </c>
      <c r="F12" s="234">
        <f>SUM(F2:F11)</f>
        <v>17473.864006140157</v>
      </c>
      <c r="G12" s="234">
        <f t="shared" ref="G12:L12" si="4">SUM(G2:G11)</f>
        <v>20606.447999954704</v>
      </c>
      <c r="H12" s="234">
        <f t="shared" si="4"/>
        <v>23084</v>
      </c>
      <c r="I12" s="234">
        <f t="shared" si="4"/>
        <v>23084</v>
      </c>
      <c r="J12" s="234">
        <f t="shared" si="4"/>
        <v>23084</v>
      </c>
      <c r="K12" s="234">
        <f t="shared" si="4"/>
        <v>23084</v>
      </c>
      <c r="L12" s="234">
        <f t="shared" si="4"/>
        <v>23084</v>
      </c>
    </row>
    <row r="13" spans="1:12" ht="27.75">
      <c r="A13" s="239" t="s">
        <v>180</v>
      </c>
      <c r="B13" s="207"/>
      <c r="C13" s="234">
        <f>-0.15*C12</f>
        <v>-1380.9857863993234</v>
      </c>
      <c r="D13" s="234">
        <f>-0.15*D12</f>
        <v>-1737.0893689027375</v>
      </c>
      <c r="E13" s="234">
        <f>-0.15*E12</f>
        <v>-2127.674365086521</v>
      </c>
      <c r="F13" s="234">
        <f>-0.15*F12</f>
        <v>-2621.0796009210235</v>
      </c>
      <c r="G13" s="234">
        <f t="shared" ref="G13:L13" si="5">-0.15*G12</f>
        <v>-3090.9671999932057</v>
      </c>
      <c r="H13" s="234">
        <f t="shared" si="5"/>
        <v>-3462.6</v>
      </c>
      <c r="I13" s="234">
        <f t="shared" si="5"/>
        <v>-3462.6</v>
      </c>
      <c r="J13" s="234">
        <f t="shared" si="5"/>
        <v>-3462.6</v>
      </c>
      <c r="K13" s="234">
        <f t="shared" si="5"/>
        <v>-3462.6</v>
      </c>
      <c r="L13" s="234">
        <f t="shared" si="5"/>
        <v>-3462.6</v>
      </c>
    </row>
    <row r="14" spans="1:12" ht="27.75">
      <c r="A14" s="239" t="s">
        <v>163</v>
      </c>
      <c r="B14" s="207"/>
      <c r="C14" s="234">
        <f>C12+C13</f>
        <v>7825.5861229294987</v>
      </c>
      <c r="D14" s="234">
        <f>D12+D13</f>
        <v>9843.5064237821789</v>
      </c>
      <c r="E14" s="234">
        <f>E12+E13</f>
        <v>12056.821402156953</v>
      </c>
      <c r="F14" s="234">
        <f>F12+F13</f>
        <v>14852.784405219132</v>
      </c>
      <c r="G14" s="234">
        <f t="shared" ref="G14:L14" si="6">G12+G13</f>
        <v>17515.480799961497</v>
      </c>
      <c r="H14" s="234">
        <f t="shared" si="6"/>
        <v>19621.400000000001</v>
      </c>
      <c r="I14" s="234">
        <f t="shared" si="6"/>
        <v>19621.400000000001</v>
      </c>
      <c r="J14" s="234">
        <f t="shared" si="6"/>
        <v>19621.400000000001</v>
      </c>
      <c r="K14" s="234">
        <f t="shared" si="6"/>
        <v>19621.400000000001</v>
      </c>
      <c r="L14" s="234">
        <f t="shared" si="6"/>
        <v>19621.400000000001</v>
      </c>
    </row>
    <row r="15" spans="1:12" ht="18.75">
      <c r="A15" s="239" t="s">
        <v>164</v>
      </c>
      <c r="B15" s="207"/>
      <c r="C15" s="234">
        <f>-0.25*C14</f>
        <v>-1956.3965307323747</v>
      </c>
      <c r="D15" s="234">
        <f>-0.25*D14</f>
        <v>-2460.8766059455447</v>
      </c>
      <c r="E15" s="234">
        <f>-0.25*E14</f>
        <v>-3014.2053505392382</v>
      </c>
      <c r="F15" s="234">
        <f>-0.25*F14</f>
        <v>-3713.196101304783</v>
      </c>
      <c r="G15" s="234">
        <f t="shared" ref="G15:L15" si="7">-0.25*G14</f>
        <v>-4378.8701999903742</v>
      </c>
      <c r="H15" s="234">
        <f t="shared" si="7"/>
        <v>-4905.3500000000004</v>
      </c>
      <c r="I15" s="234">
        <f t="shared" si="7"/>
        <v>-4905.3500000000004</v>
      </c>
      <c r="J15" s="234">
        <f t="shared" si="7"/>
        <v>-4905.3500000000004</v>
      </c>
      <c r="K15" s="234">
        <f t="shared" si="7"/>
        <v>-4905.3500000000004</v>
      </c>
      <c r="L15" s="234">
        <f t="shared" si="7"/>
        <v>-4905.3500000000004</v>
      </c>
    </row>
    <row r="16" spans="1:12" ht="18.75">
      <c r="A16" s="239" t="s">
        <v>176</v>
      </c>
      <c r="B16" s="207"/>
      <c r="C16" s="234">
        <f>SUM(C14:C15)</f>
        <v>5869.1895921971245</v>
      </c>
      <c r="D16" s="234">
        <f>SUM(D14:D15)</f>
        <v>7382.6298178366342</v>
      </c>
      <c r="E16" s="234">
        <f>SUM(E14:E15)</f>
        <v>9042.6160516177151</v>
      </c>
      <c r="F16" s="234">
        <f>SUM(F14:F15)</f>
        <v>11139.588303914348</v>
      </c>
      <c r="G16" s="234">
        <f t="shared" ref="G16:L16" si="8">SUM(G14:G15)</f>
        <v>13136.610599971122</v>
      </c>
      <c r="H16" s="234">
        <f t="shared" si="8"/>
        <v>14716.050000000001</v>
      </c>
      <c r="I16" s="234">
        <f t="shared" si="8"/>
        <v>14716.050000000001</v>
      </c>
      <c r="J16" s="234">
        <f t="shared" si="8"/>
        <v>14716.050000000001</v>
      </c>
      <c r="K16" s="234">
        <f t="shared" si="8"/>
        <v>14716.050000000001</v>
      </c>
      <c r="L16" s="234">
        <f t="shared" si="8"/>
        <v>14716.050000000001</v>
      </c>
    </row>
    <row r="17" spans="1:20">
      <c r="A17" s="239" t="s">
        <v>165</v>
      </c>
      <c r="B17" s="207"/>
      <c r="C17" s="234">
        <f t="shared" ref="C17:F18" si="9">-C9</f>
        <v>24903.333333333332</v>
      </c>
      <c r="D17" s="234">
        <f t="shared" si="9"/>
        <v>24903.333333333332</v>
      </c>
      <c r="E17" s="234">
        <f t="shared" si="9"/>
        <v>24903.333333333332</v>
      </c>
      <c r="F17" s="234">
        <f t="shared" si="9"/>
        <v>24470</v>
      </c>
      <c r="G17" s="234">
        <f t="shared" ref="G17:L17" si="10">+F17</f>
        <v>24470</v>
      </c>
      <c r="H17" s="234">
        <f t="shared" si="10"/>
        <v>24470</v>
      </c>
      <c r="I17" s="234">
        <f t="shared" si="10"/>
        <v>24470</v>
      </c>
      <c r="J17" s="234">
        <f t="shared" si="10"/>
        <v>24470</v>
      </c>
      <c r="K17" s="234">
        <f t="shared" si="10"/>
        <v>24470</v>
      </c>
      <c r="L17" s="234">
        <f t="shared" si="10"/>
        <v>24470</v>
      </c>
    </row>
    <row r="18" spans="1:20">
      <c r="A18" s="239" t="s">
        <v>166</v>
      </c>
      <c r="B18" s="207"/>
      <c r="C18" s="234">
        <f t="shared" si="9"/>
        <v>380</v>
      </c>
      <c r="D18" s="234">
        <f t="shared" si="9"/>
        <v>380</v>
      </c>
      <c r="E18" s="234">
        <f t="shared" si="9"/>
        <v>380</v>
      </c>
      <c r="F18" s="234">
        <f t="shared" si="9"/>
        <v>380</v>
      </c>
      <c r="G18" s="234">
        <f t="shared" ref="G18:L18" si="11">+F18</f>
        <v>380</v>
      </c>
      <c r="H18" s="234">
        <v>0</v>
      </c>
      <c r="I18" s="234">
        <v>0</v>
      </c>
      <c r="J18" s="234">
        <v>0</v>
      </c>
      <c r="K18" s="234">
        <f t="shared" si="11"/>
        <v>0</v>
      </c>
      <c r="L18" s="234">
        <f t="shared" si="11"/>
        <v>0</v>
      </c>
    </row>
    <row r="19" spans="1:20">
      <c r="A19" s="239" t="s">
        <v>168</v>
      </c>
      <c r="B19" s="237">
        <f>-FINANCIAMIENTO!B4-FINANCIAMIENTO!B5-FINANCIAMIENTO!B6</f>
        <v>-246000</v>
      </c>
      <c r="C19" s="234"/>
      <c r="D19" s="234"/>
      <c r="E19" s="234"/>
      <c r="F19" s="234"/>
      <c r="G19" s="234"/>
      <c r="H19" s="235"/>
      <c r="I19" s="236"/>
      <c r="J19" s="236"/>
      <c r="K19" s="236"/>
      <c r="L19" s="236"/>
    </row>
    <row r="20" spans="1:20" ht="18.75">
      <c r="A20" s="239" t="s">
        <v>169</v>
      </c>
      <c r="B20" s="237">
        <f>-FINANCIAMIENTO!B7</f>
        <v>-1900</v>
      </c>
      <c r="C20" s="234"/>
      <c r="D20" s="234"/>
      <c r="E20" s="234"/>
      <c r="F20" s="234"/>
      <c r="G20" s="234"/>
      <c r="H20" s="234"/>
      <c r="I20" s="207"/>
      <c r="J20" s="207"/>
      <c r="K20" s="207"/>
      <c r="L20" s="207"/>
    </row>
    <row r="21" spans="1:20" ht="24" customHeight="1">
      <c r="A21" s="239" t="s">
        <v>218</v>
      </c>
      <c r="B21" s="237">
        <f>+'CAP. TRABAJO'!B23</f>
        <v>-3282.5</v>
      </c>
      <c r="C21" s="234"/>
      <c r="D21" s="234"/>
      <c r="E21" s="234"/>
      <c r="F21" s="234"/>
      <c r="G21" s="234"/>
      <c r="H21" s="234"/>
      <c r="I21" s="207"/>
      <c r="J21" s="207"/>
      <c r="K21" s="207"/>
      <c r="L21" s="207"/>
    </row>
    <row r="22" spans="1:20">
      <c r="A22" s="239" t="s">
        <v>171</v>
      </c>
      <c r="B22" s="237">
        <f>+'TABLA AMORT.'!C2</f>
        <v>148740</v>
      </c>
      <c r="C22" s="234"/>
      <c r="D22" s="234"/>
      <c r="E22" s="234"/>
      <c r="F22" s="234"/>
      <c r="G22" s="234"/>
      <c r="H22" s="234"/>
      <c r="I22" s="207"/>
      <c r="J22" s="207"/>
      <c r="K22" s="207"/>
      <c r="L22" s="207"/>
    </row>
    <row r="23" spans="1:20">
      <c r="A23" s="239" t="s">
        <v>170</v>
      </c>
      <c r="B23" s="234"/>
      <c r="C23" s="234"/>
      <c r="D23" s="234"/>
      <c r="E23" s="234">
        <f>-'DEP Y AMORT.'!B5</f>
        <v>-1300</v>
      </c>
      <c r="F23" s="234"/>
      <c r="G23" s="234"/>
      <c r="H23" s="234"/>
      <c r="I23" s="207"/>
      <c r="J23" s="207"/>
      <c r="K23" s="207"/>
      <c r="L23" s="207"/>
    </row>
    <row r="24" spans="1:20">
      <c r="A24" s="239" t="s">
        <v>172</v>
      </c>
      <c r="B24" s="234"/>
      <c r="C24" s="234">
        <f>-'TABLA AMORT.'!D9-'TABLA AMORT.'!D10-'TABLA AMORT.'!D11-'TABLA AMORT.'!D12</f>
        <v>-24517.510147591802</v>
      </c>
      <c r="D24" s="234">
        <f>-'TABLA AMORT.'!D13-'TABLA AMORT.'!D14-'TABLA AMORT.'!D15-'TABLA AMORT.'!D16</f>
        <v>-26891.5340309479</v>
      </c>
      <c r="E24" s="234">
        <f>-'TABLA AMORT.'!D17-'TABLA AMORT.'!D18-'TABLA AMORT.'!D19-'TABLA AMORT.'!D20</f>
        <v>-29495.434005506453</v>
      </c>
      <c r="F24" s="234">
        <f>-'TABLA AMORT.'!D21-'TABLA AMORT.'!D22-'TABLA AMORT.'!D23-'TABLA AMORT.'!D24</f>
        <v>-32351.468911069802</v>
      </c>
      <c r="G24" s="234">
        <f>-'TABLA AMORT.'!D25-'TABLA AMORT.'!D26-'TABLA AMORT.'!D27-'TABLA AMORT.'!D28</f>
        <v>-35484.052904884353</v>
      </c>
      <c r="H24" s="234">
        <v>0</v>
      </c>
      <c r="I24" s="207">
        <v>0</v>
      </c>
      <c r="J24" s="207">
        <v>0</v>
      </c>
      <c r="K24" s="207">
        <v>0</v>
      </c>
      <c r="L24" s="207">
        <v>0</v>
      </c>
    </row>
    <row r="25" spans="1:20" ht="18.75">
      <c r="A25" s="239" t="s">
        <v>219</v>
      </c>
      <c r="B25" s="234"/>
      <c r="C25" s="234"/>
      <c r="D25" s="234"/>
      <c r="E25" s="234"/>
      <c r="F25" s="234"/>
      <c r="G25" s="234"/>
      <c r="H25" s="234"/>
      <c r="I25" s="207"/>
      <c r="J25" s="207"/>
      <c r="K25" s="207"/>
      <c r="L25" s="234">
        <f>(K27-L17)/0.1395</f>
        <v>105491.39784946237</v>
      </c>
    </row>
    <row r="26" spans="1:20">
      <c r="A26" s="216"/>
      <c r="B26" s="217"/>
      <c r="C26" s="217"/>
      <c r="D26" s="217"/>
      <c r="E26" s="217"/>
      <c r="F26" s="217"/>
      <c r="G26" s="217"/>
      <c r="H26" s="217"/>
      <c r="I26" s="218"/>
      <c r="J26" s="219"/>
      <c r="K26" s="218"/>
      <c r="L26" s="220"/>
    </row>
    <row r="27" spans="1:20" ht="12" thickBot="1">
      <c r="A27" s="221" t="s">
        <v>173</v>
      </c>
      <c r="B27" s="240">
        <f>SUM(B19:B26)</f>
        <v>-102442.5</v>
      </c>
      <c r="C27" s="222">
        <f>C16+C17+C18+C23+C24+C25</f>
        <v>6635.0127779386567</v>
      </c>
      <c r="D27" s="222">
        <f>D16+D17+D18+D23+D24+D25</f>
        <v>5774.4291202220666</v>
      </c>
      <c r="E27" s="222">
        <f>E16+E17+E18+E23+E24+E25</f>
        <v>3530.5153794445941</v>
      </c>
      <c r="F27" s="222">
        <f>F16+F17+F18+F23+F24+F25</f>
        <v>3638.11939284455</v>
      </c>
      <c r="G27" s="222">
        <f>G16+G17+G18+G23+G24+G25</f>
        <v>2502.5576950867689</v>
      </c>
      <c r="H27" s="222">
        <f>H16+H17+H18+H24+H25</f>
        <v>39186.050000000003</v>
      </c>
      <c r="I27" s="222">
        <f>I16+I17+I18+I24+I25</f>
        <v>39186.050000000003</v>
      </c>
      <c r="J27" s="222">
        <f>J16+J17+J18+J24+J25</f>
        <v>39186.050000000003</v>
      </c>
      <c r="K27" s="222">
        <f>K16+K17+K18+K24+K25</f>
        <v>39186.050000000003</v>
      </c>
      <c r="L27" s="223">
        <f>L16+L17+L18+L24+L25</f>
        <v>144677.44784946239</v>
      </c>
    </row>
    <row r="28" spans="1:20" ht="12" thickBot="1"/>
    <row r="29" spans="1:20">
      <c r="A29" s="224" t="s">
        <v>217</v>
      </c>
      <c r="C29" s="241">
        <f>NPV(E44,C27:L27)+B27</f>
        <v>12351.065127374532</v>
      </c>
      <c r="N29" s="225"/>
      <c r="O29" s="215" t="s">
        <v>204</v>
      </c>
      <c r="P29" s="215" t="s">
        <v>205</v>
      </c>
      <c r="Q29" s="215" t="s">
        <v>206</v>
      </c>
      <c r="R29" s="215" t="s">
        <v>207</v>
      </c>
      <c r="S29" s="215" t="s">
        <v>208</v>
      </c>
      <c r="T29" s="196" t="s">
        <v>209</v>
      </c>
    </row>
    <row r="30" spans="1:20">
      <c r="A30" s="224" t="s">
        <v>174</v>
      </c>
      <c r="C30" s="226">
        <f>IRR(B27:L27)</f>
        <v>0.15697442358594418</v>
      </c>
      <c r="N30" s="227" t="s">
        <v>202</v>
      </c>
      <c r="O30" s="273">
        <f t="shared" ref="O30:T30" si="12">+B27</f>
        <v>-102442.5</v>
      </c>
      <c r="P30" s="273">
        <f t="shared" si="12"/>
        <v>6635.0127779386567</v>
      </c>
      <c r="Q30" s="273">
        <f t="shared" si="12"/>
        <v>5774.4291202220666</v>
      </c>
      <c r="R30" s="273">
        <f t="shared" si="12"/>
        <v>3530.5153794445941</v>
      </c>
      <c r="S30" s="166">
        <f t="shared" si="12"/>
        <v>3638.11939284455</v>
      </c>
      <c r="T30" s="228">
        <f t="shared" si="12"/>
        <v>2502.5576950867689</v>
      </c>
    </row>
    <row r="31" spans="1:20" ht="12" thickBot="1">
      <c r="N31" s="229" t="s">
        <v>203</v>
      </c>
      <c r="O31" s="274"/>
      <c r="P31" s="274"/>
      <c r="Q31" s="274"/>
      <c r="R31" s="274"/>
      <c r="S31" s="230"/>
      <c r="T31" s="231"/>
    </row>
    <row r="42" spans="2:5">
      <c r="B42" s="232">
        <v>0.24360000000000001</v>
      </c>
      <c r="C42" s="233">
        <v>0.6</v>
      </c>
      <c r="D42" s="232">
        <v>9.35E-2</v>
      </c>
      <c r="E42" s="232">
        <f>C42*D42*0.75</f>
        <v>4.2075000000000001E-2</v>
      </c>
    </row>
    <row r="43" spans="2:5">
      <c r="C43" s="233">
        <v>0.4</v>
      </c>
      <c r="D43" s="232">
        <v>0.24360000000000001</v>
      </c>
      <c r="E43" s="232">
        <f>C43*D43</f>
        <v>9.7440000000000013E-2</v>
      </c>
    </row>
    <row r="44" spans="2:5">
      <c r="E44" s="226">
        <f>SUM(E42:E43)</f>
        <v>0.139515</v>
      </c>
    </row>
  </sheetData>
  <mergeCells count="4">
    <mergeCell ref="O30:O31"/>
    <mergeCell ref="P30:P31"/>
    <mergeCell ref="Q30:Q31"/>
    <mergeCell ref="R30:R31"/>
  </mergeCells>
  <phoneticPr fontId="3" type="noConversion"/>
  <pageMargins left="0.75" right="0.75" top="1" bottom="1" header="0" footer="0"/>
  <pageSetup orientation="portrait" horizontalDpi="300" verticalDpi="300" r:id="rId1"/>
  <headerFooter alignWithMargins="0"/>
  <ignoredErrors>
    <ignoredError sqref="G11 L1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2:J4"/>
  <sheetViews>
    <sheetView tabSelected="1" workbookViewId="0">
      <selection activeCell="A4" sqref="A4"/>
    </sheetView>
  </sheetViews>
  <sheetFormatPr baseColWidth="10" defaultRowHeight="12.75"/>
  <sheetData>
    <row r="2" spans="1:10">
      <c r="B2" s="242">
        <v>-0.2</v>
      </c>
      <c r="C2" s="242">
        <v>-0.15</v>
      </c>
      <c r="D2" s="242">
        <v>-0.1</v>
      </c>
      <c r="E2" s="242">
        <v>-0.05</v>
      </c>
      <c r="F2" s="242">
        <v>0</v>
      </c>
      <c r="G2" s="242">
        <v>0.05</v>
      </c>
      <c r="H2" s="242">
        <v>0.1</v>
      </c>
      <c r="I2" s="242">
        <v>0.15</v>
      </c>
      <c r="J2" s="242">
        <v>0.2</v>
      </c>
    </row>
    <row r="3" spans="1:10">
      <c r="A3" t="s">
        <v>212</v>
      </c>
      <c r="B3" s="243">
        <v>-53864.5</v>
      </c>
      <c r="C3" s="243">
        <v>-39469</v>
      </c>
      <c r="D3" s="243">
        <v>-23766.5</v>
      </c>
      <c r="E3" s="243">
        <v>-6567.7</v>
      </c>
      <c r="F3" s="243">
        <v>12351.1</v>
      </c>
      <c r="G3" s="243">
        <v>32215.7</v>
      </c>
      <c r="H3" s="243">
        <v>52080</v>
      </c>
      <c r="I3" s="243">
        <v>71945</v>
      </c>
      <c r="J3" s="243">
        <v>91809.8</v>
      </c>
    </row>
    <row r="4" spans="1:10">
      <c r="A4" t="s">
        <v>174</v>
      </c>
      <c r="B4" s="244">
        <v>5.3100000000000001E-2</v>
      </c>
      <c r="C4" s="244">
        <v>7.8399999999999997E-2</v>
      </c>
      <c r="D4" s="244">
        <v>0.10390000000000001</v>
      </c>
      <c r="E4" s="244">
        <v>0.13</v>
      </c>
      <c r="F4" s="245">
        <v>0.157</v>
      </c>
      <c r="G4" s="244">
        <v>0.18390000000000001</v>
      </c>
      <c r="H4" s="244">
        <v>0.20979999999999999</v>
      </c>
      <c r="I4" s="244">
        <v>0.2349</v>
      </c>
      <c r="J4" s="244">
        <v>0.25940000000000002</v>
      </c>
    </row>
  </sheetData>
  <phoneticPr fontId="3" type="noConversion"/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B34" sqref="B34"/>
    </sheetView>
  </sheetViews>
  <sheetFormatPr baseColWidth="10" defaultRowHeight="12.75"/>
  <cols>
    <col min="1" max="1" width="32.85546875" bestFit="1" customWidth="1"/>
  </cols>
  <sheetData>
    <row r="1" spans="1:12">
      <c r="A1" t="s">
        <v>144</v>
      </c>
      <c r="C1" s="163">
        <v>86944</v>
      </c>
      <c r="D1" s="163">
        <f t="shared" ref="D1:L1" si="0">+C1</f>
        <v>86944</v>
      </c>
      <c r="E1" s="163">
        <f t="shared" si="0"/>
        <v>86944</v>
      </c>
      <c r="F1" s="163">
        <f t="shared" si="0"/>
        <v>86944</v>
      </c>
      <c r="G1" s="163">
        <f t="shared" si="0"/>
        <v>86944</v>
      </c>
      <c r="H1" s="163">
        <f t="shared" si="0"/>
        <v>86944</v>
      </c>
      <c r="I1" s="163">
        <f t="shared" si="0"/>
        <v>86944</v>
      </c>
      <c r="J1" s="163">
        <f t="shared" si="0"/>
        <v>86944</v>
      </c>
      <c r="K1" s="163">
        <f t="shared" si="0"/>
        <v>86944</v>
      </c>
      <c r="L1" s="163">
        <f t="shared" si="0"/>
        <v>86944</v>
      </c>
    </row>
    <row r="2" spans="1:12">
      <c r="A2" t="s">
        <v>157</v>
      </c>
      <c r="C2" s="163">
        <v>14400</v>
      </c>
      <c r="D2" s="163">
        <f t="shared" ref="D2:L4" si="1">+C2</f>
        <v>14400</v>
      </c>
      <c r="E2" s="163">
        <f t="shared" si="1"/>
        <v>14400</v>
      </c>
      <c r="F2" s="163">
        <f t="shared" si="1"/>
        <v>14400</v>
      </c>
      <c r="G2" s="163">
        <f t="shared" si="1"/>
        <v>14400</v>
      </c>
      <c r="H2" s="163">
        <f t="shared" si="1"/>
        <v>14400</v>
      </c>
      <c r="I2" s="163">
        <f t="shared" si="1"/>
        <v>14400</v>
      </c>
      <c r="J2" s="163">
        <f t="shared" si="1"/>
        <v>14400</v>
      </c>
      <c r="K2" s="163">
        <f t="shared" si="1"/>
        <v>14400</v>
      </c>
      <c r="L2" s="163">
        <f t="shared" si="1"/>
        <v>14400</v>
      </c>
    </row>
    <row r="3" spans="1:12">
      <c r="A3" t="s">
        <v>162</v>
      </c>
      <c r="C3" s="163">
        <v>3600</v>
      </c>
      <c r="D3" s="163">
        <f t="shared" si="1"/>
        <v>3600</v>
      </c>
      <c r="E3" s="163">
        <f t="shared" si="1"/>
        <v>3600</v>
      </c>
      <c r="F3" s="163">
        <f t="shared" si="1"/>
        <v>3600</v>
      </c>
      <c r="G3" s="163">
        <f t="shared" si="1"/>
        <v>3600</v>
      </c>
      <c r="H3" s="163">
        <f t="shared" si="1"/>
        <v>3600</v>
      </c>
      <c r="I3" s="163">
        <f t="shared" si="1"/>
        <v>3600</v>
      </c>
      <c r="J3" s="163">
        <f t="shared" si="1"/>
        <v>3600</v>
      </c>
      <c r="K3" s="163">
        <f t="shared" si="1"/>
        <v>3600</v>
      </c>
      <c r="L3" s="163">
        <f t="shared" si="1"/>
        <v>3600</v>
      </c>
    </row>
    <row r="4" spans="1:12">
      <c r="A4" t="s">
        <v>161</v>
      </c>
      <c r="C4" s="163">
        <v>6534</v>
      </c>
      <c r="D4" s="163">
        <f t="shared" si="1"/>
        <v>6534</v>
      </c>
      <c r="E4" s="163">
        <f t="shared" si="1"/>
        <v>6534</v>
      </c>
      <c r="F4" s="163">
        <f t="shared" si="1"/>
        <v>6534</v>
      </c>
      <c r="G4" s="163">
        <f t="shared" si="1"/>
        <v>6534</v>
      </c>
      <c r="H4" s="163">
        <f t="shared" si="1"/>
        <v>6534</v>
      </c>
      <c r="I4" s="163">
        <f t="shared" si="1"/>
        <v>6534</v>
      </c>
      <c r="J4" s="163">
        <f t="shared" si="1"/>
        <v>6534</v>
      </c>
      <c r="K4" s="163">
        <f t="shared" si="1"/>
        <v>6534</v>
      </c>
      <c r="L4" s="163">
        <f t="shared" si="1"/>
        <v>6534</v>
      </c>
    </row>
    <row r="7" spans="1:12">
      <c r="A7" t="s">
        <v>144</v>
      </c>
      <c r="C7" s="163">
        <f t="shared" ref="C7:L7" si="2">+C1</f>
        <v>86944</v>
      </c>
      <c r="D7" s="163">
        <f t="shared" si="2"/>
        <v>86944</v>
      </c>
      <c r="E7" s="163">
        <f t="shared" si="2"/>
        <v>86944</v>
      </c>
      <c r="F7" s="163">
        <f t="shared" si="2"/>
        <v>86944</v>
      </c>
      <c r="G7" s="163">
        <f t="shared" si="2"/>
        <v>86944</v>
      </c>
      <c r="H7" s="163">
        <f t="shared" si="2"/>
        <v>86944</v>
      </c>
      <c r="I7" s="163">
        <f t="shared" si="2"/>
        <v>86944</v>
      </c>
      <c r="J7" s="163">
        <f t="shared" si="2"/>
        <v>86944</v>
      </c>
      <c r="K7" s="163">
        <f t="shared" si="2"/>
        <v>86944</v>
      </c>
      <c r="L7" s="163">
        <f t="shared" si="2"/>
        <v>86944</v>
      </c>
    </row>
    <row r="8" spans="1:12">
      <c r="A8" t="s">
        <v>157</v>
      </c>
      <c r="C8" s="163">
        <f t="shared" ref="C8:L9" si="3">-C2</f>
        <v>-14400</v>
      </c>
      <c r="D8" s="163">
        <f t="shared" si="3"/>
        <v>-14400</v>
      </c>
      <c r="E8" s="163">
        <f t="shared" si="3"/>
        <v>-14400</v>
      </c>
      <c r="F8" s="163">
        <f t="shared" si="3"/>
        <v>-14400</v>
      </c>
      <c r="G8" s="163">
        <f t="shared" si="3"/>
        <v>-14400</v>
      </c>
      <c r="H8" s="163">
        <f t="shared" si="3"/>
        <v>-14400</v>
      </c>
      <c r="I8" s="163">
        <f t="shared" si="3"/>
        <v>-14400</v>
      </c>
      <c r="J8" s="163">
        <f t="shared" si="3"/>
        <v>-14400</v>
      </c>
      <c r="K8" s="163">
        <f t="shared" si="3"/>
        <v>-14400</v>
      </c>
      <c r="L8" s="163">
        <f t="shared" si="3"/>
        <v>-14400</v>
      </c>
    </row>
    <row r="9" spans="1:12">
      <c r="A9" t="s">
        <v>162</v>
      </c>
      <c r="C9" s="163">
        <f t="shared" si="3"/>
        <v>-3600</v>
      </c>
      <c r="D9" s="163">
        <f t="shared" si="3"/>
        <v>-3600</v>
      </c>
      <c r="E9" s="163">
        <f t="shared" si="3"/>
        <v>-3600</v>
      </c>
      <c r="F9" s="163">
        <f t="shared" si="3"/>
        <v>-3600</v>
      </c>
      <c r="G9" s="163">
        <f t="shared" si="3"/>
        <v>-3600</v>
      </c>
      <c r="H9" s="163">
        <f t="shared" si="3"/>
        <v>-3600</v>
      </c>
      <c r="I9" s="163">
        <f t="shared" si="3"/>
        <v>-3600</v>
      </c>
      <c r="J9" s="163">
        <f t="shared" si="3"/>
        <v>-3600</v>
      </c>
      <c r="K9" s="163">
        <f t="shared" si="3"/>
        <v>-3600</v>
      </c>
      <c r="L9" s="163">
        <f t="shared" si="3"/>
        <v>-3600</v>
      </c>
    </row>
    <row r="10" spans="1:12">
      <c r="A10" t="s">
        <v>159</v>
      </c>
      <c r="C10" s="163">
        <f>+'FC1'!C5</f>
        <v>-3456</v>
      </c>
      <c r="D10" s="163">
        <f>+'FC1'!D5</f>
        <v>-3456</v>
      </c>
      <c r="E10" s="163">
        <f>+'FC1'!E5</f>
        <v>-3456</v>
      </c>
      <c r="F10" s="163">
        <f>+'FC1'!F5</f>
        <v>-3456</v>
      </c>
      <c r="G10" s="163">
        <f>+'FC1'!G5</f>
        <v>-3456</v>
      </c>
      <c r="H10" s="163">
        <f>+'FC1'!H5</f>
        <v>-3456</v>
      </c>
      <c r="I10" s="163">
        <f>+'FC1'!I5</f>
        <v>-3456</v>
      </c>
      <c r="J10" s="163">
        <f>+'FC1'!J5</f>
        <v>-3456</v>
      </c>
      <c r="K10" s="163">
        <f>+'FC1'!K5</f>
        <v>-3456</v>
      </c>
      <c r="L10" s="163">
        <f>+'FC1'!L5</f>
        <v>-3456</v>
      </c>
    </row>
    <row r="11" spans="1:12">
      <c r="A11" t="s">
        <v>158</v>
      </c>
      <c r="C11" s="163">
        <f>+'FC1'!C6</f>
        <v>-3600</v>
      </c>
      <c r="D11" s="163">
        <f>+'FC1'!D6</f>
        <v>-3600</v>
      </c>
      <c r="E11" s="163">
        <f>+'FC1'!E6</f>
        <v>-3600</v>
      </c>
      <c r="F11" s="163">
        <f>+'FC1'!F6</f>
        <v>-3600</v>
      </c>
      <c r="G11" s="163">
        <f>+'FC1'!G6</f>
        <v>-3600</v>
      </c>
      <c r="H11" s="163">
        <f>+'FC1'!H6</f>
        <v>-3600</v>
      </c>
      <c r="I11" s="163">
        <f>+'FC1'!I6</f>
        <v>-3600</v>
      </c>
      <c r="J11" s="163">
        <f>+'FC1'!J6</f>
        <v>-3600</v>
      </c>
      <c r="K11" s="163">
        <f>+'FC1'!K6</f>
        <v>-3600</v>
      </c>
      <c r="L11" s="163">
        <f>+'FC1'!L6</f>
        <v>-3600</v>
      </c>
    </row>
    <row r="12" spans="1:12">
      <c r="A12" t="s">
        <v>161</v>
      </c>
      <c r="C12" s="163">
        <f t="shared" ref="C12:L12" si="4">-C4</f>
        <v>-6534</v>
      </c>
      <c r="D12" s="163">
        <f t="shared" si="4"/>
        <v>-6534</v>
      </c>
      <c r="E12" s="163">
        <f t="shared" si="4"/>
        <v>-6534</v>
      </c>
      <c r="F12" s="163">
        <f t="shared" si="4"/>
        <v>-6534</v>
      </c>
      <c r="G12" s="163">
        <f t="shared" si="4"/>
        <v>-6534</v>
      </c>
      <c r="H12" s="163">
        <f t="shared" si="4"/>
        <v>-6534</v>
      </c>
      <c r="I12" s="163">
        <f t="shared" si="4"/>
        <v>-6534</v>
      </c>
      <c r="J12" s="163">
        <f t="shared" si="4"/>
        <v>-6534</v>
      </c>
      <c r="K12" s="163">
        <f t="shared" si="4"/>
        <v>-6534</v>
      </c>
      <c r="L12" s="163">
        <f t="shared" si="4"/>
        <v>-6534</v>
      </c>
    </row>
    <row r="13" spans="1:12">
      <c r="A13" t="s">
        <v>124</v>
      </c>
      <c r="C13" s="163">
        <f>+'FC1'!C8</f>
        <v>-7800</v>
      </c>
      <c r="D13" s="163">
        <f>+'FC1'!D8</f>
        <v>-7800</v>
      </c>
      <c r="E13" s="163">
        <f>+'FC1'!E8</f>
        <v>-7800</v>
      </c>
      <c r="F13" s="163">
        <f>+'FC1'!F8</f>
        <v>-7800</v>
      </c>
      <c r="G13" s="163">
        <f>+'FC1'!G8</f>
        <v>-7800</v>
      </c>
      <c r="H13" s="163">
        <f>+'FC1'!H8</f>
        <v>-7800</v>
      </c>
      <c r="I13" s="163">
        <f>+'FC1'!I8</f>
        <v>-7800</v>
      </c>
      <c r="J13" s="163">
        <f>+'FC1'!J8</f>
        <v>-7800</v>
      </c>
      <c r="K13" s="163">
        <f>+'FC1'!K8</f>
        <v>-7800</v>
      </c>
      <c r="L13" s="163">
        <f>+'FC1'!L8</f>
        <v>-7800</v>
      </c>
    </row>
    <row r="14" spans="1:12">
      <c r="A14" t="s">
        <v>165</v>
      </c>
      <c r="C14" s="163">
        <f>+'FC1'!C9</f>
        <v>-24903.333333333332</v>
      </c>
      <c r="D14" s="163">
        <f>+'FC1'!D9</f>
        <v>-24903.333333333332</v>
      </c>
      <c r="E14" s="163">
        <f>+'FC1'!E9</f>
        <v>-24903.333333333332</v>
      </c>
      <c r="F14" s="163">
        <f>+'FC1'!F9</f>
        <v>-24470</v>
      </c>
      <c r="G14" s="163">
        <f>+'FC1'!G9</f>
        <v>-24470</v>
      </c>
      <c r="H14" s="163">
        <f>+'FC1'!H9</f>
        <v>-24470</v>
      </c>
      <c r="I14" s="163">
        <f>+'FC1'!I9</f>
        <v>-24470</v>
      </c>
      <c r="J14" s="163">
        <f>+'FC1'!J9</f>
        <v>-24470</v>
      </c>
      <c r="K14" s="163">
        <f>+'FC1'!K9</f>
        <v>-24470</v>
      </c>
      <c r="L14" s="163">
        <f>+'FC1'!L9</f>
        <v>-24470</v>
      </c>
    </row>
    <row r="15" spans="1:12">
      <c r="A15" t="s">
        <v>166</v>
      </c>
      <c r="C15" s="163">
        <f>+'FC1'!C10</f>
        <v>-380</v>
      </c>
      <c r="D15" s="163">
        <f>+'FC1'!D10</f>
        <v>-380</v>
      </c>
      <c r="E15" s="163">
        <f>+'FC1'!E10</f>
        <v>-380</v>
      </c>
      <c r="F15" s="163">
        <f>+'FC1'!F10</f>
        <v>-380</v>
      </c>
      <c r="G15" s="163">
        <f>+'FC1'!G10</f>
        <v>-380</v>
      </c>
      <c r="H15" s="163">
        <f>+'FC1'!H10</f>
        <v>0</v>
      </c>
      <c r="I15" s="163">
        <f>+'FC1'!I10</f>
        <v>0</v>
      </c>
      <c r="J15" s="163">
        <f>+'FC1'!J10</f>
        <v>0</v>
      </c>
      <c r="K15" s="163">
        <f>+'FC1'!K10</f>
        <v>0</v>
      </c>
      <c r="L15" s="163">
        <f>+'FC1'!L10</f>
        <v>0</v>
      </c>
    </row>
    <row r="16" spans="1:12">
      <c r="A16" t="s">
        <v>167</v>
      </c>
      <c r="C16" s="163">
        <f>+'FC1'!C11</f>
        <v>-13064.094757337845</v>
      </c>
      <c r="D16" s="163">
        <f>+'FC1'!D11</f>
        <v>-10690.070873981751</v>
      </c>
      <c r="E16" s="163">
        <f>+'FC1'!E11</f>
        <v>-8086.170899423194</v>
      </c>
      <c r="F16" s="163">
        <f>+'FC1'!F11</f>
        <v>-5230.1359938598443</v>
      </c>
      <c r="G16" s="163">
        <f>+'FC1'!G11</f>
        <v>-2097.5520000452966</v>
      </c>
      <c r="H16" s="163">
        <f>+'FC1'!H11</f>
        <v>0</v>
      </c>
      <c r="I16" s="163">
        <f>+'FC1'!I11</f>
        <v>0</v>
      </c>
      <c r="J16" s="163">
        <f>+'FC1'!J11</f>
        <v>0</v>
      </c>
      <c r="K16" s="163">
        <f>+'FC1'!K11</f>
        <v>0</v>
      </c>
      <c r="L16" s="163">
        <f>+'FC1'!L11</f>
        <v>0</v>
      </c>
    </row>
    <row r="17" spans="1:12">
      <c r="A17" t="s">
        <v>175</v>
      </c>
      <c r="C17" s="163">
        <f t="shared" ref="C17:L17" si="5">SUM(C7:C16)</f>
        <v>9206.5719093288226</v>
      </c>
      <c r="D17" s="163">
        <f t="shared" si="5"/>
        <v>11580.595792684917</v>
      </c>
      <c r="E17" s="163">
        <f t="shared" si="5"/>
        <v>14184.495767243474</v>
      </c>
      <c r="F17" s="163">
        <f t="shared" si="5"/>
        <v>17473.864006140157</v>
      </c>
      <c r="G17" s="163">
        <f t="shared" si="5"/>
        <v>20606.447999954704</v>
      </c>
      <c r="H17" s="163">
        <f t="shared" si="5"/>
        <v>23084</v>
      </c>
      <c r="I17" s="163">
        <f t="shared" si="5"/>
        <v>23084</v>
      </c>
      <c r="J17" s="163">
        <f t="shared" si="5"/>
        <v>23084</v>
      </c>
      <c r="K17" s="163">
        <f t="shared" si="5"/>
        <v>23084</v>
      </c>
      <c r="L17" s="163">
        <f t="shared" si="5"/>
        <v>23084</v>
      </c>
    </row>
    <row r="18" spans="1:12">
      <c r="A18" t="s">
        <v>180</v>
      </c>
      <c r="C18" s="163">
        <f t="shared" ref="C18:L18" si="6">-0.15*C17</f>
        <v>-1380.9857863993234</v>
      </c>
      <c r="D18" s="163">
        <f t="shared" si="6"/>
        <v>-1737.0893689027375</v>
      </c>
      <c r="E18" s="163">
        <f t="shared" si="6"/>
        <v>-2127.674365086521</v>
      </c>
      <c r="F18" s="163">
        <f t="shared" si="6"/>
        <v>-2621.0796009210235</v>
      </c>
      <c r="G18" s="163">
        <f t="shared" si="6"/>
        <v>-3090.9671999932057</v>
      </c>
      <c r="H18" s="163">
        <f t="shared" si="6"/>
        <v>-3462.6</v>
      </c>
      <c r="I18" s="163">
        <f t="shared" si="6"/>
        <v>-3462.6</v>
      </c>
      <c r="J18" s="163">
        <f t="shared" si="6"/>
        <v>-3462.6</v>
      </c>
      <c r="K18" s="163">
        <f t="shared" si="6"/>
        <v>-3462.6</v>
      </c>
      <c r="L18" s="163">
        <f t="shared" si="6"/>
        <v>-3462.6</v>
      </c>
    </row>
    <row r="19" spans="1:12">
      <c r="A19" t="s">
        <v>163</v>
      </c>
      <c r="C19" s="163">
        <f t="shared" ref="C19:L19" si="7">SUM(C17:C18)</f>
        <v>7825.5861229294987</v>
      </c>
      <c r="D19" s="163">
        <f t="shared" si="7"/>
        <v>9843.5064237821789</v>
      </c>
      <c r="E19" s="163">
        <f t="shared" si="7"/>
        <v>12056.821402156953</v>
      </c>
      <c r="F19" s="163">
        <f t="shared" si="7"/>
        <v>14852.784405219132</v>
      </c>
      <c r="G19" s="163">
        <f t="shared" si="7"/>
        <v>17515.480799961497</v>
      </c>
      <c r="H19" s="163">
        <f t="shared" si="7"/>
        <v>19621.400000000001</v>
      </c>
      <c r="I19" s="163">
        <f t="shared" si="7"/>
        <v>19621.400000000001</v>
      </c>
      <c r="J19" s="163">
        <f t="shared" si="7"/>
        <v>19621.400000000001</v>
      </c>
      <c r="K19" s="163">
        <f t="shared" si="7"/>
        <v>19621.400000000001</v>
      </c>
      <c r="L19" s="163">
        <f t="shared" si="7"/>
        <v>19621.400000000001</v>
      </c>
    </row>
    <row r="20" spans="1:12">
      <c r="A20" t="s">
        <v>164</v>
      </c>
      <c r="C20" s="163">
        <f t="shared" ref="C20:L20" si="8">-0.25*C19</f>
        <v>-1956.3965307323747</v>
      </c>
      <c r="D20" s="163">
        <f t="shared" si="8"/>
        <v>-2460.8766059455447</v>
      </c>
      <c r="E20" s="163">
        <f t="shared" si="8"/>
        <v>-3014.2053505392382</v>
      </c>
      <c r="F20" s="163">
        <f t="shared" si="8"/>
        <v>-3713.196101304783</v>
      </c>
      <c r="G20" s="163">
        <f t="shared" si="8"/>
        <v>-4378.8701999903742</v>
      </c>
      <c r="H20" s="163">
        <f t="shared" si="8"/>
        <v>-4905.3500000000004</v>
      </c>
      <c r="I20" s="163">
        <f t="shared" si="8"/>
        <v>-4905.3500000000004</v>
      </c>
      <c r="J20" s="163">
        <f t="shared" si="8"/>
        <v>-4905.3500000000004</v>
      </c>
      <c r="K20" s="163">
        <f t="shared" si="8"/>
        <v>-4905.3500000000004</v>
      </c>
      <c r="L20" s="163">
        <f t="shared" si="8"/>
        <v>-4905.3500000000004</v>
      </c>
    </row>
    <row r="21" spans="1:12">
      <c r="A21" t="s">
        <v>176</v>
      </c>
      <c r="C21" s="163">
        <f t="shared" ref="C21:L21" si="9">SUM(C19:C20)</f>
        <v>5869.1895921971245</v>
      </c>
      <c r="D21" s="163">
        <f t="shared" si="9"/>
        <v>7382.6298178366342</v>
      </c>
      <c r="E21" s="163">
        <f t="shared" si="9"/>
        <v>9042.6160516177151</v>
      </c>
      <c r="F21" s="163">
        <f t="shared" si="9"/>
        <v>11139.588303914348</v>
      </c>
      <c r="G21" s="163">
        <f t="shared" si="9"/>
        <v>13136.610599971122</v>
      </c>
      <c r="H21" s="163">
        <f t="shared" si="9"/>
        <v>14716.050000000001</v>
      </c>
      <c r="I21" s="163">
        <f t="shared" si="9"/>
        <v>14716.050000000001</v>
      </c>
      <c r="J21" s="163">
        <f t="shared" si="9"/>
        <v>14716.050000000001</v>
      </c>
      <c r="K21" s="163">
        <f t="shared" si="9"/>
        <v>14716.050000000001</v>
      </c>
      <c r="L21" s="163">
        <f t="shared" si="9"/>
        <v>14716.050000000001</v>
      </c>
    </row>
    <row r="22" spans="1:12">
      <c r="A22" t="s">
        <v>165</v>
      </c>
      <c r="C22" s="163">
        <f t="shared" ref="C22:L23" si="10">-C14</f>
        <v>24903.333333333332</v>
      </c>
      <c r="D22" s="163">
        <f t="shared" si="10"/>
        <v>24903.333333333332</v>
      </c>
      <c r="E22" s="163">
        <f t="shared" si="10"/>
        <v>24903.333333333332</v>
      </c>
      <c r="F22" s="163">
        <f t="shared" si="10"/>
        <v>24470</v>
      </c>
      <c r="G22" s="163">
        <f t="shared" si="10"/>
        <v>24470</v>
      </c>
      <c r="H22" s="163">
        <f t="shared" si="10"/>
        <v>24470</v>
      </c>
      <c r="I22" s="163">
        <f t="shared" si="10"/>
        <v>24470</v>
      </c>
      <c r="J22" s="163">
        <f t="shared" si="10"/>
        <v>24470</v>
      </c>
      <c r="K22" s="163">
        <f t="shared" si="10"/>
        <v>24470</v>
      </c>
      <c r="L22" s="163">
        <f t="shared" si="10"/>
        <v>24470</v>
      </c>
    </row>
    <row r="23" spans="1:12">
      <c r="A23" t="s">
        <v>166</v>
      </c>
      <c r="C23" s="163">
        <f t="shared" si="10"/>
        <v>380</v>
      </c>
      <c r="D23" s="163">
        <f t="shared" si="10"/>
        <v>380</v>
      </c>
      <c r="E23" s="163">
        <f t="shared" si="10"/>
        <v>380</v>
      </c>
      <c r="F23" s="163">
        <f t="shared" si="10"/>
        <v>380</v>
      </c>
      <c r="G23" s="163">
        <f t="shared" si="10"/>
        <v>380</v>
      </c>
      <c r="H23" s="163">
        <f t="shared" si="10"/>
        <v>0</v>
      </c>
      <c r="I23" s="163">
        <f t="shared" si="10"/>
        <v>0</v>
      </c>
      <c r="J23" s="163">
        <f t="shared" si="10"/>
        <v>0</v>
      </c>
      <c r="K23" s="163">
        <f t="shared" si="10"/>
        <v>0</v>
      </c>
      <c r="L23" s="163">
        <f t="shared" si="10"/>
        <v>0</v>
      </c>
    </row>
    <row r="24" spans="1:12">
      <c r="A24" t="s">
        <v>168</v>
      </c>
      <c r="B24" s="163">
        <f>+'FC1'!B19</f>
        <v>-246000</v>
      </c>
      <c r="C24" s="163"/>
      <c r="D24" s="163"/>
      <c r="E24" s="163"/>
      <c r="F24" s="163"/>
      <c r="G24" s="163"/>
    </row>
    <row r="25" spans="1:12">
      <c r="A25" t="s">
        <v>169</v>
      </c>
      <c r="B25" s="163">
        <f>+'FC1'!B20</f>
        <v>-1900</v>
      </c>
      <c r="C25" s="163"/>
      <c r="D25" s="163"/>
      <c r="E25" s="163"/>
      <c r="F25" s="163"/>
      <c r="G25" s="163"/>
    </row>
    <row r="26" spans="1:12">
      <c r="A26" t="s">
        <v>200</v>
      </c>
      <c r="B26" s="163">
        <f>+'FC1'!B21</f>
        <v>-3282.5</v>
      </c>
      <c r="C26" s="163"/>
      <c r="D26" s="163"/>
      <c r="E26" s="163"/>
      <c r="F26" s="163"/>
      <c r="G26" s="163"/>
    </row>
    <row r="27" spans="1:12">
      <c r="A27" t="s">
        <v>171</v>
      </c>
      <c r="B27" s="163">
        <f>+'FC1'!B22</f>
        <v>148740</v>
      </c>
      <c r="C27" s="163"/>
      <c r="D27" s="163"/>
      <c r="E27" s="163"/>
      <c r="F27" s="163"/>
      <c r="G27" s="163"/>
    </row>
    <row r="28" spans="1:12">
      <c r="A28" t="s">
        <v>170</v>
      </c>
      <c r="B28" s="163"/>
      <c r="C28" s="163"/>
      <c r="D28" s="163"/>
      <c r="E28" s="163">
        <f>+'FC1'!E23</f>
        <v>-1300</v>
      </c>
      <c r="F28" s="163"/>
      <c r="G28" s="163"/>
    </row>
    <row r="29" spans="1:12">
      <c r="A29" t="s">
        <v>172</v>
      </c>
      <c r="B29" s="163"/>
      <c r="C29" s="163">
        <f>+'FC1'!C24</f>
        <v>-24517.510147591802</v>
      </c>
      <c r="D29" s="163">
        <f>+'FC1'!D24</f>
        <v>-26891.5340309479</v>
      </c>
      <c r="E29" s="163">
        <f>+'FC1'!E24</f>
        <v>-29495.434005506453</v>
      </c>
      <c r="F29" s="163">
        <f>+'FC1'!F24</f>
        <v>-32351.468911069802</v>
      </c>
      <c r="G29" s="163">
        <f>+'FC1'!G24</f>
        <v>-35484.052904884353</v>
      </c>
      <c r="H29" s="163">
        <f>+'FC1'!H24</f>
        <v>0</v>
      </c>
      <c r="I29" s="163">
        <f>+'FC1'!I24</f>
        <v>0</v>
      </c>
      <c r="J29" s="163">
        <f>+'FC1'!J24</f>
        <v>0</v>
      </c>
      <c r="K29" s="163">
        <f>+'FC1'!K24</f>
        <v>0</v>
      </c>
      <c r="L29" s="163">
        <f>+'FC1'!L24</f>
        <v>0</v>
      </c>
    </row>
    <row r="30" spans="1:12">
      <c r="A30" t="s">
        <v>201</v>
      </c>
      <c r="B30" s="163"/>
      <c r="C30" s="163"/>
      <c r="D30" s="163"/>
      <c r="E30" s="163"/>
      <c r="F30" s="163"/>
      <c r="G30" s="163"/>
      <c r="L30">
        <f>+'FC1'!L25</f>
        <v>105491.39784946237</v>
      </c>
    </row>
    <row r="31" spans="1:12">
      <c r="B31" s="163"/>
      <c r="C31" s="163"/>
      <c r="D31" s="163"/>
      <c r="E31" s="163"/>
      <c r="F31" s="163"/>
      <c r="G31" s="163"/>
    </row>
    <row r="32" spans="1:12">
      <c r="A32" s="62" t="s">
        <v>173</v>
      </c>
      <c r="B32" s="164">
        <f>SUM(B24:B31)</f>
        <v>-102442.5</v>
      </c>
      <c r="C32" s="164">
        <f t="shared" ref="C32:L32" si="11">C21+C22+C23+C28+C29+C30</f>
        <v>6635.0127779386567</v>
      </c>
      <c r="D32" s="164">
        <f t="shared" si="11"/>
        <v>5774.4291202220666</v>
      </c>
      <c r="E32" s="164">
        <f t="shared" si="11"/>
        <v>3530.5153794445941</v>
      </c>
      <c r="F32" s="164">
        <f t="shared" si="11"/>
        <v>3638.11939284455</v>
      </c>
      <c r="G32" s="164">
        <f t="shared" si="11"/>
        <v>2502.5576950867689</v>
      </c>
      <c r="H32" s="164">
        <f t="shared" si="11"/>
        <v>39186.050000000003</v>
      </c>
      <c r="I32" s="164">
        <f t="shared" si="11"/>
        <v>39186.050000000003</v>
      </c>
      <c r="J32" s="164">
        <f t="shared" si="11"/>
        <v>39186.050000000003</v>
      </c>
      <c r="K32" s="164">
        <f t="shared" si="11"/>
        <v>39186.050000000003</v>
      </c>
      <c r="L32" s="164">
        <f t="shared" si="11"/>
        <v>144677.44784946239</v>
      </c>
    </row>
    <row r="34" spans="1:2">
      <c r="A34" s="62" t="s">
        <v>212</v>
      </c>
      <c r="B34" s="164">
        <f>NPV(+'FC1'!E44,C32:L32)+B32</f>
        <v>12351.065127374532</v>
      </c>
    </row>
  </sheetData>
  <phoneticPr fontId="3" type="noConversion"/>
  <pageMargins left="0.75" right="0.75" top="1" bottom="1" header="0" footer="0"/>
  <pageSetup orientation="portrait" horizontalDpi="300" verticalDpi="300" r:id="rId1"/>
  <headerFooter alignWithMargins="0"/>
  <ignoredErrors>
    <ignoredError sqref="C20:G20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B1" sqref="B1"/>
    </sheetView>
  </sheetViews>
  <sheetFormatPr baseColWidth="10" defaultRowHeight="12.75"/>
  <cols>
    <col min="1" max="1" width="32.85546875" bestFit="1" customWidth="1"/>
  </cols>
  <sheetData>
    <row r="1" spans="1:8">
      <c r="A1" s="88"/>
      <c r="B1" s="151">
        <v>0</v>
      </c>
      <c r="C1" s="151">
        <v>1</v>
      </c>
      <c r="D1" s="151">
        <v>2</v>
      </c>
      <c r="E1" s="151">
        <v>3</v>
      </c>
      <c r="F1" s="151">
        <v>4</v>
      </c>
      <c r="G1" s="97">
        <v>5</v>
      </c>
    </row>
    <row r="2" spans="1:8">
      <c r="A2" s="89" t="s">
        <v>144</v>
      </c>
      <c r="B2" s="66"/>
      <c r="C2" s="82">
        <f>+INGRESOS!C33</f>
        <v>86944</v>
      </c>
      <c r="D2" s="82">
        <f t="shared" ref="D2:G10" si="0">+C2</f>
        <v>86944</v>
      </c>
      <c r="E2" s="82">
        <f t="shared" si="0"/>
        <v>86944</v>
      </c>
      <c r="F2" s="82">
        <f t="shared" si="0"/>
        <v>86944</v>
      </c>
      <c r="G2" s="153">
        <f t="shared" si="0"/>
        <v>86944</v>
      </c>
      <c r="H2" s="81"/>
    </row>
    <row r="3" spans="1:8">
      <c r="A3" s="89" t="s">
        <v>157</v>
      </c>
      <c r="B3" s="66"/>
      <c r="C3" s="82">
        <f>-'COSTOS&amp;GASTOS'!E18</f>
        <v>-14400</v>
      </c>
      <c r="D3" s="82">
        <f t="shared" si="0"/>
        <v>-14400</v>
      </c>
      <c r="E3" s="82">
        <f t="shared" si="0"/>
        <v>-14400</v>
      </c>
      <c r="F3" s="82">
        <f t="shared" si="0"/>
        <v>-14400</v>
      </c>
      <c r="G3" s="153">
        <f t="shared" si="0"/>
        <v>-14400</v>
      </c>
      <c r="H3" s="81"/>
    </row>
    <row r="4" spans="1:8">
      <c r="A4" s="89" t="s">
        <v>162</v>
      </c>
      <c r="B4" s="66"/>
      <c r="C4" s="82">
        <f>-'COSTOS&amp;GASTOS'!E22</f>
        <v>-3600</v>
      </c>
      <c r="D4" s="82">
        <f t="shared" si="0"/>
        <v>-3600</v>
      </c>
      <c r="E4" s="82">
        <f t="shared" si="0"/>
        <v>-3600</v>
      </c>
      <c r="F4" s="82">
        <f t="shared" si="0"/>
        <v>-3600</v>
      </c>
      <c r="G4" s="153">
        <f t="shared" si="0"/>
        <v>-3600</v>
      </c>
      <c r="H4" s="81"/>
    </row>
    <row r="5" spans="1:8">
      <c r="A5" s="89" t="s">
        <v>159</v>
      </c>
      <c r="B5" s="66"/>
      <c r="C5" s="82">
        <f>-'COSTOS&amp;GASTOS'!E19</f>
        <v>-3456</v>
      </c>
      <c r="D5" s="82">
        <f t="shared" si="0"/>
        <v>-3456</v>
      </c>
      <c r="E5" s="82">
        <f t="shared" si="0"/>
        <v>-3456</v>
      </c>
      <c r="F5" s="82">
        <f t="shared" si="0"/>
        <v>-3456</v>
      </c>
      <c r="G5" s="153">
        <f t="shared" si="0"/>
        <v>-3456</v>
      </c>
      <c r="H5" s="81"/>
    </row>
    <row r="6" spans="1:8">
      <c r="A6" s="89" t="s">
        <v>158</v>
      </c>
      <c r="B6" s="66"/>
      <c r="C6" s="82">
        <f>-'COSTOS&amp;GASTOS'!E20</f>
        <v>-3600</v>
      </c>
      <c r="D6" s="82">
        <f t="shared" si="0"/>
        <v>-3600</v>
      </c>
      <c r="E6" s="82">
        <f t="shared" si="0"/>
        <v>-3600</v>
      </c>
      <c r="F6" s="82">
        <f t="shared" si="0"/>
        <v>-3600</v>
      </c>
      <c r="G6" s="153">
        <f t="shared" si="0"/>
        <v>-3600</v>
      </c>
      <c r="H6" s="81"/>
    </row>
    <row r="7" spans="1:8">
      <c r="A7" s="89" t="s">
        <v>160</v>
      </c>
      <c r="B7" s="66"/>
      <c r="C7" s="82" t="e">
        <f>-'COSTOS&amp;GASTOS'!#REF!</f>
        <v>#REF!</v>
      </c>
      <c r="D7" s="82" t="e">
        <f t="shared" si="0"/>
        <v>#REF!</v>
      </c>
      <c r="E7" s="82" t="e">
        <f t="shared" si="0"/>
        <v>#REF!</v>
      </c>
      <c r="F7" s="82" t="e">
        <f t="shared" si="0"/>
        <v>#REF!</v>
      </c>
      <c r="G7" s="153" t="e">
        <f t="shared" si="0"/>
        <v>#REF!</v>
      </c>
      <c r="H7" s="81"/>
    </row>
    <row r="8" spans="1:8">
      <c r="A8" s="89" t="s">
        <v>161</v>
      </c>
      <c r="B8" s="66"/>
      <c r="C8" s="82">
        <f>-'COSTOS&amp;GASTOS'!E21</f>
        <v>-6534</v>
      </c>
      <c r="D8" s="82">
        <f t="shared" si="0"/>
        <v>-6534</v>
      </c>
      <c r="E8" s="82">
        <f t="shared" si="0"/>
        <v>-6534</v>
      </c>
      <c r="F8" s="82">
        <f t="shared" si="0"/>
        <v>-6534</v>
      </c>
      <c r="G8" s="153">
        <f t="shared" si="0"/>
        <v>-6534</v>
      </c>
      <c r="H8" s="81"/>
    </row>
    <row r="9" spans="1:8">
      <c r="A9" s="89" t="s">
        <v>156</v>
      </c>
      <c r="B9" s="66"/>
      <c r="C9" s="82" t="e">
        <f>-'COSTOS&amp;GASTOS'!#REF!</f>
        <v>#REF!</v>
      </c>
      <c r="D9" s="82" t="e">
        <f t="shared" si="0"/>
        <v>#REF!</v>
      </c>
      <c r="E9" s="82" t="e">
        <f t="shared" si="0"/>
        <v>#REF!</v>
      </c>
      <c r="F9" s="82" t="e">
        <f t="shared" si="0"/>
        <v>#REF!</v>
      </c>
      <c r="G9" s="153" t="e">
        <f t="shared" si="0"/>
        <v>#REF!</v>
      </c>
      <c r="H9" s="81"/>
    </row>
    <row r="10" spans="1:8">
      <c r="A10" s="89" t="s">
        <v>124</v>
      </c>
      <c r="B10" s="66"/>
      <c r="C10" s="82">
        <f>-'COSTOS&amp;GASTOS'!E23</f>
        <v>-7800</v>
      </c>
      <c r="D10" s="82">
        <f t="shared" si="0"/>
        <v>-7800</v>
      </c>
      <c r="E10" s="82">
        <f t="shared" si="0"/>
        <v>-7800</v>
      </c>
      <c r="F10" s="82">
        <f t="shared" si="0"/>
        <v>-7800</v>
      </c>
      <c r="G10" s="153">
        <f t="shared" si="0"/>
        <v>-7800</v>
      </c>
      <c r="H10" s="81"/>
    </row>
    <row r="11" spans="1:8">
      <c r="A11" s="89" t="s">
        <v>165</v>
      </c>
      <c r="B11" s="66"/>
      <c r="C11" s="82">
        <f>-'DEP Y AMORT.'!D9+'DEP Y AMORT.'!D7</f>
        <v>-24903.333333333332</v>
      </c>
      <c r="D11" s="82">
        <f>-'DEP Y AMORT.'!E9+'DEP Y AMORT.'!E7</f>
        <v>-24903.333333333332</v>
      </c>
      <c r="E11" s="82">
        <f>-'DEP Y AMORT.'!F9+'DEP Y AMORT.'!F7</f>
        <v>-24903.333333333332</v>
      </c>
      <c r="F11" s="82">
        <f>-'DEP Y AMORT.'!G9+'DEP Y AMORT.'!G7</f>
        <v>-24470</v>
      </c>
      <c r="G11" s="153">
        <f>-'DEP Y AMORT.'!H9+'DEP Y AMORT.'!H7</f>
        <v>-24470</v>
      </c>
      <c r="H11" s="81"/>
    </row>
    <row r="12" spans="1:8">
      <c r="A12" s="89" t="s">
        <v>166</v>
      </c>
      <c r="B12" s="66"/>
      <c r="C12" s="82">
        <f>-'DEP Y AMORT.'!D7</f>
        <v>-380</v>
      </c>
      <c r="D12" s="82">
        <f>-'DEP Y AMORT.'!E7</f>
        <v>-380</v>
      </c>
      <c r="E12" s="82">
        <f>-'DEP Y AMORT.'!F7</f>
        <v>-380</v>
      </c>
      <c r="F12" s="82">
        <f>-'DEP Y AMORT.'!G7</f>
        <v>-380</v>
      </c>
      <c r="G12" s="153">
        <f>-'DEP Y AMORT.'!H7</f>
        <v>-380</v>
      </c>
      <c r="H12" s="81"/>
    </row>
    <row r="13" spans="1:8">
      <c r="A13" s="89" t="s">
        <v>199</v>
      </c>
      <c r="B13" s="66"/>
      <c r="C13" s="82" t="e">
        <f>-'COSTOS&amp;GASTOS'!#REF!</f>
        <v>#REF!</v>
      </c>
      <c r="D13" s="82" t="e">
        <f>+C13</f>
        <v>#REF!</v>
      </c>
      <c r="E13" s="82" t="e">
        <f>+D13</f>
        <v>#REF!</v>
      </c>
      <c r="F13" s="82" t="e">
        <f>+E13</f>
        <v>#REF!</v>
      </c>
      <c r="G13" s="153" t="e">
        <f>+F13</f>
        <v>#REF!</v>
      </c>
      <c r="H13" s="81"/>
    </row>
    <row r="14" spans="1:8">
      <c r="A14" s="90" t="s">
        <v>175</v>
      </c>
      <c r="B14" s="157"/>
      <c r="C14" s="158" t="e">
        <f>SUM(C2:C13)</f>
        <v>#REF!</v>
      </c>
      <c r="D14" s="158" t="e">
        <f>SUM(D2:D13)</f>
        <v>#REF!</v>
      </c>
      <c r="E14" s="158" t="e">
        <f>SUM(E2:E13)</f>
        <v>#REF!</v>
      </c>
      <c r="F14" s="158" t="e">
        <f>SUM(F2:F13)</f>
        <v>#REF!</v>
      </c>
      <c r="G14" s="159" t="e">
        <f>SUM(G2:G13)</f>
        <v>#REF!</v>
      </c>
      <c r="H14" s="81"/>
    </row>
    <row r="15" spans="1:8">
      <c r="A15" s="89" t="s">
        <v>180</v>
      </c>
      <c r="B15" s="66"/>
      <c r="C15" s="82" t="e">
        <f>-0.15*C14</f>
        <v>#REF!</v>
      </c>
      <c r="D15" s="82" t="e">
        <f>-0.15*D14</f>
        <v>#REF!</v>
      </c>
      <c r="E15" s="82" t="e">
        <f>-0.15*E14</f>
        <v>#REF!</v>
      </c>
      <c r="F15" s="82" t="e">
        <f>-0.15*F14</f>
        <v>#REF!</v>
      </c>
      <c r="G15" s="153" t="e">
        <f>-0.15*G14</f>
        <v>#REF!</v>
      </c>
      <c r="H15" s="81"/>
    </row>
    <row r="16" spans="1:8">
      <c r="A16" s="89" t="s">
        <v>163</v>
      </c>
      <c r="B16" s="66"/>
      <c r="C16" s="82" t="e">
        <f>C14+C15</f>
        <v>#REF!</v>
      </c>
      <c r="D16" s="82" t="e">
        <f>D14+D15</f>
        <v>#REF!</v>
      </c>
      <c r="E16" s="82" t="e">
        <f>E14+E15</f>
        <v>#REF!</v>
      </c>
      <c r="F16" s="82" t="e">
        <f>F14+F15</f>
        <v>#REF!</v>
      </c>
      <c r="G16" s="153" t="e">
        <f>G14+G15</f>
        <v>#REF!</v>
      </c>
      <c r="H16" s="81"/>
    </row>
    <row r="17" spans="1:15">
      <c r="A17" s="89" t="s">
        <v>164</v>
      </c>
      <c r="B17" s="66"/>
      <c r="C17" s="82" t="e">
        <f>-0.25*C16</f>
        <v>#REF!</v>
      </c>
      <c r="D17" s="82" t="e">
        <f>-0.25*D16</f>
        <v>#REF!</v>
      </c>
      <c r="E17" s="82" t="e">
        <f>-0.25*E16</f>
        <v>#REF!</v>
      </c>
      <c r="F17" s="82" t="e">
        <f>-0.25*F16</f>
        <v>#REF!</v>
      </c>
      <c r="G17" s="153" t="e">
        <f>-0.25*G16</f>
        <v>#REF!</v>
      </c>
      <c r="H17" s="81"/>
    </row>
    <row r="18" spans="1:15">
      <c r="A18" s="90" t="s">
        <v>176</v>
      </c>
      <c r="B18" s="157"/>
      <c r="C18" s="158" t="e">
        <f>SUM(C16:C17)</f>
        <v>#REF!</v>
      </c>
      <c r="D18" s="158" t="e">
        <f>SUM(D16:D17)</f>
        <v>#REF!</v>
      </c>
      <c r="E18" s="158" t="e">
        <f>SUM(E16:E17)</f>
        <v>#REF!</v>
      </c>
      <c r="F18" s="158" t="e">
        <f>SUM(F16:F17)</f>
        <v>#REF!</v>
      </c>
      <c r="G18" s="159" t="e">
        <f>SUM(G16:G17)</f>
        <v>#REF!</v>
      </c>
      <c r="H18" s="81"/>
    </row>
    <row r="19" spans="1:15">
      <c r="A19" s="89" t="s">
        <v>165</v>
      </c>
      <c r="B19" s="66"/>
      <c r="C19" s="82">
        <f t="shared" ref="C19:G20" si="1">-C11</f>
        <v>24903.333333333332</v>
      </c>
      <c r="D19" s="82">
        <f t="shared" si="1"/>
        <v>24903.333333333332</v>
      </c>
      <c r="E19" s="82">
        <f t="shared" si="1"/>
        <v>24903.333333333332</v>
      </c>
      <c r="F19" s="82">
        <f t="shared" si="1"/>
        <v>24470</v>
      </c>
      <c r="G19" s="153">
        <f t="shared" si="1"/>
        <v>24470</v>
      </c>
      <c r="H19" s="81"/>
    </row>
    <row r="20" spans="1:15">
      <c r="A20" s="89" t="s">
        <v>166</v>
      </c>
      <c r="B20" s="66"/>
      <c r="C20" s="82">
        <f t="shared" si="1"/>
        <v>380</v>
      </c>
      <c r="D20" s="82">
        <f t="shared" si="1"/>
        <v>380</v>
      </c>
      <c r="E20" s="82">
        <f t="shared" si="1"/>
        <v>380</v>
      </c>
      <c r="F20" s="82">
        <f t="shared" si="1"/>
        <v>380</v>
      </c>
      <c r="G20" s="153">
        <f t="shared" si="1"/>
        <v>380</v>
      </c>
      <c r="H20" s="81"/>
    </row>
    <row r="21" spans="1:15">
      <c r="A21" s="89" t="s">
        <v>168</v>
      </c>
      <c r="B21" s="82">
        <f>-FINANCIAMIENTO!B4-FINANCIAMIENTO!B5-FINANCIAMIENTO!B6</f>
        <v>-246000</v>
      </c>
      <c r="C21" s="82"/>
      <c r="D21" s="82"/>
      <c r="E21" s="82"/>
      <c r="F21" s="82"/>
      <c r="G21" s="153"/>
      <c r="H21" s="81"/>
    </row>
    <row r="22" spans="1:15">
      <c r="A22" s="89" t="s">
        <v>169</v>
      </c>
      <c r="B22" s="82">
        <f>-FINANCIAMIENTO!B7</f>
        <v>-1900</v>
      </c>
      <c r="C22" s="82"/>
      <c r="D22" s="82"/>
      <c r="E22" s="82"/>
      <c r="F22" s="82"/>
      <c r="G22" s="153"/>
      <c r="H22" s="81"/>
    </row>
    <row r="23" spans="1:15">
      <c r="A23" s="89" t="s">
        <v>200</v>
      </c>
      <c r="B23" s="82" t="e">
        <f>'CAP. TRABAJO'!B23-FINANCIAMIENTO!#REF!</f>
        <v>#REF!</v>
      </c>
      <c r="C23" s="82"/>
      <c r="D23" s="82"/>
      <c r="E23" s="82"/>
      <c r="F23" s="82"/>
      <c r="G23" s="153"/>
      <c r="H23" s="81"/>
    </row>
    <row r="24" spans="1:15">
      <c r="A24" s="89" t="s">
        <v>170</v>
      </c>
      <c r="B24" s="82"/>
      <c r="C24" s="82"/>
      <c r="D24" s="82"/>
      <c r="E24" s="82">
        <f>-'DEP Y AMORT.'!B5</f>
        <v>-1300</v>
      </c>
      <c r="F24" s="82"/>
      <c r="G24" s="153"/>
      <c r="H24" s="81"/>
    </row>
    <row r="25" spans="1:15">
      <c r="A25" s="89" t="s">
        <v>201</v>
      </c>
      <c r="B25" s="82"/>
      <c r="C25" s="82"/>
      <c r="D25" s="82"/>
      <c r="E25" s="82"/>
      <c r="F25" s="82"/>
      <c r="G25" s="153" t="e">
        <f>-B23+'DEP Y AMORT.'!N9</f>
        <v>#REF!</v>
      </c>
      <c r="H25" s="81"/>
    </row>
    <row r="26" spans="1:15">
      <c r="A26" s="135"/>
      <c r="B26" s="155"/>
      <c r="C26" s="155"/>
      <c r="D26" s="155"/>
      <c r="E26" s="155"/>
      <c r="F26" s="155"/>
      <c r="G26" s="156"/>
      <c r="H26" s="81"/>
    </row>
    <row r="27" spans="1:15" ht="13.5" thickBot="1">
      <c r="A27" s="47" t="s">
        <v>173</v>
      </c>
      <c r="B27" s="152" t="e">
        <f>SUM(B21:B26)</f>
        <v>#REF!</v>
      </c>
      <c r="C27" s="152" t="e">
        <f>C18+C19+C20+C24+C25</f>
        <v>#REF!</v>
      </c>
      <c r="D27" s="152" t="e">
        <f>D18+D19+D20+D24+D25</f>
        <v>#REF!</v>
      </c>
      <c r="E27" s="152" t="e">
        <f>E18+E19+E20+E24+E25</f>
        <v>#REF!</v>
      </c>
      <c r="F27" s="152" t="e">
        <f>F18+F19+F20+F24+F25</f>
        <v>#REF!</v>
      </c>
      <c r="G27" s="154" t="e">
        <f>G18+G19+G20+G24+G25</f>
        <v>#REF!</v>
      </c>
      <c r="H27" s="81"/>
    </row>
    <row r="28" spans="1:15" ht="13.5" thickBot="1"/>
    <row r="29" spans="1:15">
      <c r="A29" s="62" t="s">
        <v>211</v>
      </c>
      <c r="B29" s="64" t="e">
        <f>NPV(27.72%,C27:G27)+B27</f>
        <v>#REF!</v>
      </c>
      <c r="I29" s="107"/>
      <c r="J29" s="96" t="s">
        <v>204</v>
      </c>
      <c r="K29" s="96" t="s">
        <v>205</v>
      </c>
      <c r="L29" s="96" t="s">
        <v>206</v>
      </c>
      <c r="M29" s="96" t="s">
        <v>207</v>
      </c>
      <c r="N29" s="96" t="s">
        <v>208</v>
      </c>
      <c r="O29" s="97" t="s">
        <v>209</v>
      </c>
    </row>
    <row r="30" spans="1:15">
      <c r="A30" s="62" t="s">
        <v>174</v>
      </c>
      <c r="B30" s="162" t="e">
        <f>IRR(B27:G27)</f>
        <v>#VALUE!</v>
      </c>
      <c r="I30" s="161" t="s">
        <v>202</v>
      </c>
      <c r="J30" s="275" t="e">
        <f t="shared" ref="J30:O30" si="2">+B27</f>
        <v>#REF!</v>
      </c>
      <c r="K30" s="275" t="e">
        <f t="shared" si="2"/>
        <v>#REF!</v>
      </c>
      <c r="L30" s="275" t="e">
        <f t="shared" si="2"/>
        <v>#REF!</v>
      </c>
      <c r="M30" s="275" t="e">
        <f t="shared" si="2"/>
        <v>#REF!</v>
      </c>
      <c r="N30" s="275" t="e">
        <f t="shared" si="2"/>
        <v>#REF!</v>
      </c>
      <c r="O30" s="277" t="e">
        <f t="shared" si="2"/>
        <v>#REF!</v>
      </c>
    </row>
    <row r="31" spans="1:15" ht="13.5" thickBot="1">
      <c r="I31" s="160" t="s">
        <v>203</v>
      </c>
      <c r="J31" s="276"/>
      <c r="K31" s="276"/>
      <c r="L31" s="276"/>
      <c r="M31" s="276"/>
      <c r="N31" s="276"/>
      <c r="O31" s="278"/>
    </row>
  </sheetData>
  <mergeCells count="6">
    <mergeCell ref="N30:N31"/>
    <mergeCell ref="O30:O31"/>
    <mergeCell ref="J30:J31"/>
    <mergeCell ref="K30:K31"/>
    <mergeCell ref="L30:L31"/>
    <mergeCell ref="M30:M31"/>
  </mergeCells>
  <phoneticPr fontId="3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D31" sqref="D31"/>
    </sheetView>
  </sheetViews>
  <sheetFormatPr baseColWidth="10" defaultRowHeight="12.75"/>
  <cols>
    <col min="1" max="1" width="4.85546875" style="4" bestFit="1" customWidth="1"/>
    <col min="2" max="2" width="13.28515625" style="4" bestFit="1" customWidth="1"/>
    <col min="3" max="3" width="11.42578125" style="4"/>
    <col min="4" max="4" width="17.42578125" style="4" bestFit="1" customWidth="1"/>
    <col min="5" max="5" width="11.42578125" style="4"/>
    <col min="6" max="6" width="14.42578125" style="4" bestFit="1" customWidth="1"/>
    <col min="7" max="7" width="4.85546875" style="4" bestFit="1" customWidth="1"/>
    <col min="8" max="16384" width="11.42578125" style="4"/>
  </cols>
  <sheetData>
    <row r="1" spans="1:7">
      <c r="A1" s="9"/>
      <c r="B1" s="12"/>
      <c r="C1" s="12"/>
      <c r="D1" s="7"/>
      <c r="E1" s="12"/>
      <c r="F1" s="12"/>
      <c r="G1" s="15"/>
    </row>
    <row r="2" spans="1:7">
      <c r="A2" s="10"/>
      <c r="B2" s="13"/>
      <c r="C2" s="13"/>
      <c r="D2" s="5" t="s">
        <v>9</v>
      </c>
      <c r="E2" s="13"/>
      <c r="F2" s="13"/>
      <c r="G2" s="16"/>
    </row>
    <row r="3" spans="1:7">
      <c r="A3" s="10"/>
      <c r="B3" s="13"/>
      <c r="C3" s="13"/>
      <c r="D3" s="6" t="s">
        <v>4</v>
      </c>
      <c r="E3" s="13"/>
      <c r="F3" s="13"/>
      <c r="G3" s="16"/>
    </row>
    <row r="4" spans="1:7">
      <c r="A4" s="10"/>
      <c r="B4" s="13"/>
      <c r="C4" s="13"/>
      <c r="D4" s="13"/>
      <c r="E4" s="13"/>
      <c r="F4" s="13"/>
      <c r="G4" s="16"/>
    </row>
    <row r="5" spans="1:7">
      <c r="A5" s="10"/>
      <c r="B5" s="13"/>
      <c r="C5" s="13"/>
      <c r="D5" s="13"/>
      <c r="E5" s="13"/>
      <c r="F5" s="13"/>
      <c r="G5" s="16"/>
    </row>
    <row r="6" spans="1:7">
      <c r="A6" s="10"/>
      <c r="B6" s="13"/>
      <c r="C6" s="13"/>
      <c r="D6" s="13"/>
      <c r="E6" s="13"/>
      <c r="F6" s="13"/>
      <c r="G6" s="16"/>
    </row>
    <row r="7" spans="1:7">
      <c r="A7" s="10"/>
      <c r="B7" s="5" t="s">
        <v>12</v>
      </c>
      <c r="C7" s="13"/>
      <c r="D7" s="5" t="s">
        <v>11</v>
      </c>
      <c r="E7" s="13"/>
      <c r="F7" s="5" t="s">
        <v>10</v>
      </c>
      <c r="G7" s="16"/>
    </row>
    <row r="8" spans="1:7">
      <c r="A8" s="10"/>
      <c r="B8" s="6" t="s">
        <v>7</v>
      </c>
      <c r="C8" s="13"/>
      <c r="D8" s="6" t="s">
        <v>5</v>
      </c>
      <c r="E8" s="13"/>
      <c r="F8" s="6" t="s">
        <v>6</v>
      </c>
      <c r="G8" s="16"/>
    </row>
    <row r="9" spans="1:7">
      <c r="A9" s="10"/>
      <c r="B9" s="13"/>
      <c r="C9" s="13"/>
      <c r="D9" s="13"/>
      <c r="E9" s="13"/>
      <c r="F9" s="13"/>
      <c r="G9" s="16"/>
    </row>
    <row r="10" spans="1:7">
      <c r="A10" s="10"/>
      <c r="B10" s="13"/>
      <c r="C10" s="13"/>
      <c r="D10" s="13"/>
      <c r="E10" s="13"/>
      <c r="F10" s="13"/>
      <c r="G10" s="16"/>
    </row>
    <row r="11" spans="1:7">
      <c r="A11" s="10"/>
      <c r="B11" s="13"/>
      <c r="C11" s="13"/>
      <c r="D11" s="13"/>
      <c r="E11" s="13"/>
      <c r="F11" s="13"/>
      <c r="G11" s="16"/>
    </row>
    <row r="12" spans="1:7">
      <c r="A12" s="10"/>
      <c r="B12" s="13"/>
      <c r="C12" s="13"/>
      <c r="D12" s="5" t="s">
        <v>13</v>
      </c>
      <c r="E12" s="13"/>
      <c r="F12" s="13"/>
      <c r="G12" s="16"/>
    </row>
    <row r="13" spans="1:7">
      <c r="A13" s="10"/>
      <c r="B13" s="13"/>
      <c r="C13" s="13"/>
      <c r="D13" s="6" t="s">
        <v>8</v>
      </c>
      <c r="E13" s="13"/>
      <c r="F13" s="13"/>
      <c r="G13" s="16"/>
    </row>
    <row r="14" spans="1:7" ht="13.5" thickBot="1">
      <c r="A14" s="11"/>
      <c r="B14" s="14"/>
      <c r="C14" s="14"/>
      <c r="D14" s="8"/>
      <c r="E14" s="14"/>
      <c r="F14" s="14"/>
      <c r="G14" s="17"/>
    </row>
  </sheetData>
  <phoneticPr fontId="3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D30" sqref="D30"/>
    </sheetView>
  </sheetViews>
  <sheetFormatPr baseColWidth="10" defaultRowHeight="12.75"/>
  <cols>
    <col min="1" max="1" width="15.42578125" bestFit="1" customWidth="1"/>
  </cols>
  <sheetData>
    <row r="1" spans="1:2">
      <c r="A1" t="s">
        <v>14</v>
      </c>
      <c r="B1" s="3">
        <v>0.8</v>
      </c>
    </row>
    <row r="2" spans="1:2">
      <c r="A2" t="s">
        <v>15</v>
      </c>
      <c r="B2" s="3">
        <v>0.1</v>
      </c>
    </row>
    <row r="3" spans="1:2">
      <c r="A3" t="s">
        <v>16</v>
      </c>
      <c r="B3" s="3">
        <v>7.0000000000000007E-2</v>
      </c>
    </row>
    <row r="4" spans="1:2">
      <c r="A4" t="s">
        <v>17</v>
      </c>
      <c r="B4" s="3">
        <v>0.03</v>
      </c>
    </row>
  </sheetData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C39" sqref="C39"/>
    </sheetView>
  </sheetViews>
  <sheetFormatPr baseColWidth="10" defaultRowHeight="12"/>
  <cols>
    <col min="1" max="2" width="5" style="18" bestFit="1" customWidth="1"/>
    <col min="3" max="3" width="49.5703125" style="18" bestFit="1" customWidth="1"/>
    <col min="4" max="4" width="6" style="18" bestFit="1" customWidth="1"/>
    <col min="5" max="5" width="7.7109375" style="18" bestFit="1" customWidth="1"/>
    <col min="6" max="16384" width="11.42578125" style="18"/>
  </cols>
  <sheetData>
    <row r="1" spans="1:5" ht="12.75" thickBot="1">
      <c r="A1" s="246" t="s">
        <v>18</v>
      </c>
      <c r="B1" s="247"/>
      <c r="C1" s="19"/>
      <c r="D1" s="19"/>
      <c r="E1" s="19"/>
    </row>
    <row r="2" spans="1:5">
      <c r="A2" s="23">
        <v>2006</v>
      </c>
      <c r="B2" s="24">
        <v>2005</v>
      </c>
      <c r="C2" s="25" t="s">
        <v>30</v>
      </c>
      <c r="D2" s="25" t="s">
        <v>34</v>
      </c>
      <c r="E2" s="26" t="s">
        <v>31</v>
      </c>
    </row>
    <row r="3" spans="1:5">
      <c r="A3" s="27">
        <v>1</v>
      </c>
      <c r="B3" s="20">
        <v>1</v>
      </c>
      <c r="C3" s="21" t="s">
        <v>20</v>
      </c>
      <c r="D3" s="21">
        <v>121.6</v>
      </c>
      <c r="E3" s="28">
        <f>D3/$D$14</f>
        <v>0.19428023645949832</v>
      </c>
    </row>
    <row r="4" spans="1:5">
      <c r="A4" s="27">
        <v>2</v>
      </c>
      <c r="B4" s="20">
        <v>2</v>
      </c>
      <c r="C4" s="21" t="s">
        <v>21</v>
      </c>
      <c r="D4" s="21">
        <v>105</v>
      </c>
      <c r="E4" s="28">
        <f t="shared" ref="E4:E14" si="0">D4/$D$14</f>
        <v>0.16775842786387601</v>
      </c>
    </row>
    <row r="5" spans="1:5">
      <c r="A5" s="27">
        <v>3</v>
      </c>
      <c r="B5" s="20">
        <v>3</v>
      </c>
      <c r="C5" s="21" t="s">
        <v>22</v>
      </c>
      <c r="D5" s="21">
        <v>55.2</v>
      </c>
      <c r="E5" s="28">
        <f t="shared" si="0"/>
        <v>8.8193002077009114E-2</v>
      </c>
    </row>
    <row r="6" spans="1:5">
      <c r="A6" s="27">
        <v>4</v>
      </c>
      <c r="B6" s="20">
        <v>4</v>
      </c>
      <c r="C6" s="21" t="s">
        <v>23</v>
      </c>
      <c r="D6" s="21">
        <v>37.1</v>
      </c>
      <c r="E6" s="28">
        <f t="shared" si="0"/>
        <v>5.9274644511902862E-2</v>
      </c>
    </row>
    <row r="7" spans="1:5">
      <c r="A7" s="27">
        <v>5</v>
      </c>
      <c r="B7" s="20">
        <v>8</v>
      </c>
      <c r="C7" s="21" t="s">
        <v>24</v>
      </c>
      <c r="D7" s="21">
        <v>30.8</v>
      </c>
      <c r="E7" s="28">
        <f t="shared" si="0"/>
        <v>4.9209138840070304E-2</v>
      </c>
    </row>
    <row r="8" spans="1:5">
      <c r="A8" s="27">
        <v>6</v>
      </c>
      <c r="B8" s="20">
        <v>5</v>
      </c>
      <c r="C8" s="21" t="s">
        <v>25</v>
      </c>
      <c r="D8" s="21">
        <v>28.8</v>
      </c>
      <c r="E8" s="28">
        <f t="shared" si="0"/>
        <v>4.6013740214091714E-2</v>
      </c>
    </row>
    <row r="9" spans="1:5">
      <c r="A9" s="27">
        <v>7</v>
      </c>
      <c r="B9" s="20">
        <v>6</v>
      </c>
      <c r="C9" s="21" t="s">
        <v>26</v>
      </c>
      <c r="D9" s="21">
        <v>23.8</v>
      </c>
      <c r="E9" s="28">
        <f t="shared" si="0"/>
        <v>3.8025243649145231E-2</v>
      </c>
    </row>
    <row r="10" spans="1:5">
      <c r="A10" s="27">
        <v>8</v>
      </c>
      <c r="B10" s="20">
        <v>10</v>
      </c>
      <c r="C10" s="21" t="s">
        <v>27</v>
      </c>
      <c r="D10" s="21">
        <v>15.5</v>
      </c>
      <c r="E10" s="28">
        <f t="shared" si="0"/>
        <v>2.476433935133408E-2</v>
      </c>
    </row>
    <row r="11" spans="1:5">
      <c r="A11" s="27">
        <v>9</v>
      </c>
      <c r="B11" s="20">
        <v>7</v>
      </c>
      <c r="C11" s="21" t="s">
        <v>28</v>
      </c>
      <c r="D11" s="21">
        <v>13.5</v>
      </c>
      <c r="E11" s="28">
        <f t="shared" si="0"/>
        <v>2.1568940725355489E-2</v>
      </c>
    </row>
    <row r="12" spans="1:5">
      <c r="A12" s="27">
        <v>10</v>
      </c>
      <c r="B12" s="20" t="s">
        <v>19</v>
      </c>
      <c r="C12" s="21" t="s">
        <v>29</v>
      </c>
      <c r="D12" s="21">
        <v>12.3</v>
      </c>
      <c r="E12" s="28">
        <f t="shared" si="0"/>
        <v>1.9651701549768336E-2</v>
      </c>
    </row>
    <row r="13" spans="1:5">
      <c r="A13" s="248" t="s">
        <v>32</v>
      </c>
      <c r="B13" s="249"/>
      <c r="C13" s="249"/>
      <c r="D13" s="22">
        <f>SUM(D3:D12)</f>
        <v>443.60000000000008</v>
      </c>
      <c r="E13" s="29">
        <f t="shared" si="0"/>
        <v>0.70873941524205164</v>
      </c>
    </row>
    <row r="14" spans="1:5" ht="12.75" thickBot="1">
      <c r="A14" s="250" t="s">
        <v>33</v>
      </c>
      <c r="B14" s="251"/>
      <c r="C14" s="251"/>
      <c r="D14" s="30">
        <v>625.9</v>
      </c>
      <c r="E14" s="31">
        <f t="shared" si="0"/>
        <v>1</v>
      </c>
    </row>
  </sheetData>
  <mergeCells count="3">
    <mergeCell ref="A1:B1"/>
    <mergeCell ref="A13:C13"/>
    <mergeCell ref="A14:C14"/>
  </mergeCells>
  <phoneticPr fontId="3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J31" sqref="J31"/>
    </sheetView>
  </sheetViews>
  <sheetFormatPr baseColWidth="10" defaultRowHeight="12.75"/>
  <cols>
    <col min="1" max="6" width="11.42578125" style="38"/>
    <col min="7" max="7" width="7.5703125" style="38" bestFit="1" customWidth="1"/>
    <col min="8" max="8" width="8" style="38" bestFit="1" customWidth="1"/>
    <col min="9" max="9" width="9" style="38" bestFit="1" customWidth="1"/>
    <col min="10" max="10" width="10" style="38" bestFit="1" customWidth="1"/>
    <col min="11" max="11" width="12.5703125" style="38" bestFit="1" customWidth="1"/>
    <col min="12" max="16384" width="11.42578125" style="38"/>
  </cols>
  <sheetData>
    <row r="1" spans="1:11">
      <c r="A1" s="32"/>
      <c r="B1" s="33"/>
      <c r="C1" s="32"/>
      <c r="D1" s="33"/>
      <c r="E1" s="32"/>
      <c r="F1" s="33"/>
      <c r="G1" s="32"/>
      <c r="H1" s="34"/>
      <c r="I1" s="34"/>
      <c r="J1" s="34"/>
      <c r="K1" s="33"/>
    </row>
    <row r="2" spans="1:11">
      <c r="A2" s="252" t="s">
        <v>35</v>
      </c>
      <c r="B2" s="253"/>
      <c r="C2" s="252" t="s">
        <v>36</v>
      </c>
      <c r="D2" s="253"/>
      <c r="E2" s="252" t="s">
        <v>36</v>
      </c>
      <c r="F2" s="253"/>
      <c r="G2" s="254" t="s">
        <v>37</v>
      </c>
      <c r="H2" s="255"/>
      <c r="I2" s="255"/>
      <c r="J2" s="255"/>
      <c r="K2" s="256"/>
    </row>
    <row r="3" spans="1:11">
      <c r="A3" s="35"/>
      <c r="B3" s="36"/>
      <c r="C3" s="254" t="s">
        <v>38</v>
      </c>
      <c r="D3" s="256"/>
      <c r="E3" s="254" t="s">
        <v>39</v>
      </c>
      <c r="F3" s="256"/>
      <c r="G3" s="40" t="s">
        <v>40</v>
      </c>
      <c r="H3" s="40" t="s">
        <v>41</v>
      </c>
      <c r="I3" s="40" t="s">
        <v>42</v>
      </c>
      <c r="J3" s="40" t="s">
        <v>43</v>
      </c>
      <c r="K3" s="41" t="s">
        <v>44</v>
      </c>
    </row>
    <row r="4" spans="1:11">
      <c r="A4" s="39"/>
      <c r="B4" s="39"/>
      <c r="C4" s="42"/>
      <c r="D4" s="42"/>
      <c r="E4" s="42"/>
      <c r="F4" s="42"/>
      <c r="G4" s="42"/>
      <c r="H4" s="42"/>
      <c r="I4" s="42"/>
      <c r="J4" s="42"/>
      <c r="K4" s="42"/>
    </row>
    <row r="5" spans="1:11">
      <c r="A5" s="37" t="s">
        <v>45</v>
      </c>
      <c r="B5" s="39"/>
      <c r="C5" s="257">
        <f>SUM(C7:C19)</f>
        <v>916646</v>
      </c>
      <c r="D5" s="257"/>
      <c r="E5" s="257">
        <f>SUM(G5:K5)</f>
        <v>334998</v>
      </c>
      <c r="F5" s="257"/>
      <c r="G5" s="43">
        <f>SUM(G7:G19)</f>
        <v>272406</v>
      </c>
      <c r="H5" s="43">
        <f>SUM(H7:H19)</f>
        <v>36908</v>
      </c>
      <c r="I5" s="43">
        <f>SUM(I7:I19)</f>
        <v>12084</v>
      </c>
      <c r="J5" s="43">
        <f>SUM(J7:J19)</f>
        <v>5902</v>
      </c>
      <c r="K5" s="43">
        <f>SUM(K7:K19)</f>
        <v>7698</v>
      </c>
    </row>
    <row r="6" spans="1:11">
      <c r="A6" s="39"/>
      <c r="B6" s="39"/>
      <c r="C6" s="42"/>
      <c r="D6" s="42"/>
      <c r="E6" s="42"/>
      <c r="F6" s="42"/>
      <c r="G6" s="42"/>
      <c r="H6" s="42"/>
      <c r="I6" s="42"/>
      <c r="J6" s="42"/>
      <c r="K6" s="42"/>
    </row>
    <row r="7" spans="1:11">
      <c r="A7" s="39" t="s">
        <v>46</v>
      </c>
      <c r="B7" s="39"/>
      <c r="C7" s="258">
        <v>317475</v>
      </c>
      <c r="D7" s="258"/>
      <c r="E7" s="258">
        <f>SUM(G7:K7)</f>
        <v>249343</v>
      </c>
      <c r="F7" s="258"/>
      <c r="G7" s="44">
        <v>249343</v>
      </c>
      <c r="H7" s="44">
        <v>0</v>
      </c>
      <c r="I7" s="44">
        <v>0</v>
      </c>
      <c r="J7" s="44">
        <v>0</v>
      </c>
      <c r="K7" s="44">
        <v>0</v>
      </c>
    </row>
    <row r="8" spans="1:11">
      <c r="A8" s="39"/>
      <c r="B8" s="39"/>
      <c r="C8" s="44"/>
      <c r="D8" s="42"/>
      <c r="E8" s="44"/>
      <c r="F8" s="42"/>
      <c r="G8" s="44"/>
      <c r="H8" s="44"/>
      <c r="I8" s="44"/>
      <c r="J8" s="44"/>
      <c r="K8" s="44"/>
    </row>
    <row r="9" spans="1:11">
      <c r="A9" s="39" t="s">
        <v>47</v>
      </c>
      <c r="B9" s="39"/>
      <c r="C9" s="258">
        <v>11898</v>
      </c>
      <c r="D9" s="258"/>
      <c r="E9" s="258">
        <f>SUM(G9:K9)</f>
        <v>11327</v>
      </c>
      <c r="F9" s="258"/>
      <c r="G9" s="44">
        <v>11265</v>
      </c>
      <c r="H9" s="44">
        <v>62</v>
      </c>
      <c r="I9" s="44">
        <v>0</v>
      </c>
      <c r="J9" s="44">
        <v>0</v>
      </c>
      <c r="K9" s="44">
        <v>0</v>
      </c>
    </row>
    <row r="10" spans="1:11">
      <c r="A10" s="39"/>
      <c r="B10" s="39"/>
      <c r="C10" s="44"/>
      <c r="D10" s="42"/>
      <c r="E10" s="42"/>
      <c r="F10" s="42"/>
      <c r="G10" s="44"/>
      <c r="H10" s="44"/>
      <c r="I10" s="44"/>
      <c r="J10" s="44"/>
      <c r="K10" s="44"/>
    </row>
    <row r="11" spans="1:11">
      <c r="A11" s="39" t="s">
        <v>48</v>
      </c>
      <c r="B11" s="39"/>
      <c r="C11" s="258">
        <v>343433</v>
      </c>
      <c r="D11" s="258"/>
      <c r="E11" s="258">
        <f>SUM(G11:K11)</f>
        <v>58024</v>
      </c>
      <c r="F11" s="258"/>
      <c r="G11" s="44">
        <v>11247</v>
      </c>
      <c r="H11" s="44">
        <v>32814</v>
      </c>
      <c r="I11" s="44">
        <v>8438</v>
      </c>
      <c r="J11" s="44">
        <v>3979</v>
      </c>
      <c r="K11" s="44">
        <v>1546</v>
      </c>
    </row>
    <row r="12" spans="1:11">
      <c r="A12" s="39"/>
      <c r="B12" s="39"/>
      <c r="C12" s="44"/>
      <c r="D12" s="42"/>
      <c r="E12" s="42"/>
      <c r="F12" s="42"/>
      <c r="G12" s="44"/>
      <c r="H12" s="44"/>
      <c r="I12" s="44"/>
      <c r="J12" s="44"/>
      <c r="K12" s="44"/>
    </row>
    <row r="13" spans="1:11">
      <c r="A13" s="39" t="s">
        <v>49</v>
      </c>
      <c r="B13" s="39"/>
      <c r="C13" s="258">
        <v>22662</v>
      </c>
      <c r="D13" s="258"/>
      <c r="E13" s="258">
        <f>SUM(G13:K13)</f>
        <v>2129</v>
      </c>
      <c r="F13" s="258"/>
      <c r="G13" s="44">
        <v>72</v>
      </c>
      <c r="H13" s="44">
        <v>801</v>
      </c>
      <c r="I13" s="44">
        <v>608</v>
      </c>
      <c r="J13" s="44">
        <v>236</v>
      </c>
      <c r="K13" s="44">
        <v>412</v>
      </c>
    </row>
    <row r="14" spans="1:11">
      <c r="A14" s="39"/>
      <c r="B14" s="39"/>
      <c r="C14" s="44"/>
      <c r="D14" s="42"/>
      <c r="E14" s="42"/>
      <c r="F14" s="42"/>
      <c r="G14" s="44"/>
      <c r="H14" s="44"/>
      <c r="I14" s="44"/>
      <c r="J14" s="44"/>
      <c r="K14" s="44"/>
    </row>
    <row r="15" spans="1:11">
      <c r="A15" s="39" t="s">
        <v>50</v>
      </c>
      <c r="B15" s="39"/>
      <c r="C15" s="258">
        <v>82843</v>
      </c>
      <c r="D15" s="258"/>
      <c r="E15" s="258">
        <f>SUM(G15:K15)</f>
        <v>7593</v>
      </c>
      <c r="F15" s="258"/>
      <c r="G15" s="44">
        <v>0</v>
      </c>
      <c r="H15" s="44">
        <v>2696</v>
      </c>
      <c r="I15" s="44">
        <v>2367</v>
      </c>
      <c r="J15" s="44">
        <v>1238</v>
      </c>
      <c r="K15" s="44">
        <v>1292</v>
      </c>
    </row>
    <row r="16" spans="1:11">
      <c r="A16" s="39"/>
      <c r="B16" s="39"/>
      <c r="C16" s="44"/>
      <c r="D16" s="42"/>
      <c r="E16" s="42"/>
      <c r="F16" s="42"/>
      <c r="G16" s="44"/>
      <c r="H16" s="44"/>
      <c r="I16" s="44"/>
      <c r="J16" s="44"/>
      <c r="K16" s="44"/>
    </row>
    <row r="17" spans="1:11">
      <c r="A17" s="39" t="s">
        <v>51</v>
      </c>
      <c r="B17" s="39"/>
      <c r="C17" s="258">
        <v>124353</v>
      </c>
      <c r="D17" s="258"/>
      <c r="E17" s="258">
        <f>SUM(G17:K17)</f>
        <v>4982</v>
      </c>
      <c r="F17" s="258"/>
      <c r="G17" s="44">
        <v>0</v>
      </c>
      <c r="H17" s="44">
        <v>109</v>
      </c>
      <c r="I17" s="44">
        <v>400</v>
      </c>
      <c r="J17" s="44">
        <v>308</v>
      </c>
      <c r="K17" s="44">
        <v>4165</v>
      </c>
    </row>
    <row r="18" spans="1:11">
      <c r="A18" s="39"/>
      <c r="B18" s="39"/>
      <c r="C18" s="44"/>
      <c r="D18" s="42"/>
      <c r="E18" s="42"/>
      <c r="F18" s="42"/>
      <c r="G18" s="44"/>
      <c r="H18" s="44"/>
      <c r="I18" s="44"/>
      <c r="J18" s="44"/>
      <c r="K18" s="44"/>
    </row>
    <row r="19" spans="1:11">
      <c r="A19" s="39" t="s">
        <v>52</v>
      </c>
      <c r="B19" s="39"/>
      <c r="C19" s="258">
        <v>13982</v>
      </c>
      <c r="D19" s="258"/>
      <c r="E19" s="258">
        <f>SUM(G19:K19)</f>
        <v>1600</v>
      </c>
      <c r="F19" s="258"/>
      <c r="G19" s="44">
        <v>479</v>
      </c>
      <c r="H19" s="44">
        <v>426</v>
      </c>
      <c r="I19" s="44">
        <v>271</v>
      </c>
      <c r="J19" s="44">
        <v>141</v>
      </c>
      <c r="K19" s="44">
        <v>283</v>
      </c>
    </row>
  </sheetData>
  <mergeCells count="22">
    <mergeCell ref="C11:D11"/>
    <mergeCell ref="E11:F11"/>
    <mergeCell ref="C13:D13"/>
    <mergeCell ref="E13:F13"/>
    <mergeCell ref="C19:D19"/>
    <mergeCell ref="E19:F19"/>
    <mergeCell ref="C15:D15"/>
    <mergeCell ref="E15:F15"/>
    <mergeCell ref="C17:D17"/>
    <mergeCell ref="E17:F17"/>
    <mergeCell ref="C5:D5"/>
    <mergeCell ref="E5:F5"/>
    <mergeCell ref="C7:D7"/>
    <mergeCell ref="E7:F7"/>
    <mergeCell ref="C9:D9"/>
    <mergeCell ref="E9:F9"/>
    <mergeCell ref="A2:B2"/>
    <mergeCell ref="C2:D2"/>
    <mergeCell ref="E2:F2"/>
    <mergeCell ref="G2:K2"/>
    <mergeCell ref="C3:D3"/>
    <mergeCell ref="E3:F3"/>
  </mergeCells>
  <phoneticPr fontId="3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D19" sqref="D19"/>
    </sheetView>
  </sheetViews>
  <sheetFormatPr baseColWidth="10" defaultRowHeight="12.75"/>
  <cols>
    <col min="3" max="4" width="15.7109375" customWidth="1"/>
  </cols>
  <sheetData>
    <row r="1" spans="1:4" ht="15" customHeight="1">
      <c r="A1" s="57" t="s">
        <v>53</v>
      </c>
      <c r="B1" s="58" t="s">
        <v>55</v>
      </c>
      <c r="C1" s="259" t="s">
        <v>59</v>
      </c>
      <c r="D1" s="260"/>
    </row>
    <row r="2" spans="1:4" ht="15" customHeight="1">
      <c r="A2" s="59" t="s">
        <v>54</v>
      </c>
      <c r="B2" s="45" t="s">
        <v>56</v>
      </c>
      <c r="C2" s="45" t="s">
        <v>57</v>
      </c>
      <c r="D2" s="60" t="s">
        <v>58</v>
      </c>
    </row>
    <row r="3" spans="1:4" ht="15" customHeight="1">
      <c r="A3" s="51" t="s">
        <v>60</v>
      </c>
      <c r="B3" s="49">
        <v>43</v>
      </c>
      <c r="C3" s="50">
        <v>3.25</v>
      </c>
      <c r="D3" s="52">
        <v>4.8</v>
      </c>
    </row>
    <row r="4" spans="1:4" ht="15" customHeight="1">
      <c r="A4" s="51">
        <v>208</v>
      </c>
      <c r="B4" s="49">
        <v>31</v>
      </c>
      <c r="C4" s="50">
        <v>2.34</v>
      </c>
      <c r="D4" s="52">
        <v>3.504</v>
      </c>
    </row>
    <row r="5" spans="1:4" ht="15" customHeight="1">
      <c r="A5" s="51" t="s">
        <v>61</v>
      </c>
      <c r="B5" s="49">
        <v>31</v>
      </c>
      <c r="C5" s="50">
        <v>1.81</v>
      </c>
      <c r="D5" s="52">
        <v>2.9689999999999999</v>
      </c>
    </row>
    <row r="6" spans="1:4" ht="15" customHeight="1">
      <c r="A6" s="51">
        <v>25.27</v>
      </c>
      <c r="B6" s="49">
        <v>28</v>
      </c>
      <c r="C6" s="50">
        <v>2.12</v>
      </c>
      <c r="D6" s="52">
        <v>3.2770000000000001</v>
      </c>
    </row>
    <row r="7" spans="1:4" ht="15" customHeight="1">
      <c r="A7" s="51" t="s">
        <v>62</v>
      </c>
      <c r="B7" s="49">
        <v>50</v>
      </c>
      <c r="C7" s="50">
        <v>2.0299999999999998</v>
      </c>
      <c r="D7" s="52">
        <v>3.431</v>
      </c>
    </row>
    <row r="8" spans="1:4" ht="15" customHeight="1">
      <c r="A8" s="51" t="s">
        <v>63</v>
      </c>
      <c r="B8" s="49">
        <v>50</v>
      </c>
      <c r="C8" s="50">
        <v>4</v>
      </c>
      <c r="D8" s="52">
        <v>5.6</v>
      </c>
    </row>
    <row r="9" spans="1:4" ht="15" customHeight="1" thickBot="1">
      <c r="A9" s="53" t="s">
        <v>64</v>
      </c>
      <c r="B9" s="54">
        <v>15</v>
      </c>
      <c r="C9" s="55">
        <v>3.05</v>
      </c>
      <c r="D9" s="56">
        <v>4.25</v>
      </c>
    </row>
  </sheetData>
  <mergeCells count="1">
    <mergeCell ref="C1:D1"/>
  </mergeCells>
  <phoneticPr fontId="3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E22" sqref="E22:F27"/>
    </sheetView>
  </sheetViews>
  <sheetFormatPr baseColWidth="10" defaultRowHeight="12.75"/>
  <cols>
    <col min="2" max="2" width="23.5703125" bestFit="1" customWidth="1"/>
    <col min="3" max="3" width="14.42578125" bestFit="1" customWidth="1"/>
    <col min="4" max="4" width="12.7109375" bestFit="1" customWidth="1"/>
    <col min="5" max="5" width="21.28515625" bestFit="1" customWidth="1"/>
    <col min="6" max="6" width="16.28515625" bestFit="1" customWidth="1"/>
  </cols>
  <sheetData>
    <row r="1" spans="1:4">
      <c r="A1" s="261" t="s">
        <v>65</v>
      </c>
      <c r="B1" s="261" t="s">
        <v>66</v>
      </c>
      <c r="C1" s="73" t="s">
        <v>67</v>
      </c>
      <c r="D1" s="74" t="s">
        <v>69</v>
      </c>
    </row>
    <row r="2" spans="1:4">
      <c r="A2" s="265"/>
      <c r="B2" s="265"/>
      <c r="C2" s="75" t="s">
        <v>68</v>
      </c>
      <c r="D2" s="76" t="s">
        <v>68</v>
      </c>
    </row>
    <row r="3" spans="1:4">
      <c r="A3" s="49">
        <v>1</v>
      </c>
      <c r="B3" s="167" t="s">
        <v>70</v>
      </c>
      <c r="C3" s="50">
        <f>0.6*C4</f>
        <v>54000</v>
      </c>
      <c r="D3" s="50">
        <f>C3*A3</f>
        <v>54000</v>
      </c>
    </row>
    <row r="4" spans="1:4">
      <c r="A4" s="49">
        <v>1</v>
      </c>
      <c r="B4" s="167" t="s">
        <v>71</v>
      </c>
      <c r="C4" s="50">
        <v>90000</v>
      </c>
      <c r="D4" s="50">
        <f>C4*A4</f>
        <v>90000</v>
      </c>
    </row>
    <row r="5" spans="1:4">
      <c r="A5" s="49">
        <v>1</v>
      </c>
      <c r="B5" s="167" t="s">
        <v>72</v>
      </c>
      <c r="C5" s="50">
        <v>98000</v>
      </c>
      <c r="D5" s="50">
        <f>C5*A5</f>
        <v>98000</v>
      </c>
    </row>
    <row r="6" spans="1:4">
      <c r="A6" s="66"/>
      <c r="B6" s="66"/>
      <c r="C6" s="66"/>
      <c r="D6" s="70"/>
    </row>
    <row r="7" spans="1:4">
      <c r="A7" s="67"/>
      <c r="B7" s="67"/>
      <c r="C7" s="48" t="s">
        <v>73</v>
      </c>
      <c r="D7" s="71">
        <f>SUM(D3:D6)</f>
        <v>242000</v>
      </c>
    </row>
    <row r="10" spans="1:4">
      <c r="A10" s="261" t="s">
        <v>65</v>
      </c>
      <c r="B10" s="261" t="s">
        <v>74</v>
      </c>
      <c r="C10" s="73" t="s">
        <v>67</v>
      </c>
      <c r="D10" s="74" t="s">
        <v>69</v>
      </c>
    </row>
    <row r="11" spans="1:4">
      <c r="A11" s="265"/>
      <c r="B11" s="265"/>
      <c r="C11" s="75" t="s">
        <v>68</v>
      </c>
      <c r="D11" s="76" t="s">
        <v>68</v>
      </c>
    </row>
    <row r="12" spans="1:4">
      <c r="A12" s="65">
        <v>2</v>
      </c>
      <c r="B12" s="66" t="s">
        <v>75</v>
      </c>
      <c r="C12" s="68">
        <v>650</v>
      </c>
      <c r="D12" s="69">
        <f t="shared" ref="D12:D17" si="0">C12*A12</f>
        <v>1300</v>
      </c>
    </row>
    <row r="13" spans="1:4">
      <c r="A13" s="49">
        <v>2</v>
      </c>
      <c r="B13" s="167" t="s">
        <v>76</v>
      </c>
      <c r="C13" s="50">
        <v>120</v>
      </c>
      <c r="D13" s="50">
        <f t="shared" si="0"/>
        <v>240</v>
      </c>
    </row>
    <row r="14" spans="1:4">
      <c r="A14" s="49">
        <v>4</v>
      </c>
      <c r="B14" s="167" t="s">
        <v>77</v>
      </c>
      <c r="C14" s="50">
        <v>25</v>
      </c>
      <c r="D14" s="50">
        <f t="shared" si="0"/>
        <v>100</v>
      </c>
    </row>
    <row r="15" spans="1:4">
      <c r="A15" s="49">
        <v>1</v>
      </c>
      <c r="B15" s="167" t="s">
        <v>78</v>
      </c>
      <c r="C15" s="50">
        <v>170</v>
      </c>
      <c r="D15" s="50">
        <f t="shared" si="0"/>
        <v>170</v>
      </c>
    </row>
    <row r="16" spans="1:4">
      <c r="A16" s="49">
        <v>1</v>
      </c>
      <c r="B16" s="167" t="s">
        <v>79</v>
      </c>
      <c r="C16" s="50">
        <v>110</v>
      </c>
      <c r="D16" s="50">
        <f t="shared" si="0"/>
        <v>110</v>
      </c>
    </row>
    <row r="17" spans="1:6">
      <c r="A17" s="49">
        <v>1</v>
      </c>
      <c r="B17" s="167" t="s">
        <v>80</v>
      </c>
      <c r="C17" s="50">
        <v>80</v>
      </c>
      <c r="D17" s="50">
        <f t="shared" si="0"/>
        <v>80</v>
      </c>
    </row>
    <row r="18" spans="1:6">
      <c r="A18" s="66"/>
      <c r="B18" s="66"/>
      <c r="C18" s="66"/>
      <c r="D18" s="72"/>
    </row>
    <row r="19" spans="1:6">
      <c r="A19" s="67"/>
      <c r="B19" s="67"/>
      <c r="C19" s="48" t="s">
        <v>73</v>
      </c>
      <c r="D19" s="71">
        <f>SUM(D12:D18)</f>
        <v>2000</v>
      </c>
    </row>
    <row r="22" spans="1:6">
      <c r="E22" s="261" t="s">
        <v>74</v>
      </c>
      <c r="F22" s="263" t="s">
        <v>81</v>
      </c>
    </row>
    <row r="23" spans="1:6">
      <c r="E23" s="262"/>
      <c r="F23" s="264"/>
    </row>
    <row r="24" spans="1:6">
      <c r="E24" s="77" t="s">
        <v>83</v>
      </c>
      <c r="F24" s="79">
        <v>800</v>
      </c>
    </row>
    <row r="25" spans="1:6">
      <c r="E25" s="168" t="s">
        <v>82</v>
      </c>
      <c r="F25" s="169">
        <v>1200</v>
      </c>
    </row>
    <row r="26" spans="1:6">
      <c r="E26" s="66"/>
      <c r="F26" s="79"/>
    </row>
    <row r="27" spans="1:6">
      <c r="E27" s="78" t="s">
        <v>73</v>
      </c>
      <c r="F27" s="80">
        <f>SUM(F24:F26)</f>
        <v>2000</v>
      </c>
    </row>
  </sheetData>
  <mergeCells count="6">
    <mergeCell ref="E22:E23"/>
    <mergeCell ref="F22:F23"/>
    <mergeCell ref="A1:A2"/>
    <mergeCell ref="B1:B2"/>
    <mergeCell ref="A10:A11"/>
    <mergeCell ref="B10:B11"/>
  </mergeCells>
  <phoneticPr fontId="3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F12" sqref="F12"/>
    </sheetView>
  </sheetViews>
  <sheetFormatPr baseColWidth="10" defaultRowHeight="12.75"/>
  <cols>
    <col min="1" max="1" width="22" bestFit="1" customWidth="1"/>
    <col min="3" max="3" width="14.140625" bestFit="1" customWidth="1"/>
  </cols>
  <sheetData>
    <row r="1" spans="1:9">
      <c r="A1" s="261" t="s">
        <v>74</v>
      </c>
      <c r="B1" s="261" t="s">
        <v>84</v>
      </c>
      <c r="C1" s="263" t="s">
        <v>210</v>
      </c>
    </row>
    <row r="2" spans="1:9">
      <c r="A2" s="266"/>
      <c r="B2" s="266"/>
      <c r="C2" s="267"/>
    </row>
    <row r="3" spans="1:9">
      <c r="A3" s="66" t="s">
        <v>85</v>
      </c>
      <c r="B3" s="65" t="s">
        <v>214</v>
      </c>
      <c r="C3" s="79">
        <f>5*80</f>
        <v>400</v>
      </c>
    </row>
    <row r="4" spans="1:9">
      <c r="A4" s="167" t="s">
        <v>86</v>
      </c>
      <c r="B4" s="49" t="s">
        <v>215</v>
      </c>
      <c r="C4" s="169">
        <f>1*1500</f>
        <v>1500</v>
      </c>
    </row>
    <row r="5" spans="1:9">
      <c r="A5" s="66"/>
      <c r="B5" s="65"/>
      <c r="C5" s="79"/>
    </row>
    <row r="6" spans="1:9">
      <c r="A6" s="67"/>
      <c r="B6" s="48" t="s">
        <v>73</v>
      </c>
      <c r="C6" s="80">
        <f>SUM(C3:C5)</f>
        <v>1900</v>
      </c>
    </row>
    <row r="11" spans="1:9" ht="13.5" thickBot="1"/>
    <row r="12" spans="1:9">
      <c r="F12" s="171"/>
      <c r="G12" s="172" t="s">
        <v>149</v>
      </c>
      <c r="H12" s="172" t="s">
        <v>150</v>
      </c>
      <c r="I12" s="173" t="s">
        <v>151</v>
      </c>
    </row>
    <row r="13" spans="1:9">
      <c r="F13" s="102" t="s">
        <v>146</v>
      </c>
      <c r="G13" s="169">
        <v>160</v>
      </c>
      <c r="H13" s="169">
        <f>G13*4</f>
        <v>640</v>
      </c>
      <c r="I13" s="174">
        <f>G13*(4*52)</f>
        <v>33280</v>
      </c>
    </row>
    <row r="14" spans="1:9">
      <c r="F14" s="102" t="s">
        <v>147</v>
      </c>
      <c r="G14" s="169">
        <v>180</v>
      </c>
      <c r="H14" s="169">
        <f>G14*4</f>
        <v>720</v>
      </c>
      <c r="I14" s="174">
        <f>G14*(4*52)</f>
        <v>37440</v>
      </c>
    </row>
    <row r="15" spans="1:9">
      <c r="F15" s="102" t="s">
        <v>148</v>
      </c>
      <c r="G15" s="169">
        <v>140</v>
      </c>
      <c r="H15" s="169">
        <f>G15*4</f>
        <v>560</v>
      </c>
      <c r="I15" s="174">
        <f>G15*(4*52)</f>
        <v>29120</v>
      </c>
    </row>
    <row r="16" spans="1:9" ht="21.75" customHeight="1" thickBot="1">
      <c r="F16" s="175"/>
      <c r="G16" s="176"/>
      <c r="H16" s="177" t="s">
        <v>91</v>
      </c>
      <c r="I16" s="178">
        <f>SUM(I13:I15)</f>
        <v>99840</v>
      </c>
    </row>
  </sheetData>
  <mergeCells count="3">
    <mergeCell ref="A1:A2"/>
    <mergeCell ref="B1:B2"/>
    <mergeCell ref="C1:C2"/>
  </mergeCells>
  <phoneticPr fontId="3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sqref="A1:M23"/>
    </sheetView>
  </sheetViews>
  <sheetFormatPr baseColWidth="10" defaultRowHeight="12.75"/>
  <cols>
    <col min="1" max="1" width="25.5703125" bestFit="1" customWidth="1"/>
    <col min="2" max="5" width="7.7109375" bestFit="1" customWidth="1"/>
    <col min="6" max="13" width="8.7109375" bestFit="1" customWidth="1"/>
  </cols>
  <sheetData>
    <row r="1" spans="1:13">
      <c r="A1" s="103"/>
      <c r="B1" s="104">
        <v>1</v>
      </c>
      <c r="C1" s="104">
        <v>2</v>
      </c>
      <c r="D1" s="104">
        <v>3</v>
      </c>
      <c r="E1" s="104">
        <v>4</v>
      </c>
      <c r="F1" s="104">
        <v>5</v>
      </c>
      <c r="G1" s="104">
        <v>6</v>
      </c>
      <c r="H1" s="104">
        <v>7</v>
      </c>
      <c r="I1" s="104">
        <v>8</v>
      </c>
      <c r="J1" s="104">
        <v>9</v>
      </c>
      <c r="K1" s="104">
        <v>10</v>
      </c>
      <c r="L1" s="104">
        <v>11</v>
      </c>
      <c r="M1" s="105">
        <v>12</v>
      </c>
    </row>
    <row r="2" spans="1:13">
      <c r="A2" s="102" t="s">
        <v>216</v>
      </c>
      <c r="B2" s="93"/>
      <c r="C2" s="93">
        <v>0.36</v>
      </c>
      <c r="D2" s="93">
        <f t="shared" ref="D2:M2" si="0">+C2</f>
        <v>0.36</v>
      </c>
      <c r="E2" s="93">
        <f t="shared" si="0"/>
        <v>0.36</v>
      </c>
      <c r="F2" s="93">
        <f t="shared" si="0"/>
        <v>0.36</v>
      </c>
      <c r="G2" s="93">
        <f t="shared" si="0"/>
        <v>0.36</v>
      </c>
      <c r="H2" s="93">
        <f t="shared" si="0"/>
        <v>0.36</v>
      </c>
      <c r="I2" s="93">
        <f t="shared" si="0"/>
        <v>0.36</v>
      </c>
      <c r="J2" s="93">
        <f t="shared" si="0"/>
        <v>0.36</v>
      </c>
      <c r="K2" s="93">
        <f t="shared" si="0"/>
        <v>0.36</v>
      </c>
      <c r="L2" s="93">
        <f t="shared" si="0"/>
        <v>0.36</v>
      </c>
      <c r="M2" s="98">
        <f t="shared" si="0"/>
        <v>0.36</v>
      </c>
    </row>
    <row r="3" spans="1:13">
      <c r="A3" s="89" t="s">
        <v>115</v>
      </c>
      <c r="B3" s="94"/>
      <c r="C3" s="94">
        <f>+INGRESOS!C29/12</f>
        <v>19066.666666666668</v>
      </c>
      <c r="D3" s="94">
        <f t="shared" ref="D3:M3" si="1">+C3</f>
        <v>19066.666666666668</v>
      </c>
      <c r="E3" s="94">
        <f t="shared" si="1"/>
        <v>19066.666666666668</v>
      </c>
      <c r="F3" s="94">
        <f t="shared" si="1"/>
        <v>19066.666666666668</v>
      </c>
      <c r="G3" s="94">
        <f t="shared" si="1"/>
        <v>19066.666666666668</v>
      </c>
      <c r="H3" s="94">
        <f t="shared" si="1"/>
        <v>19066.666666666668</v>
      </c>
      <c r="I3" s="94">
        <f t="shared" si="1"/>
        <v>19066.666666666668</v>
      </c>
      <c r="J3" s="94">
        <f t="shared" si="1"/>
        <v>19066.666666666668</v>
      </c>
      <c r="K3" s="94">
        <f t="shared" si="1"/>
        <v>19066.666666666668</v>
      </c>
      <c r="L3" s="94">
        <f t="shared" si="1"/>
        <v>19066.666666666668</v>
      </c>
      <c r="M3" s="99">
        <f t="shared" si="1"/>
        <v>19066.666666666668</v>
      </c>
    </row>
    <row r="4" spans="1:13">
      <c r="A4" s="90" t="s">
        <v>116</v>
      </c>
      <c r="B4" s="94">
        <f>B3*B2</f>
        <v>0</v>
      </c>
      <c r="C4" s="94">
        <f t="shared" ref="C4:M4" si="2">C3*C2</f>
        <v>6864</v>
      </c>
      <c r="D4" s="94">
        <f t="shared" si="2"/>
        <v>6864</v>
      </c>
      <c r="E4" s="94">
        <f t="shared" si="2"/>
        <v>6864</v>
      </c>
      <c r="F4" s="94">
        <f t="shared" si="2"/>
        <v>6864</v>
      </c>
      <c r="G4" s="94">
        <f t="shared" si="2"/>
        <v>6864</v>
      </c>
      <c r="H4" s="94">
        <f t="shared" si="2"/>
        <v>6864</v>
      </c>
      <c r="I4" s="94">
        <f t="shared" si="2"/>
        <v>6864</v>
      </c>
      <c r="J4" s="94">
        <f t="shared" si="2"/>
        <v>6864</v>
      </c>
      <c r="K4" s="94">
        <f t="shared" si="2"/>
        <v>6864</v>
      </c>
      <c r="L4" s="94">
        <f t="shared" si="2"/>
        <v>6864</v>
      </c>
      <c r="M4" s="99">
        <f t="shared" si="2"/>
        <v>6864</v>
      </c>
    </row>
    <row r="5" spans="1:13">
      <c r="A5" s="89" t="s">
        <v>117</v>
      </c>
      <c r="B5" s="95"/>
      <c r="C5" s="95">
        <f>+INGRESOS!C31/12</f>
        <v>381.33333333333331</v>
      </c>
      <c r="D5" s="95">
        <f t="shared" ref="D5:M5" si="3">+C5</f>
        <v>381.33333333333331</v>
      </c>
      <c r="E5" s="95">
        <f t="shared" si="3"/>
        <v>381.33333333333331</v>
      </c>
      <c r="F5" s="95">
        <f t="shared" si="3"/>
        <v>381.33333333333331</v>
      </c>
      <c r="G5" s="95">
        <f t="shared" si="3"/>
        <v>381.33333333333331</v>
      </c>
      <c r="H5" s="95">
        <f t="shared" si="3"/>
        <v>381.33333333333331</v>
      </c>
      <c r="I5" s="95">
        <f t="shared" si="3"/>
        <v>381.33333333333331</v>
      </c>
      <c r="J5" s="95">
        <f t="shared" si="3"/>
        <v>381.33333333333331</v>
      </c>
      <c r="K5" s="95">
        <f t="shared" si="3"/>
        <v>381.33333333333331</v>
      </c>
      <c r="L5" s="95">
        <f t="shared" si="3"/>
        <v>381.33333333333331</v>
      </c>
      <c r="M5" s="101">
        <f t="shared" si="3"/>
        <v>381.33333333333331</v>
      </c>
    </row>
    <row r="6" spans="1:13" ht="13.5" thickBot="1">
      <c r="A6" s="114" t="s">
        <v>118</v>
      </c>
      <c r="B6" s="115">
        <f t="shared" ref="B6:M6" si="4">B4+B5</f>
        <v>0</v>
      </c>
      <c r="C6" s="115">
        <f t="shared" si="4"/>
        <v>7245.333333333333</v>
      </c>
      <c r="D6" s="115">
        <f t="shared" si="4"/>
        <v>7245.333333333333</v>
      </c>
      <c r="E6" s="115">
        <f t="shared" si="4"/>
        <v>7245.333333333333</v>
      </c>
      <c r="F6" s="115">
        <f t="shared" si="4"/>
        <v>7245.333333333333</v>
      </c>
      <c r="G6" s="115">
        <f t="shared" si="4"/>
        <v>7245.333333333333</v>
      </c>
      <c r="H6" s="115">
        <f t="shared" si="4"/>
        <v>7245.333333333333</v>
      </c>
      <c r="I6" s="115">
        <f t="shared" si="4"/>
        <v>7245.333333333333</v>
      </c>
      <c r="J6" s="115">
        <f t="shared" si="4"/>
        <v>7245.333333333333</v>
      </c>
      <c r="K6" s="115">
        <f t="shared" si="4"/>
        <v>7245.333333333333</v>
      </c>
      <c r="L6" s="115">
        <f t="shared" si="4"/>
        <v>7245.333333333333</v>
      </c>
      <c r="M6" s="116">
        <f t="shared" si="4"/>
        <v>7245.333333333333</v>
      </c>
    </row>
    <row r="8" spans="1:13" ht="13.5" thickBot="1"/>
    <row r="9" spans="1:13">
      <c r="A9" s="110"/>
      <c r="B9" s="104">
        <v>1</v>
      </c>
      <c r="C9" s="104">
        <v>2</v>
      </c>
      <c r="D9" s="104">
        <v>3</v>
      </c>
      <c r="E9" s="104">
        <v>4</v>
      </c>
      <c r="F9" s="104">
        <v>5</v>
      </c>
      <c r="G9" s="104">
        <v>6</v>
      </c>
      <c r="H9" s="104">
        <v>7</v>
      </c>
      <c r="I9" s="104">
        <v>8</v>
      </c>
      <c r="J9" s="104">
        <v>9</v>
      </c>
      <c r="K9" s="104">
        <v>10</v>
      </c>
      <c r="L9" s="104">
        <v>11</v>
      </c>
      <c r="M9" s="105">
        <v>12</v>
      </c>
    </row>
    <row r="10" spans="1:13">
      <c r="A10" s="102" t="s">
        <v>119</v>
      </c>
      <c r="B10" s="106">
        <f>3*400</f>
        <v>1200</v>
      </c>
      <c r="C10" s="106">
        <f t="shared" ref="C10:C15" si="5">+B10</f>
        <v>1200</v>
      </c>
      <c r="D10" s="106">
        <f t="shared" ref="D10:M10" si="6">+C10</f>
        <v>1200</v>
      </c>
      <c r="E10" s="106">
        <f t="shared" si="6"/>
        <v>1200</v>
      </c>
      <c r="F10" s="106">
        <f t="shared" si="6"/>
        <v>1200</v>
      </c>
      <c r="G10" s="106">
        <f t="shared" si="6"/>
        <v>1200</v>
      </c>
      <c r="H10" s="106">
        <f t="shared" si="6"/>
        <v>1200</v>
      </c>
      <c r="I10" s="106">
        <f t="shared" si="6"/>
        <v>1200</v>
      </c>
      <c r="J10" s="106">
        <f t="shared" si="6"/>
        <v>1200</v>
      </c>
      <c r="K10" s="106">
        <f t="shared" si="6"/>
        <v>1200</v>
      </c>
      <c r="L10" s="106">
        <f t="shared" si="6"/>
        <v>1200</v>
      </c>
      <c r="M10" s="108">
        <f t="shared" si="6"/>
        <v>1200</v>
      </c>
    </row>
    <row r="11" spans="1:13">
      <c r="A11" s="102" t="s">
        <v>120</v>
      </c>
      <c r="B11" s="106">
        <v>288</v>
      </c>
      <c r="C11" s="106">
        <f t="shared" si="5"/>
        <v>288</v>
      </c>
      <c r="D11" s="106">
        <f t="shared" ref="D11:M11" si="7">+C11</f>
        <v>288</v>
      </c>
      <c r="E11" s="106">
        <f t="shared" si="7"/>
        <v>288</v>
      </c>
      <c r="F11" s="106">
        <f t="shared" si="7"/>
        <v>288</v>
      </c>
      <c r="G11" s="106">
        <f t="shared" si="7"/>
        <v>288</v>
      </c>
      <c r="H11" s="106">
        <f t="shared" si="7"/>
        <v>288</v>
      </c>
      <c r="I11" s="106">
        <f t="shared" si="7"/>
        <v>288</v>
      </c>
      <c r="J11" s="106">
        <f t="shared" si="7"/>
        <v>288</v>
      </c>
      <c r="K11" s="106">
        <f t="shared" si="7"/>
        <v>288</v>
      </c>
      <c r="L11" s="106">
        <f t="shared" si="7"/>
        <v>288</v>
      </c>
      <c r="M11" s="108">
        <f t="shared" si="7"/>
        <v>288</v>
      </c>
    </row>
    <row r="12" spans="1:13">
      <c r="A12" s="102" t="s">
        <v>121</v>
      </c>
      <c r="B12" s="106">
        <v>300</v>
      </c>
      <c r="C12" s="106">
        <f t="shared" si="5"/>
        <v>300</v>
      </c>
      <c r="D12" s="106">
        <f t="shared" ref="D12:M12" si="8">+C12</f>
        <v>300</v>
      </c>
      <c r="E12" s="106">
        <f t="shared" si="8"/>
        <v>300</v>
      </c>
      <c r="F12" s="106">
        <f t="shared" si="8"/>
        <v>300</v>
      </c>
      <c r="G12" s="106">
        <f t="shared" si="8"/>
        <v>300</v>
      </c>
      <c r="H12" s="106">
        <f t="shared" si="8"/>
        <v>300</v>
      </c>
      <c r="I12" s="106">
        <f t="shared" si="8"/>
        <v>300</v>
      </c>
      <c r="J12" s="106">
        <f t="shared" si="8"/>
        <v>300</v>
      </c>
      <c r="K12" s="106">
        <f t="shared" si="8"/>
        <v>300</v>
      </c>
      <c r="L12" s="106">
        <f t="shared" si="8"/>
        <v>300</v>
      </c>
      <c r="M12" s="108">
        <f t="shared" si="8"/>
        <v>300</v>
      </c>
    </row>
    <row r="13" spans="1:13">
      <c r="A13" s="102" t="s">
        <v>122</v>
      </c>
      <c r="B13" s="106">
        <f>100*3</f>
        <v>300</v>
      </c>
      <c r="C13" s="106">
        <f t="shared" si="5"/>
        <v>300</v>
      </c>
      <c r="D13" s="106">
        <f t="shared" ref="D13:M15" si="9">+C13</f>
        <v>300</v>
      </c>
      <c r="E13" s="106">
        <f t="shared" si="9"/>
        <v>300</v>
      </c>
      <c r="F13" s="106">
        <f t="shared" si="9"/>
        <v>300</v>
      </c>
      <c r="G13" s="106">
        <f t="shared" si="9"/>
        <v>300</v>
      </c>
      <c r="H13" s="106">
        <f t="shared" si="9"/>
        <v>300</v>
      </c>
      <c r="I13" s="106">
        <f t="shared" si="9"/>
        <v>300</v>
      </c>
      <c r="J13" s="106">
        <f t="shared" si="9"/>
        <v>300</v>
      </c>
      <c r="K13" s="106">
        <f t="shared" si="9"/>
        <v>300</v>
      </c>
      <c r="L13" s="106">
        <f t="shared" si="9"/>
        <v>300</v>
      </c>
      <c r="M13" s="108">
        <f t="shared" si="9"/>
        <v>300</v>
      </c>
    </row>
    <row r="14" spans="1:13">
      <c r="A14" s="102" t="s">
        <v>123</v>
      </c>
      <c r="B14" s="106">
        <f>(2178*3)/12</f>
        <v>544.5</v>
      </c>
      <c r="C14" s="106">
        <f t="shared" si="5"/>
        <v>544.5</v>
      </c>
      <c r="D14" s="106">
        <f t="shared" si="9"/>
        <v>544.5</v>
      </c>
      <c r="E14" s="106">
        <f t="shared" si="9"/>
        <v>544.5</v>
      </c>
      <c r="F14" s="106">
        <f t="shared" si="9"/>
        <v>544.5</v>
      </c>
      <c r="G14" s="106">
        <f t="shared" si="9"/>
        <v>544.5</v>
      </c>
      <c r="H14" s="106">
        <f t="shared" si="9"/>
        <v>544.5</v>
      </c>
      <c r="I14" s="106">
        <f t="shared" si="9"/>
        <v>544.5</v>
      </c>
      <c r="J14" s="106">
        <f t="shared" si="9"/>
        <v>544.5</v>
      </c>
      <c r="K14" s="106">
        <f t="shared" si="9"/>
        <v>544.5</v>
      </c>
      <c r="L14" s="106">
        <f t="shared" si="9"/>
        <v>544.5</v>
      </c>
      <c r="M14" s="108">
        <f t="shared" si="9"/>
        <v>544.5</v>
      </c>
    </row>
    <row r="15" spans="1:13">
      <c r="A15" s="102" t="s">
        <v>124</v>
      </c>
      <c r="B15" s="106">
        <v>650</v>
      </c>
      <c r="C15" s="106">
        <f t="shared" si="5"/>
        <v>650</v>
      </c>
      <c r="D15" s="106">
        <f t="shared" si="9"/>
        <v>650</v>
      </c>
      <c r="E15" s="106">
        <f t="shared" si="9"/>
        <v>650</v>
      </c>
      <c r="F15" s="106">
        <f t="shared" si="9"/>
        <v>650</v>
      </c>
      <c r="G15" s="106">
        <f t="shared" si="9"/>
        <v>650</v>
      </c>
      <c r="H15" s="106">
        <f t="shared" si="9"/>
        <v>650</v>
      </c>
      <c r="I15" s="106">
        <f t="shared" si="9"/>
        <v>650</v>
      </c>
      <c r="J15" s="106">
        <f t="shared" si="9"/>
        <v>650</v>
      </c>
      <c r="K15" s="106">
        <f t="shared" si="9"/>
        <v>650</v>
      </c>
      <c r="L15" s="106">
        <f t="shared" si="9"/>
        <v>650</v>
      </c>
      <c r="M15" s="108">
        <f t="shared" si="9"/>
        <v>650</v>
      </c>
    </row>
    <row r="16" spans="1:13" ht="13.5" thickBot="1">
      <c r="A16" s="111" t="s">
        <v>126</v>
      </c>
      <c r="B16" s="112">
        <f>SUM(B10:B15)</f>
        <v>3282.5</v>
      </c>
      <c r="C16" s="112">
        <f t="shared" ref="C16:M16" si="10">SUM(C10:C15)</f>
        <v>3282.5</v>
      </c>
      <c r="D16" s="112">
        <f t="shared" si="10"/>
        <v>3282.5</v>
      </c>
      <c r="E16" s="112">
        <f t="shared" si="10"/>
        <v>3282.5</v>
      </c>
      <c r="F16" s="112">
        <f t="shared" si="10"/>
        <v>3282.5</v>
      </c>
      <c r="G16" s="112">
        <f t="shared" si="10"/>
        <v>3282.5</v>
      </c>
      <c r="H16" s="112">
        <f t="shared" si="10"/>
        <v>3282.5</v>
      </c>
      <c r="I16" s="112">
        <f t="shared" si="10"/>
        <v>3282.5</v>
      </c>
      <c r="J16" s="112">
        <f t="shared" si="10"/>
        <v>3282.5</v>
      </c>
      <c r="K16" s="112">
        <f t="shared" si="10"/>
        <v>3282.5</v>
      </c>
      <c r="L16" s="112">
        <f t="shared" si="10"/>
        <v>3282.5</v>
      </c>
      <c r="M16" s="113">
        <f t="shared" si="10"/>
        <v>3282.5</v>
      </c>
    </row>
    <row r="17" spans="1:14">
      <c r="N17">
        <f>52/12</f>
        <v>4.333333333333333</v>
      </c>
    </row>
    <row r="18" spans="1:14" ht="13.5" thickBot="1"/>
    <row r="19" spans="1:14">
      <c r="A19" s="103"/>
      <c r="B19" s="120">
        <v>1</v>
      </c>
      <c r="C19" s="120">
        <v>2</v>
      </c>
      <c r="D19" s="120">
        <v>3</v>
      </c>
      <c r="E19" s="120">
        <v>4</v>
      </c>
      <c r="F19" s="120">
        <v>5</v>
      </c>
      <c r="G19" s="120">
        <v>6</v>
      </c>
      <c r="H19" s="120">
        <v>7</v>
      </c>
      <c r="I19" s="120">
        <v>8</v>
      </c>
      <c r="J19" s="120">
        <v>9</v>
      </c>
      <c r="K19" s="120">
        <v>10</v>
      </c>
      <c r="L19" s="120">
        <v>11</v>
      </c>
      <c r="M19" s="105">
        <v>12</v>
      </c>
    </row>
    <row r="20" spans="1:14">
      <c r="A20" s="89" t="s">
        <v>114</v>
      </c>
      <c r="B20" s="117">
        <f>+B6</f>
        <v>0</v>
      </c>
      <c r="C20" s="117">
        <f t="shared" ref="C20:M20" si="11">+C6</f>
        <v>7245.333333333333</v>
      </c>
      <c r="D20" s="117">
        <f t="shared" si="11"/>
        <v>7245.333333333333</v>
      </c>
      <c r="E20" s="117">
        <f t="shared" si="11"/>
        <v>7245.333333333333</v>
      </c>
      <c r="F20" s="117">
        <f t="shared" si="11"/>
        <v>7245.333333333333</v>
      </c>
      <c r="G20" s="117">
        <f t="shared" si="11"/>
        <v>7245.333333333333</v>
      </c>
      <c r="H20" s="117">
        <f t="shared" si="11"/>
        <v>7245.333333333333</v>
      </c>
      <c r="I20" s="117">
        <f t="shared" si="11"/>
        <v>7245.333333333333</v>
      </c>
      <c r="J20" s="117">
        <f t="shared" si="11"/>
        <v>7245.333333333333</v>
      </c>
      <c r="K20" s="117">
        <f t="shared" si="11"/>
        <v>7245.333333333333</v>
      </c>
      <c r="L20" s="117">
        <f t="shared" si="11"/>
        <v>7245.333333333333</v>
      </c>
      <c r="M20" s="121">
        <f t="shared" si="11"/>
        <v>7245.333333333333</v>
      </c>
    </row>
    <row r="21" spans="1:14" ht="13.5" thickBot="1">
      <c r="A21" s="122" t="s">
        <v>125</v>
      </c>
      <c r="B21" s="118">
        <f>+B16</f>
        <v>3282.5</v>
      </c>
      <c r="C21" s="118">
        <f t="shared" ref="C21:M21" si="12">+C16</f>
        <v>3282.5</v>
      </c>
      <c r="D21" s="118">
        <f t="shared" si="12"/>
        <v>3282.5</v>
      </c>
      <c r="E21" s="118">
        <f t="shared" si="12"/>
        <v>3282.5</v>
      </c>
      <c r="F21" s="118">
        <f t="shared" si="12"/>
        <v>3282.5</v>
      </c>
      <c r="G21" s="118">
        <f t="shared" si="12"/>
        <v>3282.5</v>
      </c>
      <c r="H21" s="118">
        <f t="shared" si="12"/>
        <v>3282.5</v>
      </c>
      <c r="I21" s="118">
        <f t="shared" si="12"/>
        <v>3282.5</v>
      </c>
      <c r="J21" s="118">
        <f t="shared" si="12"/>
        <v>3282.5</v>
      </c>
      <c r="K21" s="118">
        <f t="shared" si="12"/>
        <v>3282.5</v>
      </c>
      <c r="L21" s="118">
        <f t="shared" si="12"/>
        <v>3282.5</v>
      </c>
      <c r="M21" s="123">
        <f t="shared" si="12"/>
        <v>3282.5</v>
      </c>
    </row>
    <row r="22" spans="1:14">
      <c r="A22" s="124" t="s">
        <v>127</v>
      </c>
      <c r="B22" s="119">
        <f>B20-B21</f>
        <v>-3282.5</v>
      </c>
      <c r="C22" s="119">
        <f t="shared" ref="C22:M22" si="13">C20-C21</f>
        <v>3962.833333333333</v>
      </c>
      <c r="D22" s="119">
        <f t="shared" si="13"/>
        <v>3962.833333333333</v>
      </c>
      <c r="E22" s="119">
        <f t="shared" si="13"/>
        <v>3962.833333333333</v>
      </c>
      <c r="F22" s="119">
        <f t="shared" si="13"/>
        <v>3962.833333333333</v>
      </c>
      <c r="G22" s="119">
        <f t="shared" si="13"/>
        <v>3962.833333333333</v>
      </c>
      <c r="H22" s="119">
        <f t="shared" si="13"/>
        <v>3962.833333333333</v>
      </c>
      <c r="I22" s="119">
        <f t="shared" si="13"/>
        <v>3962.833333333333</v>
      </c>
      <c r="J22" s="119">
        <f t="shared" si="13"/>
        <v>3962.833333333333</v>
      </c>
      <c r="K22" s="119">
        <f t="shared" si="13"/>
        <v>3962.833333333333</v>
      </c>
      <c r="L22" s="119">
        <f t="shared" si="13"/>
        <v>3962.833333333333</v>
      </c>
      <c r="M22" s="125">
        <f t="shared" si="13"/>
        <v>3962.833333333333</v>
      </c>
    </row>
    <row r="23" spans="1:14" ht="13.5" thickBot="1">
      <c r="A23" s="47" t="s">
        <v>128</v>
      </c>
      <c r="B23" s="126">
        <f>+B22</f>
        <v>-3282.5</v>
      </c>
      <c r="C23" s="127">
        <f>C22+B23</f>
        <v>680.33333333333303</v>
      </c>
      <c r="D23" s="127">
        <f t="shared" ref="D23:M23" si="14">D22+C23</f>
        <v>4643.1666666666661</v>
      </c>
      <c r="E23" s="127">
        <f t="shared" si="14"/>
        <v>8606</v>
      </c>
      <c r="F23" s="127">
        <f t="shared" si="14"/>
        <v>12568.833333333332</v>
      </c>
      <c r="G23" s="127">
        <f t="shared" si="14"/>
        <v>16531.666666666664</v>
      </c>
      <c r="H23" s="127">
        <f t="shared" si="14"/>
        <v>20494.499999999996</v>
      </c>
      <c r="I23" s="127">
        <f t="shared" si="14"/>
        <v>24457.333333333328</v>
      </c>
      <c r="J23" s="127">
        <f t="shared" si="14"/>
        <v>28420.166666666661</v>
      </c>
      <c r="K23" s="127">
        <f t="shared" si="14"/>
        <v>32382.999999999993</v>
      </c>
      <c r="L23" s="127">
        <f t="shared" si="14"/>
        <v>36345.833333333328</v>
      </c>
      <c r="M23" s="128">
        <f t="shared" si="14"/>
        <v>40308.666666666664</v>
      </c>
    </row>
    <row r="24" spans="1:14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</sheetData>
  <phoneticPr fontId="3" type="noConversion"/>
  <pageMargins left="0.75" right="0.75" top="1" bottom="1" header="0" footer="0"/>
  <pageSetup orientation="portrait" horizontalDpi="300" verticalDpi="300" r:id="rId1"/>
  <headerFooter alignWithMargins="0"/>
  <ignoredErrors>
    <ignoredError sqref="D4:M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Hoja3</vt:lpstr>
      <vt:lpstr>Hoja5</vt:lpstr>
      <vt:lpstr>Hoja6</vt:lpstr>
      <vt:lpstr>Hoja7</vt:lpstr>
      <vt:lpstr>Hoja8</vt:lpstr>
      <vt:lpstr>Hoja11</vt:lpstr>
      <vt:lpstr>INV. FIJA</vt:lpstr>
      <vt:lpstr>INV. DIFERIDA</vt:lpstr>
      <vt:lpstr>CAP. TRABAJO</vt:lpstr>
      <vt:lpstr>FINANCIAMIENTO</vt:lpstr>
      <vt:lpstr>TABLA AMORT.</vt:lpstr>
      <vt:lpstr>DEP Y AMORT.</vt:lpstr>
      <vt:lpstr>COSTOS&amp;GASTOS</vt:lpstr>
      <vt:lpstr>INGRESOS</vt:lpstr>
      <vt:lpstr>EP&amp;GPROYECTADO</vt:lpstr>
      <vt:lpstr>FC1</vt:lpstr>
      <vt:lpstr>Analisis</vt:lpstr>
      <vt:lpstr>FC1_CB</vt:lpstr>
      <vt:lpstr>FC2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del Proyecto Quirola</dc:title>
  <dc:creator>Lorena Cuenca</dc:creator>
  <cp:lastModifiedBy>TRABAJADORA</cp:lastModifiedBy>
  <dcterms:created xsi:type="dcterms:W3CDTF">1996-11-27T10:00:04Z</dcterms:created>
  <dcterms:modified xsi:type="dcterms:W3CDTF">2009-10-19T22:28:05Z</dcterms:modified>
</cp:coreProperties>
</file>