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4565" windowHeight="6795" firstSheet="1" activeTab="1"/>
  </bookViews>
  <sheets>
    <sheet name="CB_DATA_" sheetId="1" state="veryHidden" r:id="rId1"/>
    <sheet name="Hoja1" sheetId="2" r:id="rId2"/>
    <sheet name="AMORTIZACIÓN DEUDA L.P" sheetId="3" r:id="rId3"/>
    <sheet name="Hoja2" sheetId="4" r:id="rId4"/>
  </sheets>
  <externalReferences>
    <externalReference r:id="rId7"/>
    <externalReference r:id="rId8"/>
  </externalReferences>
  <definedNames>
    <definedName name="CB_1958b3eb732542c7b0c33e183144379b" localSheetId="1" hidden="1">'Hoja2'!$C$5</definedName>
    <definedName name="CB_28073ca4958e4080a8dfdb528e1a1311" localSheetId="1" hidden="1">'Hoja2'!$C$7</definedName>
    <definedName name="CB_79db856e0658427fb8297c6af15d1215" localSheetId="1" hidden="1">'Hoja2'!$C$4</definedName>
    <definedName name="CB_95fb7a40f3c04e3ea8b1f43e4400cb41" localSheetId="1" hidden="1">'Hoja2'!$C$9</definedName>
    <definedName name="CB_a143a026f77941e285dffb767aaf0b8b" localSheetId="1" hidden="1">'Hoja1'!$C$326</definedName>
    <definedName name="CB_a8fcea15f487408e8a4c5007e661e6f8" localSheetId="1" hidden="1">'Hoja2'!$C$6</definedName>
    <definedName name="CB_e15707214bf54d19a60349158fba061c" localSheetId="1" hidden="1">'Hoja1'!$C$399</definedName>
    <definedName name="CB_f71a45dc570d43adb15b10a9b09a86e8" localSheetId="1" hidden="1">'Hoja2'!$C$8</definedName>
    <definedName name="CBCR_12dee15a6eed487d8ecf857b122dbeb5" localSheetId="1" hidden="1">'Hoja2'!$C$6</definedName>
    <definedName name="CBCR_274ba87bc50e46f5a85a7d6532b6efdd" localSheetId="1" hidden="1">'Hoja2'!$C$7</definedName>
    <definedName name="CBCR_3d1ebf97b5dd4160ba2df02da5a78e78" localSheetId="1" hidden="1">'Hoja2'!$C$9</definedName>
    <definedName name="CBCR_787cc98aa01a4b94a533c9d521c239ff" localSheetId="1" hidden="1">'Hoja2'!$C$8</definedName>
    <definedName name="CBCR_80cba4cc0fcd4c8ca3b86855dc0a21bc" localSheetId="1" hidden="1">'Hoja2'!$C$5</definedName>
    <definedName name="CBCR_e51b36b36c3e438d9d06825771102d4c" localSheetId="1" hidden="1">'Hoja2'!$C$4</definedName>
    <definedName name="CBWorkbookPriority" hidden="1">-1131759343</definedName>
    <definedName name="CBx_2bf57990456d4dfba5d0e4ff24115d08" localSheetId="0" hidden="1">"'CB_DATA_'!$A$1"</definedName>
    <definedName name="CBx_f22cc5ceb3614ccc93b91a6229970bd2" localSheetId="0" hidden="1">"'Hoja1'!$A$1"</definedName>
    <definedName name="CBx_Sheet_Guid" localSheetId="0" hidden="1">"'2bf57990-456d-4dfb-a5d0-e4ff24115d08"</definedName>
    <definedName name="CBx_Sheet_Guid" localSheetId="1" hidden="1">"'f22cc5ce-b361-4ccc-93b9-1a6229970bd2"</definedName>
    <definedName name="CBx_StorageType" localSheetId="0" hidden="1">1</definedName>
    <definedName name="CBx_StorageType" localSheetId="1" hidden="1">1</definedName>
  </definedNames>
  <calcPr fullCalcOnLoad="1"/>
</workbook>
</file>

<file path=xl/comments4.xml><?xml version="1.0" encoding="utf-8"?>
<comments xmlns="http://schemas.openxmlformats.org/spreadsheetml/2006/main">
  <authors>
    <author>Personal</author>
  </authors>
  <commentList>
    <comment ref="G16" authorId="0">
      <text>
        <r>
          <rPr>
            <b/>
            <sz val="8"/>
            <rFont val="Tahoma"/>
            <family val="2"/>
          </rPr>
          <t>Importante:</t>
        </r>
        <r>
          <rPr>
            <sz val="8"/>
            <rFont val="Tahoma"/>
            <family val="2"/>
          </rPr>
          <t xml:space="preserve">
Se debe de Tantear en los porcentajes anteriores hasta que se llegue al TMAR DESEADO</t>
        </r>
      </text>
    </comment>
    <comment ref="G10" authorId="0">
      <text>
        <r>
          <rPr>
            <b/>
            <sz val="8"/>
            <rFont val="Tahoma"/>
            <family val="2"/>
          </rPr>
          <t>Importante:</t>
        </r>
        <r>
          <rPr>
            <sz val="8"/>
            <rFont val="Tahoma"/>
            <family val="2"/>
          </rPr>
          <t xml:space="preserve">
Se debe de Tantear en los porcentajes anteriores hasta que se llegue al TMAR DESEADO</t>
        </r>
      </text>
    </comment>
    <comment ref="G4" authorId="0">
      <text>
        <r>
          <rPr>
            <b/>
            <sz val="8"/>
            <rFont val="Tahoma"/>
            <family val="2"/>
          </rPr>
          <t>Importante:</t>
        </r>
        <r>
          <rPr>
            <sz val="8"/>
            <rFont val="Tahoma"/>
            <family val="2"/>
          </rPr>
          <t xml:space="preserve">
Se debe de Tantear en los porcentajes anteriores hasta que se llegue al TMAR DESEADO</t>
        </r>
      </text>
    </comment>
  </commentList>
</comments>
</file>

<file path=xl/sharedStrings.xml><?xml version="1.0" encoding="utf-8"?>
<sst xmlns="http://schemas.openxmlformats.org/spreadsheetml/2006/main" count="401" uniqueCount="293">
  <si>
    <t>Inversión total de obra física</t>
  </si>
  <si>
    <t>Inversión inicial de máquinas y vehículos</t>
  </si>
  <si>
    <t>Inversión de activos fijos</t>
  </si>
  <si>
    <t>Inversión total</t>
  </si>
  <si>
    <t xml:space="preserve">INVERSIÓN INICIAL </t>
  </si>
  <si>
    <t>Porcentaje Apalancamiento</t>
  </si>
  <si>
    <t>ESTRUCTURA DE FINANCIAMIENTO</t>
  </si>
  <si>
    <t>Financiamiento</t>
  </si>
  <si>
    <t>Capital propio</t>
  </si>
  <si>
    <t>Inversión</t>
  </si>
  <si>
    <t>Capital Propio</t>
  </si>
  <si>
    <t>Préstamo</t>
  </si>
  <si>
    <t>Tasa</t>
  </si>
  <si>
    <t># de pagos</t>
  </si>
  <si>
    <t>Cuota</t>
  </si>
  <si>
    <t>AMORTIZACION DEUDA Largo Plazo</t>
  </si>
  <si>
    <t>Importe del préstamo</t>
  </si>
  <si>
    <t>Nro. de Cuotas</t>
  </si>
  <si>
    <t>Comisión de Apertura</t>
  </si>
  <si>
    <t>Comisión de Mínima</t>
  </si>
  <si>
    <t>Tasa de interes</t>
  </si>
  <si>
    <t>T.E.M</t>
  </si>
  <si>
    <t>Tasa Cobrada</t>
  </si>
  <si>
    <t>N° de Cuota</t>
  </si>
  <si>
    <t>Deuda Cap.</t>
  </si>
  <si>
    <t>Interés</t>
  </si>
  <si>
    <t>Amortización</t>
  </si>
  <si>
    <t>Cap. Cancel.</t>
  </si>
  <si>
    <t>TOTAL</t>
  </si>
  <si>
    <t>CAPACIDAD DE PLANTA</t>
  </si>
  <si>
    <t>Cantidad</t>
  </si>
  <si>
    <t>Productividad</t>
  </si>
  <si>
    <t>Kg/h</t>
  </si>
  <si>
    <t>g/h</t>
  </si>
  <si>
    <t>Total</t>
  </si>
  <si>
    <t>Producción-Unidades</t>
  </si>
  <si>
    <t>Diaria</t>
  </si>
  <si>
    <t>Semanal</t>
  </si>
  <si>
    <t>Mensual</t>
  </si>
  <si>
    <t>Anual</t>
  </si>
  <si>
    <t>Producto</t>
  </si>
  <si>
    <t>Cantidad/Libras</t>
  </si>
  <si>
    <t>Precio/libra</t>
  </si>
  <si>
    <t>Libra/Gramos</t>
  </si>
  <si>
    <t>RESUMEN DE DATOS DEL CÁLCULO DE LA TMAR</t>
  </si>
  <si>
    <t>Beta de la empresa</t>
  </si>
  <si>
    <t>Nivel de deuda</t>
  </si>
  <si>
    <t>Riesgo país Ecuador</t>
  </si>
  <si>
    <t>Tasa libre de riesgo USA</t>
  </si>
  <si>
    <t>Rentabilidad mercado</t>
  </si>
  <si>
    <t>Tasa de deuda</t>
  </si>
  <si>
    <t>Impuesto</t>
  </si>
  <si>
    <t>1-impuesto</t>
  </si>
  <si>
    <t>re</t>
  </si>
  <si>
    <t>rk</t>
  </si>
  <si>
    <t>DATOS EMPRESA COMPARABLE</t>
  </si>
  <si>
    <t>Datos Empresa Comparable (Kraft)</t>
  </si>
  <si>
    <t>Beta</t>
  </si>
  <si>
    <t>Total Pasivos</t>
  </si>
  <si>
    <t>Total Activos</t>
  </si>
  <si>
    <t>L</t>
  </si>
  <si>
    <t>Política Reinversión</t>
  </si>
  <si>
    <t>Política Dividendos</t>
  </si>
  <si>
    <t>T</t>
  </si>
  <si>
    <t>Beta Desapalancado</t>
  </si>
  <si>
    <t>CÁLCULO DEL BETA DE LA EMPRESA</t>
  </si>
  <si>
    <t>Datos de la Empresa</t>
  </si>
  <si>
    <t>Beta de la Empresa</t>
  </si>
  <si>
    <t>VARIABLE DE ENTRADA</t>
  </si>
  <si>
    <t>Variable de entrada</t>
  </si>
  <si>
    <t>Valores iniciales</t>
  </si>
  <si>
    <t>Precio</t>
  </si>
  <si>
    <t>Crecimiento de ventas</t>
  </si>
  <si>
    <t>Riesgo país</t>
  </si>
  <si>
    <t>TMAR</t>
  </si>
  <si>
    <t>Venta de unidades</t>
  </si>
  <si>
    <t>Sueldos y Salarios:</t>
  </si>
  <si>
    <t>Selecciona puesto:</t>
  </si>
  <si>
    <t>Número de puestos</t>
  </si>
  <si>
    <t>Sueldo Mensual Nominal</t>
  </si>
  <si>
    <t>Sueldo Anual</t>
  </si>
  <si>
    <t>Total Nómina</t>
  </si>
  <si>
    <t>Comisión Mensual Nominal por puesto           (% de ventas)</t>
  </si>
  <si>
    <t>Sueldo base + comisiones</t>
  </si>
  <si>
    <t>% Seguridad Social</t>
  </si>
  <si>
    <t>Total Nómina Anual Base</t>
  </si>
  <si>
    <t>Total Comisión Mensual:</t>
  </si>
  <si>
    <t>Total Nómina Mensual Base</t>
  </si>
  <si>
    <t>Gerente General</t>
  </si>
  <si>
    <t xml:space="preserve">Contador </t>
  </si>
  <si>
    <t>Jefe de Planta</t>
  </si>
  <si>
    <t>Mensajero/aseo</t>
  </si>
  <si>
    <t>Vendedores</t>
  </si>
  <si>
    <t>Chofer/despachador</t>
  </si>
  <si>
    <t>Operadores/obreros</t>
  </si>
  <si>
    <t>PRESUPUESTO MERCADEO MENSUAL</t>
  </si>
  <si>
    <t>Rubro</t>
  </si>
  <si>
    <t>CANT/MES</t>
  </si>
  <si>
    <t>COSTO UNI</t>
  </si>
  <si>
    <t>TOTAL MES</t>
  </si>
  <si>
    <t>TOTAL ANUAL</t>
  </si>
  <si>
    <t>PAGINA WEB</t>
  </si>
  <si>
    <t>AFICHES</t>
  </si>
  <si>
    <t>BANNERS</t>
  </si>
  <si>
    <t>EXHIBIDORES</t>
  </si>
  <si>
    <t>EVENTOS Y EXPOSICIONES</t>
  </si>
  <si>
    <t>RADIO</t>
  </si>
  <si>
    <t>OTROS</t>
  </si>
  <si>
    <t>TOTAL MENSUAL DE PUBLICIDAD Y PROMOCION</t>
  </si>
  <si>
    <t>PRESUPUESTO MERCADEO ANUAL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</si>
  <si>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</si>
  <si>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</si>
  <si>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</si>
  <si>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</si>
  <si>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</si>
  <si>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</si>
  <si>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</si>
  <si>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</si>
  <si>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</si>
  <si>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</si>
  <si>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TOTAL PUBLICIDAD ANUAL</t>
  </si>
  <si>
    <t>RUBRO</t>
  </si>
  <si>
    <t>PRESUPUESTO DE INVERSION EN ACTIVOS FIJOS</t>
  </si>
  <si>
    <t>CANTIDAD</t>
  </si>
  <si>
    <t>PRECIO</t>
  </si>
  <si>
    <t>MUEBLES Y ENSERES</t>
  </si>
  <si>
    <t>MATERIALES DE OFICINA</t>
  </si>
  <si>
    <t>COUNTER</t>
  </si>
  <si>
    <t>ESCRITORIOS</t>
  </si>
  <si>
    <t>SILLAS EJECUTIVAS</t>
  </si>
  <si>
    <t>SILLAS SENCILLAS</t>
  </si>
  <si>
    <t>SILLAS DE ESPERA</t>
  </si>
  <si>
    <t>SILLAS CONFIDENTE</t>
  </si>
  <si>
    <t>DIVISIONES</t>
  </si>
  <si>
    <t>ARCHIVADORES</t>
  </si>
  <si>
    <t>OTROS ENSERES</t>
  </si>
  <si>
    <t>TOTAL MUEBLES Y ENSERES</t>
  </si>
  <si>
    <t>EQUIPOS DE COMPUTO</t>
  </si>
  <si>
    <t>COMPUTADORAS PORTATIL</t>
  </si>
  <si>
    <t>COMPUTADORAS PC</t>
  </si>
  <si>
    <t>IMPRESORA</t>
  </si>
  <si>
    <t>ESCANER</t>
  </si>
  <si>
    <t>TOTAL EQUIPOS DE COMPUTO</t>
  </si>
  <si>
    <t>REDES Y EQUIPOS DE COMUNICACIÓN</t>
  </si>
  <si>
    <t>REDES Y CABLEADO</t>
  </si>
  <si>
    <t>CENTRAL TELEFONICA</t>
  </si>
  <si>
    <t>TELEFONOS DIGITALES</t>
  </si>
  <si>
    <t>TELEFONOS SENCILLOS</t>
  </si>
  <si>
    <t>DERECHO DE LINEAS</t>
  </si>
  <si>
    <t>FAX</t>
  </si>
  <si>
    <t>TOTAL REDES Y EQUIPOS DE COMUNICACIÓN</t>
  </si>
  <si>
    <t>OTROS ACTIVOS</t>
  </si>
  <si>
    <t>TOTAL DE ACTIVOS FIJOS</t>
  </si>
  <si>
    <t xml:space="preserve">Nombre del equipo </t>
  </si>
  <si>
    <t>Costo aproximado ($)</t>
  </si>
  <si>
    <t>Muebles de oficina de produccion</t>
  </si>
  <si>
    <t>Maquina despulpadora de fruta</t>
  </si>
  <si>
    <t>Selladora de bolsa</t>
  </si>
  <si>
    <t>Intercambiador de calor de tubo</t>
  </si>
  <si>
    <t>Cámara de frío</t>
  </si>
  <si>
    <t>Camión 2,5 toneladas</t>
  </si>
  <si>
    <t>Galpones</t>
  </si>
  <si>
    <t>Agua</t>
  </si>
  <si>
    <t>Internet</t>
  </si>
  <si>
    <t>VALORACIÓN DE ACTIVOS (VALOR DE DESECHO)</t>
  </si>
  <si>
    <t>MÉTODO CONTABLE</t>
  </si>
  <si>
    <t>Valoración de Activos para un Flujo de 10 años</t>
  </si>
  <si>
    <t>Activo</t>
  </si>
  <si>
    <t>Valor de Compra</t>
  </si>
  <si>
    <t>Vida Contable</t>
  </si>
  <si>
    <t>Depreciación Anual</t>
  </si>
  <si>
    <t>Años de Depreciación</t>
  </si>
  <si>
    <t>Depreciación Acumulada</t>
  </si>
  <si>
    <t>Valor en Libros</t>
  </si>
  <si>
    <t>Construcción</t>
  </si>
  <si>
    <t>Máquina</t>
  </si>
  <si>
    <t>Camión</t>
  </si>
  <si>
    <t>Equipos de computación</t>
  </si>
  <si>
    <t>Muebles y Enseres</t>
  </si>
  <si>
    <t>Deprec. Acumulada</t>
  </si>
  <si>
    <t>CAPITAL DE TRABAJO</t>
  </si>
  <si>
    <t>PROYECCIÓN 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</si>
  <si>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</si>
  <si>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</si>
  <si>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</si>
  <si>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</si>
  <si>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</si>
  <si>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</si>
  <si>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</si>
  <si>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</si>
  <si>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</si>
  <si>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</si>
  <si>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</si>
  <si>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</si>
  <si>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Ventas/Unidades</t>
  </si>
  <si>
    <t>Total Ingresos</t>
  </si>
  <si>
    <t>INGRESOS</t>
  </si>
  <si>
    <t>50% al contado</t>
  </si>
  <si>
    <t>30% a 30 días</t>
  </si>
  <si>
    <t>20% a 60 días</t>
  </si>
  <si>
    <t>Ingreso Mensual</t>
  </si>
  <si>
    <t>Mantener 60% de ventas proyectadas para el mes como inventario de seguridad a principio de ese mes</t>
  </si>
  <si>
    <t>EGRESOS</t>
  </si>
  <si>
    <t>Costos Variables</t>
  </si>
  <si>
    <t>Material Directo</t>
  </si>
  <si>
    <t>Mano de obra directa</t>
  </si>
  <si>
    <t>luz</t>
  </si>
  <si>
    <t>Gastos de distribución</t>
  </si>
  <si>
    <t>Total Costos Variables</t>
  </si>
  <si>
    <t>Costo Fijos</t>
  </si>
  <si>
    <t>Seguro</t>
  </si>
  <si>
    <t>Teléfono</t>
  </si>
  <si>
    <t>G. de publicidad</t>
  </si>
  <si>
    <t>G. de Administración</t>
  </si>
  <si>
    <t>Total Costos Fijos</t>
  </si>
  <si>
    <t>Egreso Mensual</t>
  </si>
  <si>
    <t>Saldo Mensual</t>
  </si>
  <si>
    <t>Saldo Acumulado</t>
  </si>
  <si>
    <t>TABLA DE AMORTIZACIÓN</t>
  </si>
  <si>
    <t>INFORMACIÓN EMPRESA COMPARABLE (KRAFT)</t>
  </si>
  <si>
    <t>DECLARACIÓN DE INGRESOS</t>
  </si>
  <si>
    <t>Crecimiento</t>
  </si>
  <si>
    <t>Flujo de Caja</t>
  </si>
  <si>
    <t>Años</t>
  </si>
  <si>
    <t>Venta unidades</t>
  </si>
  <si>
    <t>Costo de Ventas</t>
  </si>
  <si>
    <t>Compra Materia Prima (Níspero)</t>
  </si>
  <si>
    <t>Costo por gramo</t>
  </si>
  <si>
    <t>Gramos utilizados</t>
  </si>
  <si>
    <t>Desperdicio por gramo</t>
  </si>
  <si>
    <t>Total Costo de Producción</t>
  </si>
  <si>
    <t>Utilidad Bruta en Ventas</t>
  </si>
  <si>
    <t>Costos Fijos</t>
  </si>
  <si>
    <t>Gastos de Publicidad</t>
  </si>
  <si>
    <t xml:space="preserve">Gastos de Administración </t>
  </si>
  <si>
    <t>Sueldos y Salarios</t>
  </si>
  <si>
    <t>UAII</t>
  </si>
  <si>
    <t>Depreciación</t>
  </si>
  <si>
    <t>Planta</t>
  </si>
  <si>
    <t>Equipo de computación</t>
  </si>
  <si>
    <t>Muebles y enseres</t>
  </si>
  <si>
    <t>Interes</t>
  </si>
  <si>
    <t>Otros Ingresos</t>
  </si>
  <si>
    <t>Venta de activos</t>
  </si>
  <si>
    <t>UAI</t>
  </si>
  <si>
    <t>Participación de los trabajadores</t>
  </si>
  <si>
    <t>Total Costo</t>
  </si>
  <si>
    <t>Precio/Caja</t>
  </si>
  <si>
    <t>terreno+construcción</t>
  </si>
  <si>
    <t>banco de fomento</t>
  </si>
  <si>
    <t>Valor de Deuda</t>
  </si>
  <si>
    <t>CANTIDAD DE MATERIA PRIMA POR CAJA</t>
  </si>
  <si>
    <t>Níspero</t>
  </si>
  <si>
    <t>Valor de desecho</t>
  </si>
  <si>
    <t>Utilidad neta</t>
  </si>
  <si>
    <t>Inversión inicial en Máquinas y Vehículos</t>
  </si>
  <si>
    <t>Inversión de Activos Fijos</t>
  </si>
  <si>
    <t>Inversión Total de Obra Física</t>
  </si>
  <si>
    <t>Gasto de Constitución</t>
  </si>
  <si>
    <t>Capital de Trabajo</t>
  </si>
  <si>
    <t>Valor de Desecho</t>
  </si>
  <si>
    <t>VAN</t>
  </si>
  <si>
    <t>TIR</t>
  </si>
  <si>
    <t>CÁLCULO DEL PAY BACK</t>
  </si>
  <si>
    <t>PAY BACK</t>
  </si>
  <si>
    <t>Período (años)</t>
  </si>
  <si>
    <t>Cálculo del Flujo de Caja</t>
  </si>
  <si>
    <t>Cálculo del Flujo de Caja (con dueda)</t>
  </si>
  <si>
    <t>Recuperación de la Inversión</t>
  </si>
  <si>
    <t>Flujo neto de Caja Descontado</t>
  </si>
  <si>
    <t>tasa de descuento</t>
  </si>
  <si>
    <t>ANALISIS DE SENSIBILIDAD</t>
  </si>
  <si>
    <t>ESCENARIO</t>
  </si>
  <si>
    <t>VARIACION %</t>
  </si>
  <si>
    <t>ANALISIS</t>
  </si>
  <si>
    <t>PUNTO CRITICO</t>
  </si>
  <si>
    <t>AUMENTO DE LAS VENTAS</t>
  </si>
  <si>
    <t xml:space="preserve"> SE PUEDE BAJAR HASTA 24.65%</t>
  </si>
  <si>
    <t>DISMINUCION DE LAS VENTAS</t>
  </si>
  <si>
    <t>AUMENTO DE LOS COSTOS</t>
  </si>
  <si>
    <t xml:space="preserve"> SE PUEDE SUBIR HASTA 211%</t>
  </si>
  <si>
    <t>DISMINUCION DE LOS COSTOS</t>
  </si>
  <si>
    <t>AUMENTO DE LOS GASTOS</t>
  </si>
  <si>
    <t xml:space="preserve"> SE PUEDE SUBIR HASTA 52.63%</t>
  </si>
  <si>
    <t>DISMINUCION DE LOS GASTOS</t>
  </si>
  <si>
    <t>Se recupera al año 8</t>
  </si>
  <si>
    <t xml:space="preserve">PRECIO </t>
  </si>
  <si>
    <t>CRECIMIENTO EN VENTAS</t>
  </si>
  <si>
    <t xml:space="preserve">VENTAS DE UNIDADES </t>
  </si>
  <si>
    <t>VARIABLES DE ENTRADA</t>
  </si>
  <si>
    <t xml:space="preserve">RIESGO PAIS </t>
  </si>
  <si>
    <t>analisis en crystal ball</t>
  </si>
  <si>
    <t>trabajamos con el Vna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</si>
</sst>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&quot;$&quot;\ #,##0.00"/>
    <numFmt numFmtId="168" formatCode="&quot;$&quot;\ #,##0.000000"/>
    <numFmt numFmtId="169" formatCode="#,##0.000"/>
    <numFmt numFmtId="170" formatCode="0.000"/>
    <numFmt numFmtId="171" formatCode="_(&quot;$&quot;* #,##0.00_);_(&quot;$&quot;* \(#,##0.00\);_(&quot;$&quot;* &quot;-&quot;??_);_(@_)"/>
    <numFmt numFmtId="172" formatCode="&quot;$&quot;\ #,##0"/>
    <numFmt numFmtId="173" formatCode="0.0%"/>
    <numFmt numFmtId="174" formatCode="0.0"/>
    <numFmt numFmtId="175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56"/>
      <name val="Tahoma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8.25"/>
      <color indexed="8"/>
      <name val="Arial"/>
      <family val="2"/>
    </font>
    <font>
      <sz val="7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7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42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54" applyNumberFormat="1" applyFont="1" applyFill="1" applyBorder="1" applyAlignment="1" applyProtection="1">
      <alignment horizontal="center"/>
      <protection/>
    </xf>
    <xf numFmtId="9" fontId="6" fillId="0" borderId="10" xfId="54" applyFont="1" applyFill="1" applyBorder="1" applyAlignment="1" applyProtection="1">
      <alignment horizontal="center"/>
      <protection/>
    </xf>
    <xf numFmtId="10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4" fontId="15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4" fontId="13" fillId="0" borderId="1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14" fillId="0" borderId="19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10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/>
    </xf>
    <xf numFmtId="167" fontId="14" fillId="0" borderId="22" xfId="0" applyNumberFormat="1" applyFont="1" applyBorder="1" applyAlignment="1">
      <alignment horizontal="center"/>
    </xf>
    <xf numFmtId="168" fontId="14" fillId="0" borderId="2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4" fontId="14" fillId="0" borderId="27" xfId="0" applyNumberFormat="1" applyFont="1" applyBorder="1" applyAlignment="1">
      <alignment horizontal="right"/>
    </xf>
    <xf numFmtId="167" fontId="14" fillId="0" borderId="26" xfId="0" applyNumberFormat="1" applyFont="1" applyBorder="1" applyAlignment="1">
      <alignment horizontal="left"/>
    </xf>
    <xf numFmtId="2" fontId="14" fillId="0" borderId="27" xfId="0" applyNumberFormat="1" applyFont="1" applyBorder="1" applyAlignment="1">
      <alignment/>
    </xf>
    <xf numFmtId="167" fontId="14" fillId="0" borderId="27" xfId="0" applyNumberFormat="1" applyFont="1" applyBorder="1" applyAlignment="1">
      <alignment horizontal="right"/>
    </xf>
    <xf numFmtId="169" fontId="14" fillId="0" borderId="27" xfId="0" applyNumberFormat="1" applyFont="1" applyBorder="1" applyAlignment="1">
      <alignment horizontal="right"/>
    </xf>
    <xf numFmtId="167" fontId="14" fillId="0" borderId="28" xfId="0" applyNumberFormat="1" applyFont="1" applyBorder="1" applyAlignment="1">
      <alignment horizontal="left"/>
    </xf>
    <xf numFmtId="168" fontId="14" fillId="0" borderId="29" xfId="0" applyNumberFormat="1" applyFont="1" applyBorder="1" applyAlignment="1">
      <alignment horizontal="center"/>
    </xf>
    <xf numFmtId="170" fontId="13" fillId="0" borderId="30" xfId="0" applyNumberFormat="1" applyFont="1" applyBorder="1" applyAlignment="1">
      <alignment/>
    </xf>
    <xf numFmtId="0" fontId="13" fillId="0" borderId="28" xfId="0" applyFont="1" applyBorder="1" applyAlignment="1">
      <alignment horizontal="left"/>
    </xf>
    <xf numFmtId="169" fontId="13" fillId="0" borderId="3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10" fontId="14" fillId="0" borderId="14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23" xfId="0" applyFont="1" applyBorder="1" applyAlignment="1">
      <alignment/>
    </xf>
    <xf numFmtId="167" fontId="14" fillId="0" borderId="25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 applyProtection="1">
      <alignment horizontal="center"/>
      <protection locked="0"/>
    </xf>
    <xf numFmtId="0" fontId="17" fillId="0" borderId="24" xfId="50" applyNumberFormat="1" applyFont="1" applyFill="1" applyBorder="1" applyAlignment="1" applyProtection="1">
      <alignment/>
      <protection locked="0"/>
    </xf>
    <xf numFmtId="0" fontId="17" fillId="0" borderId="24" xfId="0" applyNumberFormat="1" applyFont="1" applyFill="1" applyBorder="1" applyAlignment="1">
      <alignment/>
    </xf>
    <xf numFmtId="0" fontId="17" fillId="0" borderId="36" xfId="0" applyNumberFormat="1" applyFont="1" applyFill="1" applyBorder="1" applyAlignment="1">
      <alignment/>
    </xf>
    <xf numFmtId="10" fontId="17" fillId="0" borderId="37" xfId="54" applyNumberFormat="1" applyFont="1" applyFill="1" applyBorder="1" applyAlignment="1" applyProtection="1">
      <alignment horizontal="center"/>
      <protection locked="0"/>
    </xf>
    <xf numFmtId="2" fontId="17" fillId="0" borderId="36" xfId="0" applyNumberFormat="1" applyFont="1" applyFill="1" applyBorder="1" applyAlignment="1">
      <alignment/>
    </xf>
    <xf numFmtId="0" fontId="17" fillId="0" borderId="38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/>
      <protection locked="0"/>
    </xf>
    <xf numFmtId="171" fontId="17" fillId="0" borderId="0" xfId="50" applyNumberFormat="1" applyFont="1" applyFill="1" applyBorder="1" applyAlignment="1" applyProtection="1">
      <alignment/>
      <protection locked="0"/>
    </xf>
    <xf numFmtId="171" fontId="17" fillId="0" borderId="0" xfId="0" applyNumberFormat="1" applyFont="1" applyFill="1" applyBorder="1" applyAlignment="1">
      <alignment/>
    </xf>
    <xf numFmtId="10" fontId="16" fillId="0" borderId="39" xfId="54" applyNumberFormat="1" applyFont="1" applyFill="1" applyBorder="1" applyAlignment="1" applyProtection="1">
      <alignment horizontal="right" vertical="center"/>
      <protection locked="0"/>
    </xf>
    <xf numFmtId="171" fontId="17" fillId="0" borderId="27" xfId="0" applyNumberFormat="1" applyFont="1" applyFill="1" applyBorder="1" applyAlignment="1">
      <alignment/>
    </xf>
    <xf numFmtId="10" fontId="17" fillId="0" borderId="18" xfId="0" applyNumberFormat="1" applyFont="1" applyBorder="1" applyAlignment="1">
      <alignment/>
    </xf>
    <xf numFmtId="9" fontId="16" fillId="0" borderId="0" xfId="54" applyFont="1" applyFill="1" applyBorder="1" applyAlignment="1" applyProtection="1">
      <alignment horizontal="right" vertical="center"/>
      <protection locked="0"/>
    </xf>
    <xf numFmtId="0" fontId="17" fillId="0" borderId="27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7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6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 wrapText="1"/>
    </xf>
    <xf numFmtId="0" fontId="15" fillId="0" borderId="10" xfId="0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0" fontId="15" fillId="0" borderId="13" xfId="0" applyFont="1" applyBorder="1" applyAlignment="1">
      <alignment horizontal="left"/>
    </xf>
    <xf numFmtId="2" fontId="15" fillId="0" borderId="22" xfId="0" applyNumberFormat="1" applyFont="1" applyBorder="1" applyAlignment="1">
      <alignment wrapText="1"/>
    </xf>
    <xf numFmtId="0" fontId="15" fillId="0" borderId="2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15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0" fontId="18" fillId="0" borderId="19" xfId="0" applyFont="1" applyBorder="1" applyAlignment="1">
      <alignment horizontal="left"/>
    </xf>
    <xf numFmtId="0" fontId="15" fillId="0" borderId="22" xfId="0" applyFont="1" applyBorder="1" applyAlignment="1">
      <alignment/>
    </xf>
    <xf numFmtId="2" fontId="15" fillId="0" borderId="22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8" fillId="0" borderId="47" xfId="0" applyNumberFormat="1" applyFont="1" applyBorder="1" applyAlignment="1">
      <alignment/>
    </xf>
    <xf numFmtId="0" fontId="18" fillId="0" borderId="17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32" xfId="0" applyFont="1" applyBorder="1" applyAlignment="1">
      <alignment/>
    </xf>
    <xf numFmtId="164" fontId="14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164" fontId="14" fillId="0" borderId="25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64" fontId="14" fillId="0" borderId="14" xfId="0" applyNumberFormat="1" applyFont="1" applyBorder="1" applyAlignment="1">
      <alignment/>
    </xf>
    <xf numFmtId="165" fontId="14" fillId="0" borderId="10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0" fontId="13" fillId="0" borderId="30" xfId="0" applyFont="1" applyBorder="1" applyAlignment="1">
      <alignment/>
    </xf>
    <xf numFmtId="164" fontId="14" fillId="0" borderId="30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4" fillId="0" borderId="48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0" fontId="13" fillId="0" borderId="19" xfId="0" applyFont="1" applyBorder="1" applyAlignment="1">
      <alignment/>
    </xf>
    <xf numFmtId="165" fontId="14" fillId="0" borderId="22" xfId="0" applyNumberFormat="1" applyFont="1" applyBorder="1" applyAlignment="1">
      <alignment/>
    </xf>
    <xf numFmtId="165" fontId="14" fillId="0" borderId="20" xfId="0" applyNumberFormat="1" applyFont="1" applyBorder="1" applyAlignment="1">
      <alignment/>
    </xf>
    <xf numFmtId="0" fontId="13" fillId="0" borderId="2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21" xfId="0" applyFont="1" applyBorder="1" applyAlignment="1">
      <alignment/>
    </xf>
    <xf numFmtId="165" fontId="14" fillId="0" borderId="21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164" fontId="14" fillId="0" borderId="22" xfId="0" applyNumberFormat="1" applyFont="1" applyBorder="1" applyAlignment="1">
      <alignment horizontal="right"/>
    </xf>
    <xf numFmtId="0" fontId="14" fillId="0" borderId="26" xfId="0" applyFont="1" applyBorder="1" applyAlignment="1">
      <alignment/>
    </xf>
    <xf numFmtId="0" fontId="13" fillId="0" borderId="26" xfId="0" applyFont="1" applyBorder="1" applyAlignment="1">
      <alignment/>
    </xf>
    <xf numFmtId="172" fontId="14" fillId="0" borderId="21" xfId="0" applyNumberFormat="1" applyFont="1" applyBorder="1" applyAlignment="1">
      <alignment/>
    </xf>
    <xf numFmtId="172" fontId="14" fillId="0" borderId="12" xfId="0" applyNumberFormat="1" applyFont="1" applyBorder="1" applyAlignment="1">
      <alignment/>
    </xf>
    <xf numFmtId="172" fontId="14" fillId="0" borderId="22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0" fontId="14" fillId="0" borderId="17" xfId="0" applyFont="1" applyBorder="1" applyAlignment="1">
      <alignment/>
    </xf>
    <xf numFmtId="164" fontId="14" fillId="0" borderId="32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0" fontId="14" fillId="0" borderId="42" xfId="0" applyFont="1" applyBorder="1" applyAlignment="1">
      <alignment/>
    </xf>
    <xf numFmtId="172" fontId="14" fillId="0" borderId="43" xfId="0" applyNumberFormat="1" applyFont="1" applyBorder="1" applyAlignment="1">
      <alignment/>
    </xf>
    <xf numFmtId="172" fontId="14" fillId="0" borderId="49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49" xfId="0" applyFont="1" applyBorder="1" applyAlignment="1">
      <alignment/>
    </xf>
    <xf numFmtId="167" fontId="14" fillId="0" borderId="10" xfId="0" applyNumberFormat="1" applyFont="1" applyBorder="1" applyAlignment="1">
      <alignment/>
    </xf>
    <xf numFmtId="167" fontId="14" fillId="0" borderId="14" xfId="0" applyNumberFormat="1" applyFont="1" applyBorder="1" applyAlignment="1">
      <alignment/>
    </xf>
    <xf numFmtId="167" fontId="14" fillId="0" borderId="22" xfId="0" applyNumberFormat="1" applyFont="1" applyBorder="1" applyAlignment="1">
      <alignment/>
    </xf>
    <xf numFmtId="167" fontId="14" fillId="0" borderId="20" xfId="0" applyNumberFormat="1" applyFont="1" applyBorder="1" applyAlignment="1">
      <alignment/>
    </xf>
    <xf numFmtId="0" fontId="13" fillId="0" borderId="0" xfId="0" applyFont="1" applyBorder="1" applyAlignment="1">
      <alignment/>
    </xf>
    <xf numFmtId="167" fontId="14" fillId="0" borderId="10" xfId="0" applyNumberFormat="1" applyFont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165" fontId="14" fillId="36" borderId="12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9" fontId="14" fillId="36" borderId="20" xfId="0" applyNumberFormat="1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14" fillId="36" borderId="19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4" fillId="36" borderId="20" xfId="0" applyFont="1" applyFill="1" applyBorder="1" applyAlignment="1">
      <alignment/>
    </xf>
    <xf numFmtId="0" fontId="13" fillId="37" borderId="50" xfId="0" applyFont="1" applyFill="1" applyBorder="1" applyAlignment="1">
      <alignment/>
    </xf>
    <xf numFmtId="0" fontId="14" fillId="37" borderId="51" xfId="0" applyFont="1" applyFill="1" applyBorder="1" applyAlignment="1">
      <alignment/>
    </xf>
    <xf numFmtId="165" fontId="14" fillId="37" borderId="51" xfId="0" applyNumberFormat="1" applyFont="1" applyFill="1" applyBorder="1" applyAlignment="1">
      <alignment/>
    </xf>
    <xf numFmtId="165" fontId="14" fillId="37" borderId="47" xfId="0" applyNumberFormat="1" applyFont="1" applyFill="1" applyBorder="1" applyAlignment="1">
      <alignment/>
    </xf>
    <xf numFmtId="0" fontId="14" fillId="36" borderId="26" xfId="0" applyFont="1" applyFill="1" applyBorder="1" applyAlignment="1">
      <alignment/>
    </xf>
    <xf numFmtId="0" fontId="14" fillId="36" borderId="27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14" fillId="36" borderId="13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168" fontId="14" fillId="36" borderId="10" xfId="0" applyNumberFormat="1" applyFont="1" applyFill="1" applyBorder="1" applyAlignment="1">
      <alignment/>
    </xf>
    <xf numFmtId="168" fontId="14" fillId="36" borderId="14" xfId="0" applyNumberFormat="1" applyFont="1" applyFill="1" applyBorder="1" applyAlignment="1">
      <alignment/>
    </xf>
    <xf numFmtId="0" fontId="14" fillId="36" borderId="14" xfId="0" applyFont="1" applyFill="1" applyBorder="1" applyAlignment="1">
      <alignment/>
    </xf>
    <xf numFmtId="10" fontId="14" fillId="36" borderId="10" xfId="0" applyNumberFormat="1" applyFont="1" applyFill="1" applyBorder="1" applyAlignment="1">
      <alignment/>
    </xf>
    <xf numFmtId="172" fontId="14" fillId="36" borderId="10" xfId="0" applyNumberFormat="1" applyFont="1" applyFill="1" applyBorder="1" applyAlignment="1">
      <alignment/>
    </xf>
    <xf numFmtId="172" fontId="14" fillId="36" borderId="14" xfId="0" applyNumberFormat="1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14" fillId="37" borderId="22" xfId="0" applyFont="1" applyFill="1" applyBorder="1" applyAlignment="1">
      <alignment/>
    </xf>
    <xf numFmtId="165" fontId="14" fillId="37" borderId="22" xfId="0" applyNumberFormat="1" applyFont="1" applyFill="1" applyBorder="1" applyAlignment="1">
      <alignment/>
    </xf>
    <xf numFmtId="165" fontId="14" fillId="37" borderId="20" xfId="0" applyNumberFormat="1" applyFont="1" applyFill="1" applyBorder="1" applyAlignment="1">
      <alignment/>
    </xf>
    <xf numFmtId="172" fontId="14" fillId="36" borderId="21" xfId="0" applyNumberFormat="1" applyFont="1" applyFill="1" applyBorder="1" applyAlignment="1">
      <alignment/>
    </xf>
    <xf numFmtId="172" fontId="14" fillId="36" borderId="12" xfId="0" applyNumberFormat="1" applyFont="1" applyFill="1" applyBorder="1" applyAlignment="1">
      <alignment/>
    </xf>
    <xf numFmtId="172" fontId="14" fillId="37" borderId="22" xfId="0" applyNumberFormat="1" applyFont="1" applyFill="1" applyBorder="1" applyAlignment="1">
      <alignment/>
    </xf>
    <xf numFmtId="172" fontId="14" fillId="37" borderId="20" xfId="0" applyNumberFormat="1" applyFont="1" applyFill="1" applyBorder="1" applyAlignment="1">
      <alignment/>
    </xf>
    <xf numFmtId="0" fontId="14" fillId="36" borderId="52" xfId="0" applyFont="1" applyFill="1" applyBorder="1" applyAlignment="1">
      <alignment/>
    </xf>
    <xf numFmtId="0" fontId="14" fillId="36" borderId="53" xfId="0" applyFont="1" applyFill="1" applyBorder="1" applyAlignment="1">
      <alignment/>
    </xf>
    <xf numFmtId="0" fontId="14" fillId="36" borderId="54" xfId="0" applyFont="1" applyFill="1" applyBorder="1" applyAlignment="1">
      <alignment/>
    </xf>
    <xf numFmtId="0" fontId="13" fillId="37" borderId="28" xfId="0" applyFont="1" applyFill="1" applyBorder="1" applyAlignment="1">
      <alignment/>
    </xf>
    <xf numFmtId="0" fontId="14" fillId="37" borderId="29" xfId="0" applyFont="1" applyFill="1" applyBorder="1" applyAlignment="1">
      <alignment/>
    </xf>
    <xf numFmtId="165" fontId="14" fillId="37" borderId="29" xfId="0" applyNumberFormat="1" applyFont="1" applyFill="1" applyBorder="1" applyAlignment="1">
      <alignment/>
    </xf>
    <xf numFmtId="165" fontId="14" fillId="37" borderId="48" xfId="0" applyNumberFormat="1" applyFont="1" applyFill="1" applyBorder="1" applyAlignment="1">
      <alignment/>
    </xf>
    <xf numFmtId="0" fontId="13" fillId="36" borderId="0" xfId="0" applyFont="1" applyFill="1" applyBorder="1" applyAlignment="1">
      <alignment/>
    </xf>
    <xf numFmtId="167" fontId="14" fillId="36" borderId="21" xfId="0" applyNumberFormat="1" applyFont="1" applyFill="1" applyBorder="1" applyAlignment="1">
      <alignment/>
    </xf>
    <xf numFmtId="167" fontId="14" fillId="36" borderId="12" xfId="0" applyNumberFormat="1" applyFont="1" applyFill="1" applyBorder="1" applyAlignment="1">
      <alignment/>
    </xf>
    <xf numFmtId="167" fontId="14" fillId="36" borderId="10" xfId="0" applyNumberFormat="1" applyFont="1" applyFill="1" applyBorder="1" applyAlignment="1">
      <alignment/>
    </xf>
    <xf numFmtId="167" fontId="14" fillId="36" borderId="14" xfId="0" applyNumberFormat="1" applyFont="1" applyFill="1" applyBorder="1" applyAlignment="1">
      <alignment/>
    </xf>
    <xf numFmtId="167" fontId="14" fillId="36" borderId="22" xfId="0" applyNumberFormat="1" applyFont="1" applyFill="1" applyBorder="1" applyAlignment="1">
      <alignment/>
    </xf>
    <xf numFmtId="167" fontId="14" fillId="36" borderId="20" xfId="0" applyNumberFormat="1" applyFont="1" applyFill="1" applyBorder="1" applyAlignment="1">
      <alignment/>
    </xf>
    <xf numFmtId="167" fontId="14" fillId="36" borderId="0" xfId="0" applyNumberFormat="1" applyFont="1" applyFill="1" applyBorder="1" applyAlignment="1">
      <alignment/>
    </xf>
    <xf numFmtId="167" fontId="14" fillId="36" borderId="27" xfId="0" applyNumberFormat="1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32" xfId="0" applyFont="1" applyFill="1" applyBorder="1" applyAlignment="1">
      <alignment/>
    </xf>
    <xf numFmtId="167" fontId="14" fillId="36" borderId="32" xfId="0" applyNumberFormat="1" applyFont="1" applyFill="1" applyBorder="1" applyAlignment="1">
      <alignment/>
    </xf>
    <xf numFmtId="167" fontId="14" fillId="36" borderId="18" xfId="0" applyNumberFormat="1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172" fontId="14" fillId="37" borderId="21" xfId="0" applyNumberFormat="1" applyFont="1" applyFill="1" applyBorder="1" applyAlignment="1">
      <alignment/>
    </xf>
    <xf numFmtId="172" fontId="14" fillId="37" borderId="12" xfId="0" applyNumberFormat="1" applyFont="1" applyFill="1" applyBorder="1" applyAlignment="1">
      <alignment/>
    </xf>
    <xf numFmtId="9" fontId="14" fillId="36" borderId="10" xfId="0" applyNumberFormat="1" applyFont="1" applyFill="1" applyBorder="1" applyAlignment="1">
      <alignment/>
    </xf>
    <xf numFmtId="9" fontId="14" fillId="36" borderId="22" xfId="0" applyNumberFormat="1" applyFont="1" applyFill="1" applyBorder="1" applyAlignment="1">
      <alignment/>
    </xf>
    <xf numFmtId="0" fontId="13" fillId="37" borderId="17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167" fontId="14" fillId="37" borderId="32" xfId="0" applyNumberFormat="1" applyFont="1" applyFill="1" applyBorder="1" applyAlignment="1">
      <alignment/>
    </xf>
    <xf numFmtId="167" fontId="14" fillId="37" borderId="18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4" fillId="36" borderId="24" xfId="0" applyFont="1" applyFill="1" applyBorder="1" applyAlignment="1">
      <alignment/>
    </xf>
    <xf numFmtId="164" fontId="14" fillId="36" borderId="24" xfId="0" applyNumberFormat="1" applyFont="1" applyFill="1" applyBorder="1" applyAlignment="1">
      <alignment/>
    </xf>
    <xf numFmtId="164" fontId="14" fillId="36" borderId="25" xfId="0" applyNumberFormat="1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164" fontId="14" fillId="36" borderId="10" xfId="0" applyNumberFormat="1" applyFont="1" applyFill="1" applyBorder="1" applyAlignment="1">
      <alignment/>
    </xf>
    <xf numFmtId="0" fontId="14" fillId="36" borderId="13" xfId="0" applyFont="1" applyFill="1" applyBorder="1" applyAlignment="1">
      <alignment horizontal="left"/>
    </xf>
    <xf numFmtId="165" fontId="14" fillId="36" borderId="10" xfId="0" applyNumberFormat="1" applyFont="1" applyFill="1" applyBorder="1" applyAlignment="1">
      <alignment/>
    </xf>
    <xf numFmtId="164" fontId="14" fillId="36" borderId="14" xfId="0" applyNumberFormat="1" applyFont="1" applyFill="1" applyBorder="1" applyAlignment="1">
      <alignment/>
    </xf>
    <xf numFmtId="0" fontId="14" fillId="36" borderId="15" xfId="0" applyFont="1" applyFill="1" applyBorder="1" applyAlignment="1">
      <alignment horizontal="left"/>
    </xf>
    <xf numFmtId="164" fontId="14" fillId="36" borderId="55" xfId="0" applyNumberFormat="1" applyFont="1" applyFill="1" applyBorder="1" applyAlignment="1">
      <alignment/>
    </xf>
    <xf numFmtId="0" fontId="14" fillId="36" borderId="55" xfId="0" applyFont="1" applyFill="1" applyBorder="1" applyAlignment="1">
      <alignment/>
    </xf>
    <xf numFmtId="164" fontId="14" fillId="36" borderId="16" xfId="0" applyNumberFormat="1" applyFont="1" applyFill="1" applyBorder="1" applyAlignment="1">
      <alignment/>
    </xf>
    <xf numFmtId="0" fontId="13" fillId="36" borderId="17" xfId="0" applyFont="1" applyFill="1" applyBorder="1" applyAlignment="1">
      <alignment horizontal="left"/>
    </xf>
    <xf numFmtId="164" fontId="14" fillId="36" borderId="32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164" fontId="14" fillId="36" borderId="0" xfId="0" applyNumberFormat="1" applyFont="1" applyFill="1" applyBorder="1" applyAlignment="1">
      <alignment/>
    </xf>
    <xf numFmtId="0" fontId="13" fillId="36" borderId="52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/>
    </xf>
    <xf numFmtId="0" fontId="13" fillId="36" borderId="19" xfId="0" applyFont="1" applyFill="1" applyBorder="1" applyAlignment="1">
      <alignment/>
    </xf>
    <xf numFmtId="165" fontId="14" fillId="36" borderId="22" xfId="0" applyNumberFormat="1" applyFont="1" applyFill="1" applyBorder="1" applyAlignment="1">
      <alignment/>
    </xf>
    <xf numFmtId="165" fontId="14" fillId="36" borderId="20" xfId="0" applyNumberFormat="1" applyFont="1" applyFill="1" applyBorder="1" applyAlignment="1">
      <alignment/>
    </xf>
    <xf numFmtId="172" fontId="14" fillId="36" borderId="22" xfId="0" applyNumberFormat="1" applyFont="1" applyFill="1" applyBorder="1" applyAlignment="1">
      <alignment/>
    </xf>
    <xf numFmtId="172" fontId="14" fillId="36" borderId="20" xfId="0" applyNumberFormat="1" applyFont="1" applyFill="1" applyBorder="1" applyAlignment="1">
      <alignment/>
    </xf>
    <xf numFmtId="0" fontId="13" fillId="36" borderId="28" xfId="0" applyFont="1" applyFill="1" applyBorder="1" applyAlignment="1">
      <alignment/>
    </xf>
    <xf numFmtId="0" fontId="14" fillId="36" borderId="29" xfId="0" applyFont="1" applyFill="1" applyBorder="1" applyAlignment="1">
      <alignment/>
    </xf>
    <xf numFmtId="165" fontId="14" fillId="36" borderId="29" xfId="0" applyNumberFormat="1" applyFont="1" applyFill="1" applyBorder="1" applyAlignment="1">
      <alignment/>
    </xf>
    <xf numFmtId="165" fontId="14" fillId="36" borderId="48" xfId="0" applyNumberFormat="1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4" fillId="36" borderId="42" xfId="0" applyFont="1" applyFill="1" applyBorder="1" applyAlignment="1">
      <alignment/>
    </xf>
    <xf numFmtId="164" fontId="14" fillId="36" borderId="43" xfId="0" applyNumberFormat="1" applyFont="1" applyFill="1" applyBorder="1" applyAlignment="1">
      <alignment/>
    </xf>
    <xf numFmtId="164" fontId="14" fillId="36" borderId="49" xfId="0" applyNumberFormat="1" applyFont="1" applyFill="1" applyBorder="1" applyAlignment="1">
      <alignment/>
    </xf>
    <xf numFmtId="167" fontId="14" fillId="38" borderId="10" xfId="0" applyNumberFormat="1" applyFont="1" applyFill="1" applyBorder="1" applyAlignment="1">
      <alignment horizontal="center"/>
    </xf>
    <xf numFmtId="165" fontId="14" fillId="39" borderId="12" xfId="0" applyNumberFormat="1" applyFont="1" applyFill="1" applyBorder="1" applyAlignment="1">
      <alignment/>
    </xf>
    <xf numFmtId="0" fontId="14" fillId="40" borderId="12" xfId="0" applyFont="1" applyFill="1" applyBorder="1" applyAlignment="1">
      <alignment/>
    </xf>
    <xf numFmtId="9" fontId="14" fillId="40" borderId="14" xfId="0" applyNumberFormat="1" applyFont="1" applyFill="1" applyBorder="1" applyAlignment="1">
      <alignment/>
    </xf>
    <xf numFmtId="10" fontId="14" fillId="40" borderId="14" xfId="0" applyNumberFormat="1" applyFont="1" applyFill="1" applyBorder="1" applyAlignment="1">
      <alignment/>
    </xf>
    <xf numFmtId="0" fontId="14" fillId="40" borderId="2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19" xfId="0" applyFont="1" applyFill="1" applyBorder="1" applyAlignment="1">
      <alignment/>
    </xf>
    <xf numFmtId="0" fontId="18" fillId="40" borderId="21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left"/>
    </xf>
    <xf numFmtId="0" fontId="18" fillId="40" borderId="10" xfId="0" applyFont="1" applyFill="1" applyBorder="1" applyAlignment="1">
      <alignment/>
    </xf>
    <xf numFmtId="0" fontId="18" fillId="40" borderId="14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172" fontId="13" fillId="40" borderId="18" xfId="0" applyNumberFormat="1" applyFont="1" applyFill="1" applyBorder="1" applyAlignment="1">
      <alignment/>
    </xf>
    <xf numFmtId="165" fontId="14" fillId="40" borderId="12" xfId="0" applyNumberFormat="1" applyFont="1" applyFill="1" applyBorder="1" applyAlignment="1">
      <alignment/>
    </xf>
    <xf numFmtId="9" fontId="14" fillId="40" borderId="20" xfId="0" applyNumberFormat="1" applyFont="1" applyFill="1" applyBorder="1" applyAlignment="1">
      <alignment/>
    </xf>
    <xf numFmtId="0" fontId="13" fillId="40" borderId="28" xfId="0" applyFont="1" applyFill="1" applyBorder="1" applyAlignment="1">
      <alignment horizontal="center"/>
    </xf>
    <xf numFmtId="0" fontId="13" fillId="40" borderId="4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3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28" xfId="0" applyNumberFormat="1" applyFont="1" applyBorder="1" applyAlignment="1">
      <alignment horizontal="center"/>
    </xf>
    <xf numFmtId="167" fontId="13" fillId="0" borderId="29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3" fillId="36" borderId="0" xfId="0" applyFont="1" applyFill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35" borderId="48" xfId="0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13" fillId="36" borderId="26" xfId="0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center" vertical="center" wrapText="1"/>
    </xf>
    <xf numFmtId="2" fontId="16" fillId="0" borderId="39" xfId="0" applyNumberFormat="1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wrapText="1"/>
    </xf>
    <xf numFmtId="2" fontId="15" fillId="0" borderId="14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 horizontal="right"/>
    </xf>
    <xf numFmtId="2" fontId="15" fillId="0" borderId="22" xfId="0" applyNumberFormat="1" applyFont="1" applyBorder="1" applyAlignment="1">
      <alignment horizontal="right" wrapText="1"/>
    </xf>
    <xf numFmtId="2" fontId="15" fillId="0" borderId="20" xfId="0" applyNumberFormat="1" applyFont="1" applyBorder="1" applyAlignment="1">
      <alignment horizontal="right" wrapText="1"/>
    </xf>
    <xf numFmtId="0" fontId="67" fillId="0" borderId="0" xfId="0" applyFont="1" applyAlignment="1">
      <alignment/>
    </xf>
    <xf numFmtId="0" fontId="44" fillId="35" borderId="11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5" fillId="41" borderId="11" xfId="0" applyFont="1" applyFill="1" applyBorder="1" applyAlignment="1">
      <alignment horizontal="center" vertical="center"/>
    </xf>
    <xf numFmtId="9" fontId="45" fillId="39" borderId="21" xfId="0" applyNumberFormat="1" applyFont="1" applyFill="1" applyBorder="1" applyAlignment="1">
      <alignment horizontal="center"/>
    </xf>
    <xf numFmtId="10" fontId="45" fillId="0" borderId="21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73" fontId="45" fillId="42" borderId="59" xfId="0" applyNumberFormat="1" applyFont="1" applyFill="1" applyBorder="1" applyAlignment="1">
      <alignment horizontal="center" vertical="center" wrapText="1"/>
    </xf>
    <xf numFmtId="173" fontId="45" fillId="42" borderId="53" xfId="0" applyNumberFormat="1" applyFont="1" applyFill="1" applyBorder="1" applyAlignment="1">
      <alignment horizontal="center" vertical="center" wrapText="1"/>
    </xf>
    <xf numFmtId="173" fontId="45" fillId="42" borderId="54" xfId="0" applyNumberFormat="1" applyFont="1" applyFill="1" applyBorder="1" applyAlignment="1">
      <alignment horizontal="center" vertical="center" wrapText="1"/>
    </xf>
    <xf numFmtId="0" fontId="45" fillId="41" borderId="13" xfId="0" applyFont="1" applyFill="1" applyBorder="1" applyAlignment="1">
      <alignment horizontal="center" vertical="center"/>
    </xf>
    <xf numFmtId="9" fontId="45" fillId="39" borderId="10" xfId="0" applyNumberFormat="1" applyFont="1" applyFill="1" applyBorder="1" applyAlignment="1">
      <alignment horizontal="center"/>
    </xf>
    <xf numFmtId="10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73" fontId="45" fillId="42" borderId="60" xfId="0" applyNumberFormat="1" applyFont="1" applyFill="1" applyBorder="1" applyAlignment="1">
      <alignment horizontal="center" vertical="center" wrapText="1"/>
    </xf>
    <xf numFmtId="173" fontId="45" fillId="42" borderId="0" xfId="0" applyNumberFormat="1" applyFont="1" applyFill="1" applyBorder="1" applyAlignment="1">
      <alignment horizontal="center" vertical="center" wrapText="1"/>
    </xf>
    <xf numFmtId="173" fontId="45" fillId="42" borderId="27" xfId="0" applyNumberFormat="1" applyFont="1" applyFill="1" applyBorder="1" applyAlignment="1">
      <alignment horizontal="center" vertical="center" wrapText="1"/>
    </xf>
    <xf numFmtId="0" fontId="45" fillId="41" borderId="15" xfId="0" applyFont="1" applyFill="1" applyBorder="1" applyAlignment="1">
      <alignment horizontal="center" vertical="center"/>
    </xf>
    <xf numFmtId="9" fontId="45" fillId="39" borderId="55" xfId="0" applyNumberFormat="1" applyFont="1" applyFill="1" applyBorder="1" applyAlignment="1">
      <alignment horizontal="center"/>
    </xf>
    <xf numFmtId="10" fontId="45" fillId="0" borderId="55" xfId="0" applyNumberFormat="1" applyFont="1" applyFill="1" applyBorder="1" applyAlignment="1">
      <alignment horizontal="center"/>
    </xf>
    <xf numFmtId="0" fontId="45" fillId="0" borderId="55" xfId="0" applyFont="1" applyFill="1" applyBorder="1" applyAlignment="1">
      <alignment horizontal="center"/>
    </xf>
    <xf numFmtId="9" fontId="45" fillId="0" borderId="21" xfId="0" applyNumberFormat="1" applyFont="1" applyBorder="1" applyAlignment="1">
      <alignment horizontal="center"/>
    </xf>
    <xf numFmtId="9" fontId="45" fillId="0" borderId="10" xfId="0" applyNumberFormat="1" applyFont="1" applyBorder="1" applyAlignment="1">
      <alignment horizontal="center"/>
    </xf>
    <xf numFmtId="0" fontId="45" fillId="41" borderId="19" xfId="0" applyFont="1" applyFill="1" applyBorder="1" applyAlignment="1">
      <alignment horizontal="center" vertical="center"/>
    </xf>
    <xf numFmtId="9" fontId="45" fillId="0" borderId="22" xfId="0" applyNumberFormat="1" applyFont="1" applyBorder="1" applyAlignment="1">
      <alignment horizontal="center"/>
    </xf>
    <xf numFmtId="10" fontId="45" fillId="0" borderId="22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173" fontId="45" fillId="42" borderId="61" xfId="0" applyNumberFormat="1" applyFont="1" applyFill="1" applyBorder="1" applyAlignment="1">
      <alignment horizontal="center" vertical="center" wrapText="1"/>
    </xf>
    <xf numFmtId="173" fontId="45" fillId="42" borderId="43" xfId="0" applyNumberFormat="1" applyFont="1" applyFill="1" applyBorder="1" applyAlignment="1">
      <alignment horizontal="center" vertical="center" wrapText="1"/>
    </xf>
    <xf numFmtId="173" fontId="45" fillId="42" borderId="49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Ventas Mensuales 3 Años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>
          <a:noFill/>
        </a:ln>
      </c:spPr>
    </c:title>
    <c:view3D>
      <c:rotX val="15"/>
      <c:hPercent val="24"/>
      <c:rotY val="20"/>
      <c:depthPercent val="170"/>
      <c:rAngAx val="1"/>
    </c:view3D>
    <c:plotArea>
      <c:layout>
        <c:manualLayout>
          <c:xMode val="edge"/>
          <c:yMode val="edge"/>
          <c:x val="0.158"/>
          <c:y val="0.21375"/>
          <c:w val="0.84075"/>
          <c:h val="0.48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'[2]Hoja1'!$B$26:$AK$26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'[2]Hoja1'!$B$27:$AK$27</c:f>
              <c:numCach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</c:v>
                </c:pt>
                <c:pt idx="11">
                  <c:v>26322.40064947068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28448.49761819928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30350.85081472356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</c:v>
                </c:pt>
                <c:pt idx="29">
                  <c:v>33229.74569214515</c:v>
                </c:pt>
                <c:pt idx="30">
                  <c:v>33662.72927851379</c:v>
                </c:pt>
                <c:pt idx="31">
                  <c:v>34101.354641012826</c:v>
                </c:pt>
                <c:pt idx="32">
                  <c:v>34545.69529198523</c:v>
                </c:pt>
                <c:pt idx="33">
                  <c:v>34995.82570163979</c:v>
                </c:pt>
                <c:pt idx="34">
                  <c:v>35451.821310532156</c:v>
                </c:pt>
                <c:pt idx="35">
                  <c:v>35913.75854220839</c:v>
                </c:pt>
              </c:numCache>
            </c:numRef>
          </c:val>
          <c:shape val="box"/>
        </c:ser>
        <c:gapWidth val="20"/>
        <c:gapDepth val="170"/>
        <c:shape val="box"/>
        <c:axId val="38233925"/>
        <c:axId val="8561006"/>
      </c:bar3D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61006"/>
        <c:crosses val="autoZero"/>
        <c:auto val="1"/>
        <c:lblOffset val="100"/>
        <c:tickLblSkip val="2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Crecimiento Acumulado 10 Años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225"/>
          <c:w val="0.85875"/>
          <c:h val="0.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'[2]Hoja1'!$B$1:$B$11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'[2]Hoja1'!$A$1:$A$11</c:f>
              <c:numCache>
                <c:ptCount val="11"/>
                <c:pt idx="0">
                  <c:v>0</c:v>
                </c:pt>
                <c:pt idx="1">
                  <c:v>0.09368527268436089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</c:v>
                </c:pt>
                <c:pt idx="6">
                  <c:v>0.5008335882191983</c:v>
                </c:pt>
                <c:pt idx="7">
                  <c:v>0.5519996733094976</c:v>
                </c:pt>
                <c:pt idx="8">
                  <c:v>0.6031657583997969</c:v>
                </c:pt>
                <c:pt idx="9">
                  <c:v>0.6543318434900962</c:v>
                </c:pt>
                <c:pt idx="10">
                  <c:v>0.7054979285803955</c:v>
                </c:pt>
              </c:numCache>
            </c:numRef>
          </c:val>
          <c:smooth val="1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26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231</xdr:row>
      <xdr:rowOff>171450</xdr:rowOff>
    </xdr:from>
    <xdr:to>
      <xdr:col>4</xdr:col>
      <xdr:colOff>647700</xdr:colOff>
      <xdr:row>257</xdr:row>
      <xdr:rowOff>95250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844075"/>
          <a:ext cx="58864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>
      <xdr:nvGraphicFramePr>
        <xdr:cNvPr id="1" name="Chart 39"/>
        <xdr:cNvGraphicFramePr/>
      </xdr:nvGraphicFramePr>
      <xdr:xfrm>
        <a:off x="762000" y="5391150"/>
        <a:ext cx="6791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>
      <xdr:nvGraphicFramePr>
        <xdr:cNvPr id="2" name="Chart 30"/>
        <xdr:cNvGraphicFramePr/>
      </xdr:nvGraphicFramePr>
      <xdr:xfrm>
        <a:off x="762000" y="8058150"/>
        <a:ext cx="29908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2\CONFIG~1\Temp\aspectos%20financieros%20PULPA%20N&#205;SPER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Z\Documents\Tesis%20y%20proyectos\TESIS\proyectos%20finalizados\Proyecto%20lanzamiento%20velas%20de%20chocolate%20terminado\aspectos%20financieros%20velas%20de%20choco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Hoja1"/>
      <sheetName val="Ingresos"/>
      <sheetName val="Ventas unitarias"/>
      <sheetName val="Ventas Proyectadas"/>
      <sheetName val="Equipo de Trabajo"/>
      <sheetName val="gastos publicidad"/>
      <sheetName val="Gastos Preoperativos"/>
      <sheetName val="Inversion en activos fijos"/>
      <sheetName val="Muebles, maquinarias y equipos"/>
      <sheetName val="Resumen de Gastos e inversiones"/>
      <sheetName val="Capital de Trabajo"/>
      <sheetName val="ke"/>
      <sheetName val="Financiamiento"/>
      <sheetName val="Hoja2"/>
      <sheetName val="Amortizacion Deudas LP"/>
      <sheetName val="Estados Proforma"/>
      <sheetName val="Evaluacion Financiera"/>
      <sheetName val="Flujo Social"/>
      <sheetName val="Punto de equilibrio"/>
      <sheetName val="Gráfico equilibrio años"/>
      <sheetName val="Gráfico equilibrio escenarios"/>
      <sheetName val="Analisis de Sensibilidad"/>
      <sheetName val="Gráfico Variacion Ventas"/>
      <sheetName val="Gráfico Variacion Costos"/>
      <sheetName val="Gráfico Variacion Gastos"/>
      <sheetName val="Hoja3"/>
    </sheetNames>
    <sheetDataSet>
      <sheetData sheetId="16">
        <row r="7">
          <cell r="AD7">
            <v>343942.09146501095</v>
          </cell>
          <cell r="AE7">
            <v>31146.946981722343</v>
          </cell>
          <cell r="AF7">
            <v>31552.79170089418</v>
          </cell>
          <cell r="AG7">
            <v>31963.924576756835</v>
          </cell>
        </row>
        <row r="12">
          <cell r="E12">
            <v>23287.5</v>
          </cell>
          <cell r="Q12">
            <v>295144.2441142223</v>
          </cell>
          <cell r="R12">
            <v>26665.381529933282</v>
          </cell>
          <cell r="S12">
            <v>27012.831451268303</v>
          </cell>
          <cell r="T12">
            <v>27364.80864507833</v>
          </cell>
        </row>
        <row r="81">
          <cell r="E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Hoja1"/>
      <sheetName val="Ingresos"/>
      <sheetName val="Ventas unitarias"/>
      <sheetName val="Ventas Proyectadas"/>
      <sheetName val="Equipo de Trabajo"/>
      <sheetName val="gastos publicidad"/>
      <sheetName val="Gastos Preoperativos"/>
      <sheetName val="Inversion en activos fijos"/>
      <sheetName val="Muebles, maquinarias y equipos"/>
      <sheetName val="Resumen de Gastos e inversiones"/>
      <sheetName val="Capital de Trabajo"/>
      <sheetName val="ke"/>
      <sheetName val="Financiamiento"/>
      <sheetName val="Hoja2"/>
      <sheetName val="Amortizacion Deuda CP"/>
      <sheetName val="Amortizacion Deudas LP"/>
      <sheetName val="Estados Proforma"/>
      <sheetName val="Evaluacion Financiera"/>
      <sheetName val="Flujo Social"/>
      <sheetName val="Punto de equilibrio"/>
      <sheetName val="Gráfico equilibrio años"/>
      <sheetName val="Gráfico equilibrio escenarios"/>
      <sheetName val="Analisis de Sensibilidad"/>
      <sheetName val="Gráfico Variacion Ventas"/>
      <sheetName val="Gráfico Variacion Costos"/>
      <sheetName val="Gráfico Variacion Gastos"/>
    </sheetNames>
    <sheetDataSet>
      <sheetData sheetId="1">
        <row r="1">
          <cell r="A1">
            <v>0</v>
          </cell>
          <cell r="B1">
            <v>0</v>
          </cell>
        </row>
        <row r="2">
          <cell r="A2">
            <v>0.09368527268436089</v>
          </cell>
          <cell r="B2">
            <v>1</v>
          </cell>
        </row>
        <row r="3">
          <cell r="A3">
            <v>0.22051030281633066</v>
          </cell>
          <cell r="B3">
            <v>2</v>
          </cell>
        </row>
        <row r="4">
          <cell r="A4">
            <v>0.34733533294830043</v>
          </cell>
          <cell r="B4">
            <v>3</v>
          </cell>
        </row>
        <row r="5">
          <cell r="A5">
            <v>0.39850141803859973</v>
          </cell>
          <cell r="B5">
            <v>4</v>
          </cell>
        </row>
        <row r="6">
          <cell r="A6">
            <v>0.449667503128899</v>
          </cell>
          <cell r="B6">
            <v>5</v>
          </cell>
        </row>
        <row r="7">
          <cell r="A7">
            <v>0.5008335882191983</v>
          </cell>
          <cell r="B7">
            <v>6</v>
          </cell>
        </row>
        <row r="8">
          <cell r="A8">
            <v>0.5519996733094976</v>
          </cell>
          <cell r="B8">
            <v>7</v>
          </cell>
        </row>
        <row r="9">
          <cell r="A9">
            <v>0.6031657583997969</v>
          </cell>
          <cell r="B9">
            <v>8</v>
          </cell>
        </row>
        <row r="10">
          <cell r="A10">
            <v>0.6543318434900962</v>
          </cell>
          <cell r="B10">
            <v>9</v>
          </cell>
        </row>
        <row r="11">
          <cell r="A11">
            <v>0.7054979285803955</v>
          </cell>
          <cell r="B11">
            <v>10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5</v>
          </cell>
          <cell r="G26">
            <v>6</v>
          </cell>
          <cell r="H26">
            <v>7</v>
          </cell>
          <cell r="I26">
            <v>8</v>
          </cell>
          <cell r="J26">
            <v>9</v>
          </cell>
          <cell r="K26">
            <v>10</v>
          </cell>
          <cell r="L26">
            <v>11</v>
          </cell>
          <cell r="M26">
            <v>12</v>
          </cell>
          <cell r="N26">
            <v>13</v>
          </cell>
          <cell r="O26">
            <v>14</v>
          </cell>
          <cell r="P26">
            <v>15</v>
          </cell>
          <cell r="Q26">
            <v>16</v>
          </cell>
          <cell r="R26">
            <v>17</v>
          </cell>
          <cell r="S26">
            <v>18</v>
          </cell>
          <cell r="T26">
            <v>19</v>
          </cell>
          <cell r="U26">
            <v>20</v>
          </cell>
          <cell r="V26">
            <v>21</v>
          </cell>
          <cell r="W26">
            <v>22</v>
          </cell>
          <cell r="X26">
            <v>23</v>
          </cell>
          <cell r="Y26">
            <v>24</v>
          </cell>
          <cell r="Z26">
            <v>25</v>
          </cell>
          <cell r="AA26">
            <v>26</v>
          </cell>
          <cell r="AB26">
            <v>27</v>
          </cell>
          <cell r="AC26">
            <v>28</v>
          </cell>
          <cell r="AD26">
            <v>29</v>
          </cell>
          <cell r="AE26">
            <v>30</v>
          </cell>
          <cell r="AF26">
            <v>31</v>
          </cell>
          <cell r="AG26">
            <v>32</v>
          </cell>
          <cell r="AH26">
            <v>33</v>
          </cell>
          <cell r="AI26">
            <v>34</v>
          </cell>
          <cell r="AJ26">
            <v>35</v>
          </cell>
          <cell r="AK26">
            <v>36</v>
          </cell>
        </row>
        <row r="27">
          <cell r="B27">
            <v>23287.5</v>
          </cell>
          <cell r="C27">
            <v>23357.362499999996</v>
          </cell>
          <cell r="D27">
            <v>23427.43458749999</v>
          </cell>
          <cell r="E27">
            <v>23732.694060175116</v>
          </cell>
          <cell r="F27">
            <v>24041.931063779197</v>
          </cell>
          <cell r="G27">
            <v>24355.197425540235</v>
          </cell>
          <cell r="H27">
            <v>24672.545647995023</v>
          </cell>
          <cell r="I27">
            <v>24994.028917788397</v>
          </cell>
          <cell r="J27">
            <v>25319.701114587173</v>
          </cell>
          <cell r="K27">
            <v>25649.616820110237</v>
          </cell>
          <cell r="L27">
            <v>25983.83132727627</v>
          </cell>
          <cell r="M27">
            <v>26322.40064947068</v>
          </cell>
          <cell r="N27">
            <v>26665.381529933282</v>
          </cell>
          <cell r="O27">
            <v>27012.831451268303</v>
          </cell>
          <cell r="P27">
            <v>27364.80864507833</v>
          </cell>
          <cell r="Q27">
            <v>27721.3721017237</v>
          </cell>
          <cell r="R27">
            <v>28082.581580209157</v>
          </cell>
          <cell r="S27">
            <v>28448.49761819928</v>
          </cell>
          <cell r="T27">
            <v>28819.18154216441</v>
          </cell>
          <cell r="U27">
            <v>29194.69547765881</v>
          </cell>
          <cell r="V27">
            <v>29575.1023597327</v>
          </cell>
          <cell r="W27">
            <v>29960.46594348002</v>
          </cell>
          <cell r="X27">
            <v>30350.85081472356</v>
          </cell>
          <cell r="Y27">
            <v>30746.322400839403</v>
          </cell>
          <cell r="Z27">
            <v>31146.946981722343</v>
          </cell>
          <cell r="AA27">
            <v>31552.79170089418</v>
          </cell>
          <cell r="AB27">
            <v>31963.924576756835</v>
          </cell>
          <cell r="AC27">
            <v>32380.414513991967</v>
          </cell>
          <cell r="AD27">
            <v>32802.33131510928</v>
          </cell>
          <cell r="AE27">
            <v>33229.74569214515</v>
          </cell>
          <cell r="AF27">
            <v>33662.72927851379</v>
          </cell>
          <cell r="AG27">
            <v>34101.354641012826</v>
          </cell>
          <cell r="AH27">
            <v>34545.69529198523</v>
          </cell>
          <cell r="AI27">
            <v>34995.82570163979</v>
          </cell>
          <cell r="AJ27">
            <v>35451.821310532156</v>
          </cell>
          <cell r="AK27">
            <v>35913.75854220839</v>
          </cell>
        </row>
      </sheetData>
      <sheetData sheetId="18">
        <row r="49">
          <cell r="D49">
            <v>0.0984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18"/>
  <sheetViews>
    <sheetView tabSelected="1" zoomScale="69" zoomScaleNormal="69" zoomScalePageLayoutView="0" workbookViewId="0" topLeftCell="A403">
      <selection activeCell="D416" sqref="D416"/>
    </sheetView>
  </sheetViews>
  <sheetFormatPr defaultColWidth="11.421875" defaultRowHeight="15"/>
  <cols>
    <col min="1" max="1" width="11.421875" style="20" customWidth="1"/>
    <col min="2" max="2" width="45.140625" style="20" customWidth="1"/>
    <col min="3" max="3" width="18.28125" style="20" customWidth="1"/>
    <col min="4" max="4" width="17.140625" style="20" customWidth="1"/>
    <col min="5" max="5" width="17.8515625" style="20" customWidth="1"/>
    <col min="6" max="6" width="16.421875" style="20" customWidth="1"/>
    <col min="7" max="8" width="16.8515625" style="20" customWidth="1"/>
    <col min="9" max="9" width="16.57421875" style="20" customWidth="1"/>
    <col min="10" max="10" width="15.140625" style="20" customWidth="1"/>
    <col min="11" max="11" width="25.421875" style="20" customWidth="1"/>
    <col min="12" max="12" width="16.7109375" style="20" customWidth="1"/>
    <col min="13" max="14" width="14.7109375" style="20" customWidth="1"/>
    <col min="15" max="15" width="40.00390625" style="20" customWidth="1"/>
    <col min="16" max="16" width="15.7109375" style="20" customWidth="1"/>
    <col min="17" max="17" width="16.140625" style="20" customWidth="1"/>
    <col min="18" max="18" width="16.28125" style="20" customWidth="1"/>
    <col min="19" max="19" width="18.28125" style="20" customWidth="1"/>
    <col min="20" max="20" width="17.57421875" style="20" customWidth="1"/>
    <col min="21" max="21" width="17.00390625" style="20" customWidth="1"/>
    <col min="22" max="22" width="17.140625" style="20" customWidth="1"/>
    <col min="23" max="23" width="17.00390625" style="20" customWidth="1"/>
    <col min="24" max="24" width="17.140625" style="20" customWidth="1"/>
    <col min="25" max="25" width="19.7109375" style="20" customWidth="1"/>
    <col min="26" max="26" width="18.140625" style="20" customWidth="1"/>
    <col min="27" max="16384" width="11.421875" style="20" customWidth="1"/>
  </cols>
  <sheetData>
    <row r="1" ht="15.75"/>
    <row r="3" spans="2:3" ht="16.5" thickBot="1">
      <c r="B3" s="350" t="s">
        <v>4</v>
      </c>
      <c r="C3" s="350"/>
    </row>
    <row r="4" spans="2:4" ht="15.75">
      <c r="B4" s="21" t="s">
        <v>0</v>
      </c>
      <c r="C4" s="22">
        <v>369100</v>
      </c>
      <c r="D4" s="20" t="s">
        <v>248</v>
      </c>
    </row>
    <row r="5" spans="2:3" ht="15.75">
      <c r="B5" s="23" t="s">
        <v>1</v>
      </c>
      <c r="C5" s="24">
        <v>37390</v>
      </c>
    </row>
    <row r="6" spans="2:3" ht="16.5" thickBot="1">
      <c r="B6" s="25" t="s">
        <v>2</v>
      </c>
      <c r="C6" s="26">
        <v>15046</v>
      </c>
    </row>
    <row r="7" spans="2:3" ht="16.5" thickBot="1">
      <c r="B7" s="27" t="s">
        <v>3</v>
      </c>
      <c r="C7" s="28">
        <f>C4+C5+C6</f>
        <v>421536</v>
      </c>
    </row>
    <row r="9" spans="2:3" ht="16.5" thickBot="1">
      <c r="B9" s="335" t="s">
        <v>6</v>
      </c>
      <c r="C9" s="335"/>
    </row>
    <row r="10" spans="2:3" ht="15.75">
      <c r="B10" s="351" t="s">
        <v>5</v>
      </c>
      <c r="C10" s="352"/>
    </row>
    <row r="11" spans="2:3" ht="15.75">
      <c r="B11" s="29">
        <v>0.6</v>
      </c>
      <c r="C11" s="30">
        <v>0.4</v>
      </c>
    </row>
    <row r="12" spans="2:3" ht="16.5" thickBot="1">
      <c r="B12" s="31" t="s">
        <v>11</v>
      </c>
      <c r="C12" s="32" t="s">
        <v>10</v>
      </c>
    </row>
    <row r="14" spans="2:4" ht="16.5" thickBot="1">
      <c r="B14" s="335" t="s">
        <v>6</v>
      </c>
      <c r="C14" s="335"/>
      <c r="D14" s="335"/>
    </row>
    <row r="15" spans="2:4" ht="15.75">
      <c r="B15" s="33" t="s">
        <v>7</v>
      </c>
      <c r="C15" s="34" t="s">
        <v>10</v>
      </c>
      <c r="D15" s="35" t="s">
        <v>9</v>
      </c>
    </row>
    <row r="16" spans="2:4" ht="16.5" thickBot="1">
      <c r="B16" s="36">
        <f>C7*B11</f>
        <v>252921.59999999998</v>
      </c>
      <c r="C16" s="37">
        <f>C7*C11</f>
        <v>168614.40000000002</v>
      </c>
      <c r="D16" s="38">
        <f>B16+C16</f>
        <v>421536</v>
      </c>
    </row>
    <row r="18" spans="2:3" ht="16.5" thickBot="1">
      <c r="B18" s="335" t="s">
        <v>6</v>
      </c>
      <c r="C18" s="335"/>
    </row>
    <row r="19" spans="2:4" ht="15.75">
      <c r="B19" s="21" t="s">
        <v>12</v>
      </c>
      <c r="C19" s="39">
        <v>0.104</v>
      </c>
      <c r="D19" s="20" t="s">
        <v>249</v>
      </c>
    </row>
    <row r="20" spans="2:3" ht="15.75">
      <c r="B20" s="23" t="s">
        <v>13</v>
      </c>
      <c r="C20" s="40">
        <v>10</v>
      </c>
    </row>
    <row r="21" spans="2:3" ht="15.75">
      <c r="B21" s="23" t="s">
        <v>250</v>
      </c>
      <c r="C21" s="41">
        <v>252921.6</v>
      </c>
    </row>
    <row r="22" spans="2:3" ht="16.5" thickBot="1">
      <c r="B22" s="42" t="s">
        <v>14</v>
      </c>
      <c r="C22" s="38">
        <v>26513.36</v>
      </c>
    </row>
    <row r="24" spans="2:5" ht="16.5" thickBot="1">
      <c r="B24" s="335" t="s">
        <v>29</v>
      </c>
      <c r="C24" s="335"/>
      <c r="D24" s="335"/>
      <c r="E24" s="335"/>
    </row>
    <row r="25" spans="2:5" ht="16.5" thickBot="1">
      <c r="B25" s="359" t="s">
        <v>30</v>
      </c>
      <c r="C25" s="360"/>
      <c r="D25" s="360" t="s">
        <v>31</v>
      </c>
      <c r="E25" s="361"/>
    </row>
    <row r="26" spans="2:5" ht="15.75">
      <c r="B26" s="43" t="s">
        <v>32</v>
      </c>
      <c r="C26" s="44" t="s">
        <v>33</v>
      </c>
      <c r="D26" s="45">
        <v>0.5</v>
      </c>
      <c r="E26" s="46" t="s">
        <v>34</v>
      </c>
    </row>
    <row r="27" spans="2:5" ht="16.5" thickBot="1">
      <c r="B27" s="47">
        <v>70</v>
      </c>
      <c r="C27" s="48">
        <f>B27*1000</f>
        <v>70000</v>
      </c>
      <c r="D27" s="48">
        <f>C27*D26</f>
        <v>35000</v>
      </c>
      <c r="E27" s="49">
        <v>875</v>
      </c>
    </row>
    <row r="29" spans="2:5" ht="16.5" thickBot="1">
      <c r="B29" s="350" t="s">
        <v>35</v>
      </c>
      <c r="C29" s="350"/>
      <c r="D29" s="350"/>
      <c r="E29" s="350"/>
    </row>
    <row r="30" spans="2:5" ht="15.75">
      <c r="B30" s="33" t="s">
        <v>36</v>
      </c>
      <c r="C30" s="34" t="s">
        <v>37</v>
      </c>
      <c r="D30" s="34" t="s">
        <v>38</v>
      </c>
      <c r="E30" s="35" t="s">
        <v>39</v>
      </c>
    </row>
    <row r="31" spans="2:5" ht="16.5" thickBot="1">
      <c r="B31" s="42">
        <v>7000</v>
      </c>
      <c r="C31" s="50">
        <f>B31*5</f>
        <v>35000</v>
      </c>
      <c r="D31" s="50">
        <f>C31*4</f>
        <v>140000</v>
      </c>
      <c r="E31" s="51">
        <f>D31*12</f>
        <v>1680000</v>
      </c>
    </row>
    <row r="33" spans="2:6" ht="16.5" thickBot="1">
      <c r="B33" s="335" t="s">
        <v>251</v>
      </c>
      <c r="C33" s="335"/>
      <c r="D33" s="335"/>
      <c r="E33" s="335"/>
      <c r="F33" s="335"/>
    </row>
    <row r="34" spans="2:6" ht="15.75">
      <c r="B34" s="33" t="s">
        <v>40</v>
      </c>
      <c r="C34" s="34" t="s">
        <v>247</v>
      </c>
      <c r="D34" s="34" t="s">
        <v>41</v>
      </c>
      <c r="E34" s="34" t="s">
        <v>42</v>
      </c>
      <c r="F34" s="35" t="s">
        <v>43</v>
      </c>
    </row>
    <row r="35" spans="2:6" ht="16.5" thickBot="1">
      <c r="B35" s="47" t="s">
        <v>252</v>
      </c>
      <c r="C35" s="52">
        <v>20</v>
      </c>
      <c r="D35" s="48">
        <v>130</v>
      </c>
      <c r="E35" s="52">
        <f>C35/D35</f>
        <v>0.15384615384615385</v>
      </c>
      <c r="F35" s="53">
        <v>0.000339</v>
      </c>
    </row>
    <row r="36" spans="2:6" ht="15.75">
      <c r="B36" s="54"/>
      <c r="C36" s="55"/>
      <c r="D36" s="54"/>
      <c r="E36" s="55"/>
      <c r="F36" s="56"/>
    </row>
    <row r="37" spans="2:7" ht="16.5" thickBot="1">
      <c r="B37" s="350" t="s">
        <v>55</v>
      </c>
      <c r="C37" s="350"/>
      <c r="D37" s="54"/>
      <c r="E37" s="355" t="s">
        <v>65</v>
      </c>
      <c r="F37" s="355"/>
      <c r="G37" s="355"/>
    </row>
    <row r="38" spans="2:7" ht="16.5" thickBot="1">
      <c r="B38" s="353" t="s">
        <v>56</v>
      </c>
      <c r="C38" s="354"/>
      <c r="D38" s="54"/>
      <c r="E38" s="356" t="s">
        <v>66</v>
      </c>
      <c r="F38" s="357"/>
      <c r="G38" s="358"/>
    </row>
    <row r="39" spans="2:7" ht="15.75">
      <c r="B39" s="57" t="s">
        <v>57</v>
      </c>
      <c r="C39" s="58">
        <v>0.63</v>
      </c>
      <c r="D39" s="54"/>
      <c r="E39" s="59" t="s">
        <v>60</v>
      </c>
      <c r="F39" s="56"/>
      <c r="G39" s="60">
        <v>0.6</v>
      </c>
    </row>
    <row r="40" spans="2:7" ht="15.75">
      <c r="B40" s="57" t="s">
        <v>59</v>
      </c>
      <c r="C40" s="61">
        <v>67993</v>
      </c>
      <c r="D40" s="54"/>
      <c r="E40" s="59" t="s">
        <v>61</v>
      </c>
      <c r="F40" s="56"/>
      <c r="G40" s="60">
        <v>0.6</v>
      </c>
    </row>
    <row r="41" spans="2:7" ht="15.75">
      <c r="B41" s="57" t="s">
        <v>58</v>
      </c>
      <c r="C41" s="61">
        <v>40698</v>
      </c>
      <c r="D41" s="54"/>
      <c r="E41" s="59" t="s">
        <v>62</v>
      </c>
      <c r="F41" s="56"/>
      <c r="G41" s="60">
        <v>0.4</v>
      </c>
    </row>
    <row r="42" spans="2:7" ht="16.5" thickBot="1">
      <c r="B42" s="57" t="s">
        <v>60</v>
      </c>
      <c r="C42" s="62">
        <v>0.599</v>
      </c>
      <c r="D42" s="54"/>
      <c r="E42" s="59" t="s">
        <v>63</v>
      </c>
      <c r="F42" s="56"/>
      <c r="G42" s="60">
        <v>0.25</v>
      </c>
    </row>
    <row r="43" spans="2:7" ht="16.5" thickBot="1">
      <c r="B43" s="57" t="s">
        <v>61</v>
      </c>
      <c r="C43" s="62">
        <v>0.212</v>
      </c>
      <c r="D43" s="54"/>
      <c r="E43" s="63" t="s">
        <v>67</v>
      </c>
      <c r="F43" s="64"/>
      <c r="G43" s="65">
        <v>0.645</v>
      </c>
    </row>
    <row r="44" spans="2:6" ht="15.75">
      <c r="B44" s="57" t="s">
        <v>62</v>
      </c>
      <c r="C44" s="62">
        <v>0.788</v>
      </c>
      <c r="D44" s="54"/>
      <c r="E44" s="55"/>
      <c r="F44" s="56"/>
    </row>
    <row r="45" spans="2:6" ht="16.5" thickBot="1">
      <c r="B45" s="57" t="s">
        <v>63</v>
      </c>
      <c r="C45" s="62">
        <v>0.229</v>
      </c>
      <c r="D45" s="54"/>
      <c r="E45" s="55"/>
      <c r="F45" s="56"/>
    </row>
    <row r="46" spans="2:6" ht="16.5" thickBot="1">
      <c r="B46" s="66" t="s">
        <v>64</v>
      </c>
      <c r="C46" s="67">
        <v>0.293</v>
      </c>
      <c r="D46" s="54"/>
      <c r="E46" s="55"/>
      <c r="F46" s="56"/>
    </row>
    <row r="47" spans="2:6" ht="15.75">
      <c r="B47" s="68"/>
      <c r="C47" s="55"/>
      <c r="D47" s="54"/>
      <c r="E47" s="55"/>
      <c r="F47" s="56"/>
    </row>
    <row r="49" spans="2:3" ht="16.5" thickBot="1">
      <c r="B49" s="335" t="s">
        <v>44</v>
      </c>
      <c r="C49" s="335"/>
    </row>
    <row r="50" spans="2:3" ht="15.75">
      <c r="B50" s="21" t="s">
        <v>45</v>
      </c>
      <c r="C50" s="69">
        <v>0.65</v>
      </c>
    </row>
    <row r="51" spans="2:3" ht="15.75">
      <c r="B51" s="23" t="s">
        <v>46</v>
      </c>
      <c r="C51" s="70">
        <v>0.6</v>
      </c>
    </row>
    <row r="52" spans="2:3" ht="15.75">
      <c r="B52" s="23" t="s">
        <v>8</v>
      </c>
      <c r="C52" s="70">
        <v>0.4</v>
      </c>
    </row>
    <row r="53" spans="2:3" ht="15.75">
      <c r="B53" s="23" t="s">
        <v>47</v>
      </c>
      <c r="C53" s="71">
        <v>0.48</v>
      </c>
    </row>
    <row r="54" spans="2:3" ht="15.75">
      <c r="B54" s="23" t="s">
        <v>48</v>
      </c>
      <c r="C54" s="71">
        <v>0.0366</v>
      </c>
    </row>
    <row r="55" spans="2:3" ht="15.75">
      <c r="B55" s="23" t="s">
        <v>49</v>
      </c>
      <c r="C55" s="71">
        <v>-0.0047</v>
      </c>
    </row>
    <row r="56" spans="2:3" ht="15.75">
      <c r="B56" s="23" t="s">
        <v>50</v>
      </c>
      <c r="C56" s="70">
        <v>10.4</v>
      </c>
    </row>
    <row r="57" spans="2:3" ht="15.75">
      <c r="B57" s="23" t="s">
        <v>51</v>
      </c>
      <c r="C57" s="70">
        <v>0.25</v>
      </c>
    </row>
    <row r="58" spans="2:3" ht="15.75">
      <c r="B58" s="23" t="s">
        <v>52</v>
      </c>
      <c r="C58" s="70">
        <v>0.75</v>
      </c>
    </row>
    <row r="59" spans="2:3" ht="15.75">
      <c r="B59" s="72" t="s">
        <v>53</v>
      </c>
      <c r="C59" s="73">
        <v>0.4992</v>
      </c>
    </row>
    <row r="60" spans="2:3" ht="16.5" thickBot="1">
      <c r="B60" s="31" t="s">
        <v>54</v>
      </c>
      <c r="C60" s="74">
        <v>0.2465</v>
      </c>
    </row>
    <row r="62" spans="2:3" ht="16.5" thickBot="1">
      <c r="B62" s="335" t="s">
        <v>68</v>
      </c>
      <c r="C62" s="335"/>
    </row>
    <row r="63" spans="2:3" ht="16.5" thickBot="1">
      <c r="B63" s="27" t="s">
        <v>69</v>
      </c>
      <c r="C63" s="75" t="s">
        <v>70</v>
      </c>
    </row>
    <row r="64" spans="2:3" ht="15.75">
      <c r="B64" s="76" t="s">
        <v>71</v>
      </c>
      <c r="C64" s="77">
        <v>1.84</v>
      </c>
    </row>
    <row r="65" spans="2:3" ht="15.75">
      <c r="B65" s="23" t="s">
        <v>72</v>
      </c>
      <c r="C65" s="71">
        <v>0.05</v>
      </c>
    </row>
    <row r="66" spans="2:3" ht="15.75">
      <c r="B66" s="23" t="s">
        <v>73</v>
      </c>
      <c r="C66" s="71">
        <v>0.48</v>
      </c>
    </row>
    <row r="67" spans="2:3" ht="15.75">
      <c r="B67" s="23" t="s">
        <v>74</v>
      </c>
      <c r="C67" s="71">
        <v>0.0984</v>
      </c>
    </row>
    <row r="68" spans="2:3" ht="16.5" thickBot="1">
      <c r="B68" s="42" t="s">
        <v>75</v>
      </c>
      <c r="C68" s="78">
        <v>1680000</v>
      </c>
    </row>
    <row r="71" spans="2:10" ht="16.5" thickBot="1">
      <c r="B71" s="13" t="s">
        <v>76</v>
      </c>
      <c r="C71" s="14"/>
      <c r="D71" s="14"/>
      <c r="E71" s="14"/>
      <c r="F71" s="14"/>
      <c r="G71" s="14"/>
      <c r="H71" s="14"/>
      <c r="I71" s="14"/>
      <c r="J71" s="14"/>
    </row>
    <row r="72" spans="2:10" ht="79.5" thickBot="1">
      <c r="B72" s="336" t="s">
        <v>77</v>
      </c>
      <c r="C72" s="336"/>
      <c r="D72" s="336"/>
      <c r="E72" s="79" t="s">
        <v>78</v>
      </c>
      <c r="F72" s="80" t="s">
        <v>79</v>
      </c>
      <c r="G72" s="80" t="s">
        <v>80</v>
      </c>
      <c r="H72" s="81" t="s">
        <v>81</v>
      </c>
      <c r="I72" s="82" t="s">
        <v>82</v>
      </c>
      <c r="J72" s="83" t="s">
        <v>83</v>
      </c>
    </row>
    <row r="73" spans="2:10" ht="16.5" thickBot="1">
      <c r="B73" s="343" t="s">
        <v>88</v>
      </c>
      <c r="C73" s="344"/>
      <c r="D73" s="345"/>
      <c r="E73" s="84">
        <v>1</v>
      </c>
      <c r="F73" s="85">
        <v>900</v>
      </c>
      <c r="G73" s="86">
        <f>F73*12</f>
        <v>10800</v>
      </c>
      <c r="H73" s="87">
        <f aca="true" t="shared" si="0" ref="H73:H79">G73*E73</f>
        <v>10800</v>
      </c>
      <c r="I73" s="88">
        <f>L73/1000</f>
        <v>0</v>
      </c>
      <c r="J73" s="89">
        <f>F73*E73+(I73*'[1]Estados Proforma'!E$12)</f>
        <v>900</v>
      </c>
    </row>
    <row r="74" spans="2:10" ht="16.5" thickBot="1">
      <c r="B74" s="339" t="s">
        <v>89</v>
      </c>
      <c r="C74" s="340"/>
      <c r="D74" s="346"/>
      <c r="E74" s="84">
        <v>1</v>
      </c>
      <c r="F74" s="85">
        <v>520</v>
      </c>
      <c r="G74" s="86">
        <f aca="true" t="shared" si="1" ref="G74:G79">F74*12</f>
        <v>6240</v>
      </c>
      <c r="H74" s="90">
        <f t="shared" si="0"/>
        <v>6240</v>
      </c>
      <c r="I74" s="88">
        <f>L74/1000</f>
        <v>0</v>
      </c>
      <c r="J74" s="89">
        <f>F74*E74+(I74*'[1]Estados Proforma'!E$12)</f>
        <v>520</v>
      </c>
    </row>
    <row r="75" spans="2:10" ht="16.5" thickBot="1">
      <c r="B75" s="339" t="s">
        <v>90</v>
      </c>
      <c r="C75" s="340"/>
      <c r="D75" s="346"/>
      <c r="E75" s="84">
        <v>1</v>
      </c>
      <c r="F75" s="85">
        <v>500</v>
      </c>
      <c r="G75" s="86">
        <f t="shared" si="1"/>
        <v>6000</v>
      </c>
      <c r="H75" s="90">
        <f t="shared" si="0"/>
        <v>6000</v>
      </c>
      <c r="I75" s="88">
        <f>L75/1000</f>
        <v>0</v>
      </c>
      <c r="J75" s="87">
        <f>F75*E75+(I75*'[1]Estados Proforma'!E$12)</f>
        <v>500</v>
      </c>
    </row>
    <row r="76" spans="2:10" ht="16.5" thickBot="1">
      <c r="B76" s="339" t="s">
        <v>91</v>
      </c>
      <c r="C76" s="340"/>
      <c r="D76" s="346"/>
      <c r="E76" s="84">
        <v>1</v>
      </c>
      <c r="F76" s="85">
        <v>240</v>
      </c>
      <c r="G76" s="86">
        <f t="shared" si="1"/>
        <v>2880</v>
      </c>
      <c r="H76" s="90">
        <f t="shared" si="0"/>
        <v>2880</v>
      </c>
      <c r="I76" s="88">
        <v>0</v>
      </c>
      <c r="J76" s="87">
        <f>F76*E76+(I76*'[1]Estados Proforma'!E$12)</f>
        <v>240</v>
      </c>
    </row>
    <row r="77" spans="2:10" ht="16.5" thickBot="1">
      <c r="B77" s="339" t="s">
        <v>92</v>
      </c>
      <c r="C77" s="340"/>
      <c r="D77" s="346"/>
      <c r="E77" s="84">
        <v>4</v>
      </c>
      <c r="F77" s="85">
        <v>240</v>
      </c>
      <c r="G77" s="86">
        <f t="shared" si="1"/>
        <v>2880</v>
      </c>
      <c r="H77" s="90">
        <f t="shared" si="0"/>
        <v>11520</v>
      </c>
      <c r="I77" s="88">
        <v>0.0002</v>
      </c>
      <c r="J77" s="87">
        <f>F77*E77+(I77*'[1]Estados Proforma'!E$12)</f>
        <v>964.6575</v>
      </c>
    </row>
    <row r="78" spans="2:10" ht="16.5" thickBot="1">
      <c r="B78" s="339" t="s">
        <v>93</v>
      </c>
      <c r="C78" s="340"/>
      <c r="D78" s="346"/>
      <c r="E78" s="84">
        <v>1</v>
      </c>
      <c r="F78" s="85">
        <v>240</v>
      </c>
      <c r="G78" s="86">
        <f t="shared" si="1"/>
        <v>2880</v>
      </c>
      <c r="H78" s="90">
        <f t="shared" si="0"/>
        <v>2880</v>
      </c>
      <c r="I78" s="88">
        <f>L78/1000</f>
        <v>0</v>
      </c>
      <c r="J78" s="87">
        <f>F78*E78+(I78*'[1]Estados Proforma'!E$12)</f>
        <v>240</v>
      </c>
    </row>
    <row r="79" spans="2:10" ht="16.5" thickBot="1">
      <c r="B79" s="347" t="s">
        <v>94</v>
      </c>
      <c r="C79" s="348"/>
      <c r="D79" s="349"/>
      <c r="E79" s="84">
        <v>5</v>
      </c>
      <c r="F79" s="85">
        <v>240</v>
      </c>
      <c r="G79" s="86">
        <f t="shared" si="1"/>
        <v>2880</v>
      </c>
      <c r="H79" s="90">
        <f t="shared" si="0"/>
        <v>14400</v>
      </c>
      <c r="I79" s="88">
        <f>L79/1000</f>
        <v>0</v>
      </c>
      <c r="J79" s="87">
        <f>F79*E79+(I79*'[1]Estados Proforma'!E$12)</f>
        <v>1200</v>
      </c>
    </row>
    <row r="80" spans="2:10" ht="16.5" thickBot="1">
      <c r="B80" s="91"/>
      <c r="C80" s="92"/>
      <c r="D80" s="92"/>
      <c r="E80" s="93"/>
      <c r="F80" s="94"/>
      <c r="G80" s="95"/>
      <c r="H80" s="95"/>
      <c r="I80" s="96">
        <f>SUM(I73:I79)</f>
        <v>0.0002</v>
      </c>
      <c r="J80" s="97"/>
    </row>
    <row r="81" spans="2:10" ht="16.5" thickBot="1">
      <c r="B81" s="337" t="s">
        <v>84</v>
      </c>
      <c r="C81" s="338"/>
      <c r="D81" s="98">
        <v>0.1115</v>
      </c>
      <c r="E81" s="93"/>
      <c r="F81" s="94"/>
      <c r="G81" s="95"/>
      <c r="H81" s="95"/>
      <c r="I81" s="99">
        <f>IF(AND(I80&gt;15%,I80&lt;=99%),M84,IF(I80&gt;99%,M82,M85))</f>
        <v>0</v>
      </c>
      <c r="J81" s="100"/>
    </row>
    <row r="82" spans="2:10" ht="15.75">
      <c r="B82" s="339"/>
      <c r="C82" s="340"/>
      <c r="D82" s="101"/>
      <c r="E82" s="93"/>
      <c r="F82" s="94"/>
      <c r="G82" s="95"/>
      <c r="H82" s="95"/>
      <c r="I82" s="99"/>
      <c r="J82" s="100"/>
    </row>
    <row r="83" spans="2:10" ht="16.5" thickBot="1">
      <c r="B83" s="102"/>
      <c r="C83" s="103"/>
      <c r="D83" s="101"/>
      <c r="E83" s="93"/>
      <c r="F83" s="94"/>
      <c r="G83" s="95"/>
      <c r="H83" s="95"/>
      <c r="I83" s="99"/>
      <c r="J83" s="100"/>
    </row>
    <row r="84" spans="2:10" ht="15.75">
      <c r="B84" s="91"/>
      <c r="C84" s="92"/>
      <c r="D84" s="92"/>
      <c r="E84" s="104" t="s">
        <v>85</v>
      </c>
      <c r="F84" s="105"/>
      <c r="G84" s="105"/>
      <c r="H84" s="106">
        <f>SUM(H73:H79)</f>
        <v>54720</v>
      </c>
      <c r="I84" s="341" t="s">
        <v>86</v>
      </c>
      <c r="J84" s="376">
        <f>I80*'[1]Estados Proforma'!E81</f>
        <v>0</v>
      </c>
    </row>
    <row r="85" spans="2:10" ht="16.5" thickBot="1">
      <c r="B85" s="107"/>
      <c r="C85" s="108"/>
      <c r="D85" s="108"/>
      <c r="E85" s="109" t="s">
        <v>87</v>
      </c>
      <c r="F85" s="110"/>
      <c r="G85" s="110"/>
      <c r="H85" s="111">
        <f>H84/12</f>
        <v>4560</v>
      </c>
      <c r="I85" s="342"/>
      <c r="J85" s="377"/>
    </row>
    <row r="88" spans="2:6" ht="16.5" thickBot="1">
      <c r="B88" s="381" t="s">
        <v>95</v>
      </c>
      <c r="C88" s="381"/>
      <c r="D88" s="381"/>
      <c r="E88" s="381"/>
      <c r="F88" s="381"/>
    </row>
    <row r="89" spans="2:6" ht="15.75">
      <c r="B89" s="112" t="s">
        <v>96</v>
      </c>
      <c r="C89" s="113" t="s">
        <v>97</v>
      </c>
      <c r="D89" s="113" t="s">
        <v>98</v>
      </c>
      <c r="E89" s="114" t="s">
        <v>99</v>
      </c>
      <c r="F89" s="115" t="s">
        <v>100</v>
      </c>
    </row>
    <row r="90" spans="2:6" ht="15.75">
      <c r="B90" s="116" t="s">
        <v>101</v>
      </c>
      <c r="C90" s="117">
        <v>1</v>
      </c>
      <c r="D90" s="383">
        <v>80</v>
      </c>
      <c r="E90" s="383">
        <f aca="true" t="shared" si="2" ref="E90:E96">C90*D90</f>
        <v>80</v>
      </c>
      <c r="F90" s="384">
        <f>E90*12</f>
        <v>960</v>
      </c>
    </row>
    <row r="91" spans="2:6" ht="15.75">
      <c r="B91" s="116" t="s">
        <v>102</v>
      </c>
      <c r="C91" s="117">
        <v>200</v>
      </c>
      <c r="D91" s="383">
        <v>1</v>
      </c>
      <c r="E91" s="383">
        <f t="shared" si="2"/>
        <v>200</v>
      </c>
      <c r="F91" s="384">
        <f aca="true" t="shared" si="3" ref="F91:F97">E91*12</f>
        <v>2400</v>
      </c>
    </row>
    <row r="92" spans="2:6" ht="15.75">
      <c r="B92" s="119" t="s">
        <v>103</v>
      </c>
      <c r="C92" s="117">
        <v>0</v>
      </c>
      <c r="D92" s="383">
        <v>25</v>
      </c>
      <c r="E92" s="383">
        <f t="shared" si="2"/>
        <v>0</v>
      </c>
      <c r="F92" s="384">
        <f t="shared" si="3"/>
        <v>0</v>
      </c>
    </row>
    <row r="93" spans="2:6" ht="15.75">
      <c r="B93" s="116" t="s">
        <v>104</v>
      </c>
      <c r="C93" s="117">
        <v>20</v>
      </c>
      <c r="D93" s="383">
        <v>15</v>
      </c>
      <c r="E93" s="383">
        <f t="shared" si="2"/>
        <v>300</v>
      </c>
      <c r="F93" s="384">
        <f t="shared" si="3"/>
        <v>3600</v>
      </c>
    </row>
    <row r="94" spans="2:6" ht="15.75">
      <c r="B94" s="116" t="s">
        <v>105</v>
      </c>
      <c r="C94" s="117">
        <v>2</v>
      </c>
      <c r="D94" s="383">
        <v>180</v>
      </c>
      <c r="E94" s="383">
        <f t="shared" si="2"/>
        <v>360</v>
      </c>
      <c r="F94" s="384">
        <f t="shared" si="3"/>
        <v>4320</v>
      </c>
    </row>
    <row r="95" spans="2:6" ht="15.75">
      <c r="B95" s="116" t="s">
        <v>106</v>
      </c>
      <c r="C95" s="117">
        <v>1</v>
      </c>
      <c r="D95" s="383">
        <v>1680</v>
      </c>
      <c r="E95" s="383">
        <f t="shared" si="2"/>
        <v>1680</v>
      </c>
      <c r="F95" s="384">
        <f t="shared" si="3"/>
        <v>20160</v>
      </c>
    </row>
    <row r="96" spans="2:6" ht="15.75">
      <c r="B96" s="116" t="s">
        <v>107</v>
      </c>
      <c r="C96" s="117">
        <v>0</v>
      </c>
      <c r="D96" s="383">
        <v>500</v>
      </c>
      <c r="E96" s="383">
        <f t="shared" si="2"/>
        <v>0</v>
      </c>
      <c r="F96" s="384">
        <f t="shared" si="3"/>
        <v>0</v>
      </c>
    </row>
    <row r="97" spans="2:6" ht="16.5" thickBot="1">
      <c r="B97" s="378" t="s">
        <v>108</v>
      </c>
      <c r="C97" s="379"/>
      <c r="D97" s="380"/>
      <c r="E97" s="120">
        <f>SUM(E90:E96)</f>
        <v>2620</v>
      </c>
      <c r="F97" s="121">
        <f t="shared" si="3"/>
        <v>31440</v>
      </c>
    </row>
    <row r="100" spans="2:12" ht="16.5" thickBot="1">
      <c r="B100" s="381" t="s">
        <v>109</v>
      </c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</row>
    <row r="101" spans="2:12" ht="15.75">
      <c r="B101" s="112" t="s">
        <v>96</v>
      </c>
      <c r="C101" s="323" t="s">
        <v>110</v>
      </c>
      <c r="D101" s="323" t="s">
        <v>111</v>
      </c>
      <c r="E101" s="323" t="s">
        <v>112</v>
      </c>
      <c r="F101" s="323" t="s">
        <v>113</v>
      </c>
      <c r="G101" s="323" t="s">
        <v>114</v>
      </c>
      <c r="H101" s="323" t="s">
        <v>115</v>
      </c>
      <c r="I101" s="323" t="s">
        <v>116</v>
      </c>
      <c r="J101" s="323" t="s">
        <v>117</v>
      </c>
      <c r="K101" s="323" t="s">
        <v>118</v>
      </c>
      <c r="L101" s="324" t="s">
        <v>119</v>
      </c>
    </row>
    <row r="102" spans="2:12" ht="15.75">
      <c r="B102" s="116" t="s">
        <v>101</v>
      </c>
      <c r="C102" s="118">
        <f>F90</f>
        <v>960</v>
      </c>
      <c r="D102" s="385">
        <f>C102/'[1]Estados Proforma'!$Q$12*'[1]Estados Proforma'!$AD$7</f>
        <v>1118.7221651479251</v>
      </c>
      <c r="E102" s="385">
        <f>D102/'[1]Estados Proforma'!$R$12*'[1]Estados Proforma'!$AE$7</f>
        <v>1306.7422240339959</v>
      </c>
      <c r="F102" s="385">
        <f>E102/'[1]Estados Proforma'!$S$12*'[1]Estados Proforma'!$AF$7</f>
        <v>1526.3622133092597</v>
      </c>
      <c r="G102" s="385">
        <f>F102/'[1]Estados Proforma'!$T$12*'[1]Estados Proforma'!$AG$7</f>
        <v>1782.8930322815766</v>
      </c>
      <c r="H102" s="385">
        <f>G102/'[1]Estados Proforma'!$T$12*'[1]Estados Proforma'!$AG$7</f>
        <v>2082.538166131966</v>
      </c>
      <c r="I102" s="385">
        <f>H102/'[1]Estados Proforma'!$T$12*'[1]Estados Proforma'!$AG$7</f>
        <v>2432.5436999696267</v>
      </c>
      <c r="J102" s="385">
        <f>I102/'[1]Estados Proforma'!$T$12*'[1]Estados Proforma'!$AG$7</f>
        <v>2841.373545269737</v>
      </c>
      <c r="K102" s="385">
        <f>J102/'[1]Estados Proforma'!$T$12*'[1]Estados Proforma'!$AG$7</f>
        <v>3318.9141160586423</v>
      </c>
      <c r="L102" s="386">
        <f>K102/'[1]Estados Proforma'!$T$12*'[1]Estados Proforma'!$AG$7</f>
        <v>3876.713404371345</v>
      </c>
    </row>
    <row r="103" spans="2:12" ht="15.75">
      <c r="B103" s="116" t="s">
        <v>102</v>
      </c>
      <c r="C103" s="118">
        <v>2400</v>
      </c>
      <c r="D103" s="385">
        <f>C103/'[1]Estados Proforma'!$Q$12*'[1]Estados Proforma'!$AD$7</f>
        <v>2796.8054128698122</v>
      </c>
      <c r="E103" s="385">
        <f>D103/'[1]Estados Proforma'!$R$12*'[1]Estados Proforma'!$AE$7</f>
        <v>3266.855560084989</v>
      </c>
      <c r="F103" s="385">
        <f>E103/'[1]Estados Proforma'!$S$12*'[1]Estados Proforma'!$AF$7</f>
        <v>3815.9055332731486</v>
      </c>
      <c r="G103" s="385">
        <f>F103/'[1]Estados Proforma'!$T$12*'[1]Estados Proforma'!$AG$7</f>
        <v>4457.232580703941</v>
      </c>
      <c r="H103" s="385">
        <f>G103/'[1]Estados Proforma'!$T$12*'[1]Estados Proforma'!$AG$7</f>
        <v>5206.345415329914</v>
      </c>
      <c r="I103" s="385">
        <f>H103/'[1]Estados Proforma'!$T$12*'[1]Estados Proforma'!$AG$7</f>
        <v>6081.359249924066</v>
      </c>
      <c r="J103" s="385">
        <f>I103/'[1]Estados Proforma'!$T$12*'[1]Estados Proforma'!$AG$7</f>
        <v>7103.43386317434</v>
      </c>
      <c r="K103" s="385">
        <f>J103/'[1]Estados Proforma'!$T$12*'[1]Estados Proforma'!$AG$7</f>
        <v>8297.285290146603</v>
      </c>
      <c r="L103" s="386">
        <f>K103/'[1]Estados Proforma'!$T$12*'[1]Estados Proforma'!$AG$7</f>
        <v>9691.783510928359</v>
      </c>
    </row>
    <row r="104" spans="2:12" ht="15.75">
      <c r="B104" s="119" t="s">
        <v>103</v>
      </c>
      <c r="C104" s="118">
        <v>0</v>
      </c>
      <c r="D104" s="385">
        <f>C104/'[1]Estados Proforma'!$Q$12*'[1]Estados Proforma'!$AD$7</f>
        <v>0</v>
      </c>
      <c r="E104" s="385">
        <f>D104/'[1]Estados Proforma'!$R$12*'[1]Estados Proforma'!$AE$7</f>
        <v>0</v>
      </c>
      <c r="F104" s="385">
        <f>E104/'[1]Estados Proforma'!$S$12*'[1]Estados Proforma'!$AF$7</f>
        <v>0</v>
      </c>
      <c r="G104" s="385">
        <f>F104/'[1]Estados Proforma'!$T$12*'[1]Estados Proforma'!$AG$7</f>
        <v>0</v>
      </c>
      <c r="H104" s="385">
        <f>G104/'[1]Estados Proforma'!$T$12*'[1]Estados Proforma'!$AG$7</f>
        <v>0</v>
      </c>
      <c r="I104" s="385">
        <f>H104/'[1]Estados Proforma'!$T$12*'[1]Estados Proforma'!$AG$7</f>
        <v>0</v>
      </c>
      <c r="J104" s="385">
        <f>I104/'[1]Estados Proforma'!$T$12*'[1]Estados Proforma'!$AG$7</f>
        <v>0</v>
      </c>
      <c r="K104" s="385">
        <f>J104/'[1]Estados Proforma'!$T$12*'[1]Estados Proforma'!$AG$7</f>
        <v>0</v>
      </c>
      <c r="L104" s="386">
        <f>K104/'[1]Estados Proforma'!$T$12*'[1]Estados Proforma'!$AG$7</f>
        <v>0</v>
      </c>
    </row>
    <row r="105" spans="2:12" ht="15.75">
      <c r="B105" s="116" t="s">
        <v>104</v>
      </c>
      <c r="C105" s="118">
        <v>3600</v>
      </c>
      <c r="D105" s="385">
        <f>C105/'[1]Estados Proforma'!$Q$12*'[1]Estados Proforma'!$AD$7</f>
        <v>4195.208119304719</v>
      </c>
      <c r="E105" s="385">
        <f>D105/'[1]Estados Proforma'!$R$12*'[1]Estados Proforma'!$AE$7</f>
        <v>4900.283340127484</v>
      </c>
      <c r="F105" s="385">
        <f>E105/'[1]Estados Proforma'!$S$12*'[1]Estados Proforma'!$AF$7</f>
        <v>5723.858299909723</v>
      </c>
      <c r="G105" s="385">
        <f>F105/'[1]Estados Proforma'!$T$12*'[1]Estados Proforma'!$AG$7</f>
        <v>6685.848871055912</v>
      </c>
      <c r="H105" s="385">
        <f>G105/'[1]Estados Proforma'!$T$12*'[1]Estados Proforma'!$AG$7</f>
        <v>7809.518122994874</v>
      </c>
      <c r="I105" s="385">
        <f>H105/'[1]Estados Proforma'!$T$12*'[1]Estados Proforma'!$AG$7</f>
        <v>9122.0388748861</v>
      </c>
      <c r="J105" s="385">
        <f>I105/'[1]Estados Proforma'!$T$12*'[1]Estados Proforma'!$AG$7</f>
        <v>10655.150794761514</v>
      </c>
      <c r="K105" s="385">
        <f>J105/'[1]Estados Proforma'!$T$12*'[1]Estados Proforma'!$AG$7</f>
        <v>12445.92793521991</v>
      </c>
      <c r="L105" s="386">
        <f>K105/'[1]Estados Proforma'!$T$12*'[1]Estados Proforma'!$AG$7</f>
        <v>14537.675266392545</v>
      </c>
    </row>
    <row r="106" spans="2:12" ht="15.75">
      <c r="B106" s="116" t="s">
        <v>105</v>
      </c>
      <c r="C106" s="118">
        <v>4320</v>
      </c>
      <c r="D106" s="385">
        <f>C106/'[1]Estados Proforma'!$Q$12*'[1]Estados Proforma'!$AD$7</f>
        <v>5034.249743165663</v>
      </c>
      <c r="E106" s="385">
        <f>D106/'[1]Estados Proforma'!$R$12*'[1]Estados Proforma'!$AE$7</f>
        <v>5880.340008152982</v>
      </c>
      <c r="F106" s="385">
        <f>E106/'[1]Estados Proforma'!$S$12*'[1]Estados Proforma'!$AF$7</f>
        <v>6868.6299598916685</v>
      </c>
      <c r="G106" s="385">
        <f>F106/'[1]Estados Proforma'!$T$12*'[1]Estados Proforma'!$AG$7</f>
        <v>8023.018645267094</v>
      </c>
      <c r="H106" s="385">
        <f>G106/'[1]Estados Proforma'!$T$12*'[1]Estados Proforma'!$AG$7</f>
        <v>9371.421747593848</v>
      </c>
      <c r="I106" s="385">
        <f>H106/'[1]Estados Proforma'!$T$12*'[1]Estados Proforma'!$AG$7</f>
        <v>10946.44664986332</v>
      </c>
      <c r="J106" s="385">
        <f>I106/'[1]Estados Proforma'!$T$12*'[1]Estados Proforma'!$AG$7</f>
        <v>12786.180953713814</v>
      </c>
      <c r="K106" s="385">
        <f>J106/'[1]Estados Proforma'!$T$12*'[1]Estados Proforma'!$AG$7</f>
        <v>14935.11352226389</v>
      </c>
      <c r="L106" s="386">
        <f>K106/'[1]Estados Proforma'!$T$12*'[1]Estados Proforma'!$AG$7</f>
        <v>17445.210319671052</v>
      </c>
    </row>
    <row r="107" spans="2:12" ht="15.75">
      <c r="B107" s="116" t="s">
        <v>106</v>
      </c>
      <c r="C107" s="118">
        <v>20160</v>
      </c>
      <c r="D107" s="385">
        <f>C107/'[1]Estados Proforma'!$Q$12*'[1]Estados Proforma'!$AD$7</f>
        <v>23493.165468106425</v>
      </c>
      <c r="E107" s="385">
        <f>D107/'[1]Estados Proforma'!$R$12*'[1]Estados Proforma'!$AE$7</f>
        <v>27441.58670471391</v>
      </c>
      <c r="F107" s="385">
        <f>E107/'[1]Estados Proforma'!$S$12*'[1]Estados Proforma'!$AF$7</f>
        <v>32053.60647949445</v>
      </c>
      <c r="G107" s="385">
        <f>F107/'[1]Estados Proforma'!$T$12*'[1]Estados Proforma'!$AG$7</f>
        <v>37440.75367791311</v>
      </c>
      <c r="H107" s="385">
        <f>G107/'[1]Estados Proforma'!$T$12*'[1]Estados Proforma'!$AG$7</f>
        <v>43733.3014887713</v>
      </c>
      <c r="I107" s="385">
        <f>H107/'[1]Estados Proforma'!$T$12*'[1]Estados Proforma'!$AG$7</f>
        <v>51083.417699362166</v>
      </c>
      <c r="J107" s="385">
        <f>I107/'[1]Estados Proforma'!$T$12*'[1]Estados Proforma'!$AG$7</f>
        <v>59668.84445066448</v>
      </c>
      <c r="K107" s="385">
        <f>J107/'[1]Estados Proforma'!$T$12*'[1]Estados Proforma'!$AG$7</f>
        <v>69697.1964372315</v>
      </c>
      <c r="L107" s="386">
        <f>K107/'[1]Estados Proforma'!$T$12*'[1]Estados Proforma'!$AG$7</f>
        <v>81410.98149179826</v>
      </c>
    </row>
    <row r="108" spans="2:12" ht="15.75">
      <c r="B108" s="116" t="s">
        <v>107</v>
      </c>
      <c r="C108" s="118">
        <v>0</v>
      </c>
      <c r="D108" s="385">
        <f>C108/'[1]Estados Proforma'!$Q$12*'[1]Estados Proforma'!$AD$7</f>
        <v>0</v>
      </c>
      <c r="E108" s="385">
        <f>D108/'[1]Estados Proforma'!$R$12*'[1]Estados Proforma'!$AE$7</f>
        <v>0</v>
      </c>
      <c r="F108" s="385">
        <f>E108/'[1]Estados Proforma'!$S$12*'[1]Estados Proforma'!$AF$7</f>
        <v>0</v>
      </c>
      <c r="G108" s="385">
        <f>F108/'[1]Estados Proforma'!$T$12*'[1]Estados Proforma'!$AG$7</f>
        <v>0</v>
      </c>
      <c r="H108" s="385">
        <f>G108/'[1]Estados Proforma'!$T$12*'[1]Estados Proforma'!$AG$7</f>
        <v>0</v>
      </c>
      <c r="I108" s="385">
        <f>H108/'[1]Estados Proforma'!$T$12*'[1]Estados Proforma'!$AG$7</f>
        <v>0</v>
      </c>
      <c r="J108" s="385">
        <f>I108/'[1]Estados Proforma'!$T$12*'[1]Estados Proforma'!$AG$7</f>
        <v>0</v>
      </c>
      <c r="K108" s="385">
        <f>J108/'[1]Estados Proforma'!$T$12*'[1]Estados Proforma'!$AG$7</f>
        <v>0</v>
      </c>
      <c r="L108" s="386">
        <f>K108/'[1]Estados Proforma'!$T$12*'[1]Estados Proforma'!$AG$7</f>
        <v>0</v>
      </c>
    </row>
    <row r="109" spans="2:12" ht="16.5" thickBot="1">
      <c r="B109" s="122" t="s">
        <v>120</v>
      </c>
      <c r="C109" s="387">
        <f>SUM(C102:C108)</f>
        <v>31440</v>
      </c>
      <c r="D109" s="387">
        <f aca="true" t="shared" si="4" ref="D109:L109">SUM(D102:D108)</f>
        <v>36638.15090859454</v>
      </c>
      <c r="E109" s="387">
        <f t="shared" si="4"/>
        <v>42795.80783711336</v>
      </c>
      <c r="F109" s="387">
        <f t="shared" si="4"/>
        <v>49988.36248587826</v>
      </c>
      <c r="G109" s="387">
        <f t="shared" si="4"/>
        <v>58389.746807221636</v>
      </c>
      <c r="H109" s="387">
        <f t="shared" si="4"/>
        <v>68203.1249408219</v>
      </c>
      <c r="I109" s="387">
        <f t="shared" si="4"/>
        <v>79665.80617400528</v>
      </c>
      <c r="J109" s="387">
        <f t="shared" si="4"/>
        <v>93054.98360758388</v>
      </c>
      <c r="K109" s="387">
        <f t="shared" si="4"/>
        <v>108694.43730092054</v>
      </c>
      <c r="L109" s="388">
        <f t="shared" si="4"/>
        <v>126962.36399316156</v>
      </c>
    </row>
    <row r="112" spans="2:3" ht="15.75">
      <c r="B112" s="381"/>
      <c r="C112" s="381"/>
    </row>
    <row r="114" spans="2:5" ht="16.5" thickBot="1">
      <c r="B114" s="381" t="s">
        <v>122</v>
      </c>
      <c r="C114" s="381"/>
      <c r="D114" s="381"/>
      <c r="E114" s="381"/>
    </row>
    <row r="115" spans="2:5" ht="15.75">
      <c r="B115" s="123"/>
      <c r="C115" s="124"/>
      <c r="D115" s="124"/>
      <c r="E115" s="125"/>
    </row>
    <row r="116" spans="2:5" ht="15.75">
      <c r="B116" s="325" t="s">
        <v>121</v>
      </c>
      <c r="C116" s="326" t="s">
        <v>123</v>
      </c>
      <c r="D116" s="326" t="s">
        <v>124</v>
      </c>
      <c r="E116" s="327" t="s">
        <v>28</v>
      </c>
    </row>
    <row r="117" spans="2:5" ht="15.75">
      <c r="B117" s="362" t="s">
        <v>125</v>
      </c>
      <c r="C117" s="363"/>
      <c r="D117" s="363"/>
      <c r="E117" s="127"/>
    </row>
    <row r="118" spans="2:5" ht="15.75">
      <c r="B118" s="119" t="s">
        <v>126</v>
      </c>
      <c r="C118" s="128">
        <v>8</v>
      </c>
      <c r="D118" s="128">
        <v>25</v>
      </c>
      <c r="E118" s="129">
        <f aca="true" t="shared" si="5" ref="E118:E143">C118*D118</f>
        <v>200</v>
      </c>
    </row>
    <row r="119" spans="2:5" ht="15.75">
      <c r="B119" s="119" t="s">
        <v>127</v>
      </c>
      <c r="C119" s="130">
        <v>1</v>
      </c>
      <c r="D119" s="130">
        <v>650</v>
      </c>
      <c r="E119" s="127">
        <f t="shared" si="5"/>
        <v>650</v>
      </c>
    </row>
    <row r="120" spans="2:5" ht="15.75">
      <c r="B120" s="119" t="s">
        <v>128</v>
      </c>
      <c r="C120" s="130">
        <v>5</v>
      </c>
      <c r="D120" s="130">
        <v>500</v>
      </c>
      <c r="E120" s="127">
        <f t="shared" si="5"/>
        <v>2500</v>
      </c>
    </row>
    <row r="121" spans="2:5" ht="15.75">
      <c r="B121" s="119" t="s">
        <v>129</v>
      </c>
      <c r="C121" s="130">
        <v>1</v>
      </c>
      <c r="D121" s="130">
        <v>70</v>
      </c>
      <c r="E121" s="127">
        <f t="shared" si="5"/>
        <v>70</v>
      </c>
    </row>
    <row r="122" spans="2:5" ht="15.75">
      <c r="B122" s="119" t="s">
        <v>130</v>
      </c>
      <c r="C122" s="130">
        <v>4</v>
      </c>
      <c r="D122" s="130">
        <v>15</v>
      </c>
      <c r="E122" s="127">
        <f t="shared" si="5"/>
        <v>60</v>
      </c>
    </row>
    <row r="123" spans="2:5" ht="15.75">
      <c r="B123" s="119" t="s">
        <v>131</v>
      </c>
      <c r="C123" s="130">
        <v>1</v>
      </c>
      <c r="D123" s="130">
        <v>300</v>
      </c>
      <c r="E123" s="127">
        <f t="shared" si="5"/>
        <v>300</v>
      </c>
    </row>
    <row r="124" spans="2:5" ht="15.75">
      <c r="B124" s="119" t="s">
        <v>132</v>
      </c>
      <c r="C124" s="130">
        <v>4</v>
      </c>
      <c r="D124" s="130">
        <v>25</v>
      </c>
      <c r="E124" s="127">
        <f t="shared" si="5"/>
        <v>100</v>
      </c>
    </row>
    <row r="125" spans="2:5" ht="15.75">
      <c r="B125" s="119" t="s">
        <v>133</v>
      </c>
      <c r="C125" s="130">
        <v>2</v>
      </c>
      <c r="D125" s="130">
        <v>2500</v>
      </c>
      <c r="E125" s="127">
        <f t="shared" si="5"/>
        <v>5000</v>
      </c>
    </row>
    <row r="126" spans="2:5" ht="15.75">
      <c r="B126" s="119" t="s">
        <v>134</v>
      </c>
      <c r="C126" s="130">
        <v>4</v>
      </c>
      <c r="D126" s="130">
        <v>140</v>
      </c>
      <c r="E126" s="127">
        <f t="shared" si="5"/>
        <v>560</v>
      </c>
    </row>
    <row r="127" spans="2:5" ht="15.75">
      <c r="B127" s="119" t="s">
        <v>135</v>
      </c>
      <c r="C127" s="130">
        <v>1</v>
      </c>
      <c r="D127" s="130">
        <v>80</v>
      </c>
      <c r="E127" s="127">
        <f t="shared" si="5"/>
        <v>80</v>
      </c>
    </row>
    <row r="128" spans="2:5" ht="15.75">
      <c r="B128" s="362" t="s">
        <v>136</v>
      </c>
      <c r="C128" s="363"/>
      <c r="D128" s="363"/>
      <c r="E128" s="126">
        <f>SUM(E118:E127)</f>
        <v>9520</v>
      </c>
    </row>
    <row r="129" spans="2:5" ht="15.75">
      <c r="B129" s="362" t="s">
        <v>137</v>
      </c>
      <c r="C129" s="363"/>
      <c r="D129" s="363"/>
      <c r="E129" s="127"/>
    </row>
    <row r="130" spans="2:5" ht="15.75">
      <c r="B130" s="119" t="s">
        <v>138</v>
      </c>
      <c r="C130" s="131">
        <v>1</v>
      </c>
      <c r="D130" s="385">
        <v>1000</v>
      </c>
      <c r="E130" s="386">
        <f t="shared" si="5"/>
        <v>1000</v>
      </c>
    </row>
    <row r="131" spans="2:5" ht="15.75">
      <c r="B131" s="119" t="s">
        <v>139</v>
      </c>
      <c r="C131" s="131">
        <v>4</v>
      </c>
      <c r="D131" s="385">
        <v>450</v>
      </c>
      <c r="E131" s="386">
        <f>C131*D131</f>
        <v>1800</v>
      </c>
    </row>
    <row r="132" spans="2:5" ht="15.75">
      <c r="B132" s="119" t="s">
        <v>140</v>
      </c>
      <c r="C132" s="131">
        <v>2</v>
      </c>
      <c r="D132" s="385">
        <v>70</v>
      </c>
      <c r="E132" s="386">
        <f t="shared" si="5"/>
        <v>140</v>
      </c>
    </row>
    <row r="133" spans="2:5" ht="15.75">
      <c r="B133" s="119" t="s">
        <v>141</v>
      </c>
      <c r="C133" s="131">
        <v>1</v>
      </c>
      <c r="D133" s="385">
        <v>85</v>
      </c>
      <c r="E133" s="386">
        <f t="shared" si="5"/>
        <v>85</v>
      </c>
    </row>
    <row r="134" spans="2:5" ht="15.75">
      <c r="B134" s="362" t="s">
        <v>142</v>
      </c>
      <c r="C134" s="363"/>
      <c r="D134" s="363"/>
      <c r="E134" s="133">
        <f>SUM(E130:E133)</f>
        <v>3025</v>
      </c>
    </row>
    <row r="135" spans="2:5" ht="15.75">
      <c r="B135" s="362" t="s">
        <v>143</v>
      </c>
      <c r="C135" s="363"/>
      <c r="D135" s="363"/>
      <c r="E135" s="132"/>
    </row>
    <row r="136" spans="2:5" ht="15.75">
      <c r="B136" s="119" t="s">
        <v>144</v>
      </c>
      <c r="C136" s="131">
        <v>1</v>
      </c>
      <c r="D136" s="385">
        <v>900</v>
      </c>
      <c r="E136" s="132">
        <f>C136*D136</f>
        <v>900</v>
      </c>
    </row>
    <row r="137" spans="2:5" ht="15.75">
      <c r="B137" s="119" t="s">
        <v>145</v>
      </c>
      <c r="C137" s="131">
        <v>1</v>
      </c>
      <c r="D137" s="385">
        <v>650</v>
      </c>
      <c r="E137" s="132">
        <f t="shared" si="5"/>
        <v>650</v>
      </c>
    </row>
    <row r="138" spans="2:5" ht="15.75">
      <c r="B138" s="119" t="s">
        <v>146</v>
      </c>
      <c r="C138" s="131">
        <v>1</v>
      </c>
      <c r="D138" s="385">
        <v>25</v>
      </c>
      <c r="E138" s="132">
        <f t="shared" si="5"/>
        <v>25</v>
      </c>
    </row>
    <row r="139" spans="2:5" ht="15.75">
      <c r="B139" s="119" t="s">
        <v>147</v>
      </c>
      <c r="C139" s="131">
        <v>4</v>
      </c>
      <c r="D139" s="385">
        <v>12</v>
      </c>
      <c r="E139" s="132">
        <f t="shared" si="5"/>
        <v>48</v>
      </c>
    </row>
    <row r="140" spans="2:5" ht="15.75">
      <c r="B140" s="119" t="s">
        <v>148</v>
      </c>
      <c r="C140" s="131">
        <v>2</v>
      </c>
      <c r="D140" s="385">
        <v>115</v>
      </c>
      <c r="E140" s="132">
        <f t="shared" si="5"/>
        <v>230</v>
      </c>
    </row>
    <row r="141" spans="2:5" ht="15.75">
      <c r="B141" s="119" t="s">
        <v>149</v>
      </c>
      <c r="C141" s="131">
        <v>1</v>
      </c>
      <c r="D141" s="385">
        <v>148</v>
      </c>
      <c r="E141" s="132">
        <f t="shared" si="5"/>
        <v>148</v>
      </c>
    </row>
    <row r="142" spans="2:5" ht="15.75">
      <c r="B142" s="362" t="s">
        <v>150</v>
      </c>
      <c r="C142" s="363"/>
      <c r="D142" s="363"/>
      <c r="E142" s="133">
        <f>SUM(E136:E141)</f>
        <v>2001</v>
      </c>
    </row>
    <row r="143" spans="2:5" ht="16.5" thickBot="1">
      <c r="B143" s="134" t="s">
        <v>151</v>
      </c>
      <c r="C143" s="135">
        <v>1</v>
      </c>
      <c r="D143" s="136">
        <v>500</v>
      </c>
      <c r="E143" s="137">
        <f t="shared" si="5"/>
        <v>500</v>
      </c>
    </row>
    <row r="144" spans="2:5" ht="16.5" thickBot="1">
      <c r="B144" s="367" t="s">
        <v>152</v>
      </c>
      <c r="C144" s="368"/>
      <c r="D144" s="368"/>
      <c r="E144" s="138">
        <f>E142+E143+E134+E128</f>
        <v>15046</v>
      </c>
    </row>
    <row r="147" spans="2:3" ht="31.5">
      <c r="B147" s="15" t="s">
        <v>153</v>
      </c>
      <c r="C147" s="15" t="s">
        <v>154</v>
      </c>
    </row>
    <row r="148" spans="2:3" ht="15.75">
      <c r="B148" s="16" t="s">
        <v>155</v>
      </c>
      <c r="C148" s="17">
        <v>4500</v>
      </c>
    </row>
    <row r="149" spans="2:3" ht="15.75">
      <c r="B149" s="16" t="s">
        <v>156</v>
      </c>
      <c r="C149" s="17">
        <v>3000</v>
      </c>
    </row>
    <row r="150" spans="2:3" ht="15.75">
      <c r="B150" s="16" t="s">
        <v>157</v>
      </c>
      <c r="C150" s="17">
        <v>5990</v>
      </c>
    </row>
    <row r="151" spans="2:3" ht="15.75">
      <c r="B151" s="16" t="s">
        <v>158</v>
      </c>
      <c r="C151" s="17">
        <v>1400</v>
      </c>
    </row>
    <row r="152" spans="2:3" ht="15.75">
      <c r="B152" s="16" t="s">
        <v>159</v>
      </c>
      <c r="C152" s="17">
        <v>5000</v>
      </c>
    </row>
    <row r="153" spans="2:3" ht="15.75">
      <c r="B153" s="18" t="s">
        <v>160</v>
      </c>
      <c r="C153" s="17">
        <v>22000</v>
      </c>
    </row>
    <row r="154" spans="2:3" ht="15.75">
      <c r="B154" s="18" t="s">
        <v>161</v>
      </c>
      <c r="C154" s="17">
        <v>3000</v>
      </c>
    </row>
    <row r="155" spans="2:3" ht="16.5" thickBot="1">
      <c r="B155" s="19" t="s">
        <v>34</v>
      </c>
      <c r="C155" s="17">
        <f>SUM(C148:C154)</f>
        <v>44890</v>
      </c>
    </row>
    <row r="156" spans="2:3" ht="16.5" thickBot="1">
      <c r="B156" s="139" t="s">
        <v>1</v>
      </c>
      <c r="C156" s="140">
        <f>C149+C150+C151+C152+C153</f>
        <v>37390</v>
      </c>
    </row>
    <row r="159" spans="2:9" ht="16.5" thickBot="1">
      <c r="B159" s="335" t="s">
        <v>164</v>
      </c>
      <c r="C159" s="335"/>
      <c r="D159" s="335"/>
      <c r="E159" s="335"/>
      <c r="F159" s="335"/>
      <c r="G159" s="335"/>
      <c r="H159" s="335"/>
      <c r="I159" s="141"/>
    </row>
    <row r="160" spans="2:8" ht="16.5" thickBot="1">
      <c r="B160" s="359" t="s">
        <v>165</v>
      </c>
      <c r="C160" s="360"/>
      <c r="D160" s="360"/>
      <c r="E160" s="360"/>
      <c r="F160" s="360"/>
      <c r="G160" s="360"/>
      <c r="H160" s="361"/>
    </row>
    <row r="161" spans="2:8" ht="16.5" thickBot="1">
      <c r="B161" s="359" t="s">
        <v>166</v>
      </c>
      <c r="C161" s="360"/>
      <c r="D161" s="360"/>
      <c r="E161" s="360"/>
      <c r="F161" s="360"/>
      <c r="G161" s="360"/>
      <c r="H161" s="361"/>
    </row>
    <row r="162" spans="2:8" ht="16.5" thickBot="1">
      <c r="B162" s="27" t="s">
        <v>167</v>
      </c>
      <c r="C162" s="142" t="s">
        <v>168</v>
      </c>
      <c r="D162" s="142" t="s">
        <v>169</v>
      </c>
      <c r="E162" s="142" t="s">
        <v>170</v>
      </c>
      <c r="F162" s="142" t="s">
        <v>171</v>
      </c>
      <c r="G162" s="142" t="s">
        <v>172</v>
      </c>
      <c r="H162" s="75" t="s">
        <v>173</v>
      </c>
    </row>
    <row r="163" spans="2:8" ht="15.75">
      <c r="B163" s="76" t="s">
        <v>174</v>
      </c>
      <c r="C163" s="143">
        <v>351100</v>
      </c>
      <c r="D163" s="144">
        <v>50</v>
      </c>
      <c r="E163" s="143">
        <v>7022</v>
      </c>
      <c r="F163" s="144">
        <v>10</v>
      </c>
      <c r="G163" s="143">
        <f>E163*F163</f>
        <v>70220</v>
      </c>
      <c r="H163" s="145">
        <f>C163-G163</f>
        <v>280880</v>
      </c>
    </row>
    <row r="164" spans="2:8" ht="15.75">
      <c r="B164" s="23" t="s">
        <v>175</v>
      </c>
      <c r="C164" s="146">
        <v>15390</v>
      </c>
      <c r="D164" s="147">
        <v>10</v>
      </c>
      <c r="E164" s="146">
        <v>1539</v>
      </c>
      <c r="F164" s="147">
        <v>10</v>
      </c>
      <c r="G164" s="146">
        <f>E164*F164</f>
        <v>15390</v>
      </c>
      <c r="H164" s="148">
        <f>C164-G164</f>
        <v>0</v>
      </c>
    </row>
    <row r="165" spans="2:8" ht="15.75">
      <c r="B165" s="23" t="s">
        <v>176</v>
      </c>
      <c r="C165" s="146">
        <v>22000</v>
      </c>
      <c r="D165" s="147">
        <v>5</v>
      </c>
      <c r="E165" s="146">
        <v>4400</v>
      </c>
      <c r="F165" s="147">
        <v>5</v>
      </c>
      <c r="G165" s="146">
        <f>E165*F165</f>
        <v>22000</v>
      </c>
      <c r="H165" s="148">
        <f>C165-G165</f>
        <v>0</v>
      </c>
    </row>
    <row r="166" spans="2:8" ht="15.75">
      <c r="B166" s="23" t="s">
        <v>177</v>
      </c>
      <c r="C166" s="146">
        <v>2800</v>
      </c>
      <c r="D166" s="147">
        <v>3</v>
      </c>
      <c r="E166" s="149">
        <v>933.33</v>
      </c>
      <c r="F166" s="147">
        <v>1</v>
      </c>
      <c r="G166" s="146">
        <f>E166*F166</f>
        <v>933.33</v>
      </c>
      <c r="H166" s="148">
        <f>C166-G166</f>
        <v>1866.67</v>
      </c>
    </row>
    <row r="167" spans="2:8" ht="16.5" thickBot="1">
      <c r="B167" s="42" t="s">
        <v>178</v>
      </c>
      <c r="C167" s="150">
        <v>9520</v>
      </c>
      <c r="D167" s="50">
        <v>5</v>
      </c>
      <c r="E167" s="150">
        <v>1904</v>
      </c>
      <c r="F167" s="50">
        <v>5</v>
      </c>
      <c r="G167" s="150">
        <f>E167*F167</f>
        <v>9520</v>
      </c>
      <c r="H167" s="151">
        <f>C167-G167</f>
        <v>0</v>
      </c>
    </row>
    <row r="168" spans="3:8" ht="16.5" thickBot="1">
      <c r="C168" s="152"/>
      <c r="D168" s="153" t="s">
        <v>179</v>
      </c>
      <c r="E168" s="154">
        <f>E163+E164+E165+E166+E167</f>
        <v>15798.33</v>
      </c>
      <c r="G168" s="155" t="s">
        <v>253</v>
      </c>
      <c r="H168" s="156">
        <f>H163+H164+H165+H166+H167</f>
        <v>282746.67</v>
      </c>
    </row>
    <row r="169" spans="3:8" ht="15.75">
      <c r="C169" s="152"/>
      <c r="E169" s="152"/>
      <c r="G169" s="152"/>
      <c r="H169" s="152"/>
    </row>
    <row r="171" spans="2:14" ht="16.5" thickBot="1">
      <c r="B171" s="335" t="s">
        <v>180</v>
      </c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</row>
    <row r="172" spans="2:14" ht="15.75">
      <c r="B172" s="351" t="s">
        <v>181</v>
      </c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52"/>
    </row>
    <row r="173" spans="2:14" ht="15.75">
      <c r="B173" s="23"/>
      <c r="C173" s="328" t="s">
        <v>182</v>
      </c>
      <c r="D173" s="328" t="s">
        <v>183</v>
      </c>
      <c r="E173" s="328" t="s">
        <v>184</v>
      </c>
      <c r="F173" s="328" t="s">
        <v>185</v>
      </c>
      <c r="G173" s="328" t="s">
        <v>186</v>
      </c>
      <c r="H173" s="328" t="s">
        <v>187</v>
      </c>
      <c r="I173" s="328" t="s">
        <v>188</v>
      </c>
      <c r="J173" s="328" t="s">
        <v>189</v>
      </c>
      <c r="K173" s="328" t="s">
        <v>190</v>
      </c>
      <c r="L173" s="328" t="s">
        <v>191</v>
      </c>
      <c r="M173" s="328" t="s">
        <v>192</v>
      </c>
      <c r="N173" s="329" t="s">
        <v>193</v>
      </c>
    </row>
    <row r="174" spans="2:14" ht="15.75">
      <c r="B174" s="23" t="s">
        <v>71</v>
      </c>
      <c r="C174" s="147"/>
      <c r="D174" s="149">
        <v>1.84</v>
      </c>
      <c r="E174" s="149">
        <v>1.84</v>
      </c>
      <c r="F174" s="149">
        <v>1.84</v>
      </c>
      <c r="G174" s="149">
        <v>1.84</v>
      </c>
      <c r="H174" s="149">
        <v>1.84</v>
      </c>
      <c r="I174" s="149">
        <v>1.84</v>
      </c>
      <c r="J174" s="149">
        <v>1.84</v>
      </c>
      <c r="K174" s="149">
        <v>1.84</v>
      </c>
      <c r="L174" s="149">
        <v>1.84</v>
      </c>
      <c r="M174" s="149">
        <v>1.84</v>
      </c>
      <c r="N174" s="157">
        <v>1.84</v>
      </c>
    </row>
    <row r="175" spans="2:14" ht="15.75">
      <c r="B175" s="23" t="s">
        <v>194</v>
      </c>
      <c r="C175" s="147"/>
      <c r="D175" s="147">
        <v>10000</v>
      </c>
      <c r="E175" s="147">
        <v>20000</v>
      </c>
      <c r="F175" s="147">
        <v>50000</v>
      </c>
      <c r="G175" s="147">
        <v>120000</v>
      </c>
      <c r="H175" s="147">
        <v>150000</v>
      </c>
      <c r="I175" s="147">
        <v>175000</v>
      </c>
      <c r="J175" s="147">
        <v>175000</v>
      </c>
      <c r="K175" s="147">
        <v>200000</v>
      </c>
      <c r="L175" s="147">
        <v>220000</v>
      </c>
      <c r="M175" s="147">
        <v>260000</v>
      </c>
      <c r="N175" s="70">
        <v>300000</v>
      </c>
    </row>
    <row r="176" spans="2:14" ht="16.5" thickBot="1">
      <c r="B176" s="158" t="s">
        <v>195</v>
      </c>
      <c r="C176" s="50"/>
      <c r="D176" s="159">
        <f>D174*D175</f>
        <v>18400</v>
      </c>
      <c r="E176" s="159">
        <f aca="true" t="shared" si="6" ref="E176:N176">E174*E175</f>
        <v>36800</v>
      </c>
      <c r="F176" s="159">
        <f t="shared" si="6"/>
        <v>92000</v>
      </c>
      <c r="G176" s="159">
        <f t="shared" si="6"/>
        <v>220800</v>
      </c>
      <c r="H176" s="159">
        <f t="shared" si="6"/>
        <v>276000</v>
      </c>
      <c r="I176" s="159">
        <f>I174*I175</f>
        <v>322000</v>
      </c>
      <c r="J176" s="159">
        <f t="shared" si="6"/>
        <v>322000</v>
      </c>
      <c r="K176" s="159">
        <f t="shared" si="6"/>
        <v>368000</v>
      </c>
      <c r="L176" s="159">
        <f t="shared" si="6"/>
        <v>404800</v>
      </c>
      <c r="M176" s="159">
        <f t="shared" si="6"/>
        <v>478400</v>
      </c>
      <c r="N176" s="160">
        <f t="shared" si="6"/>
        <v>552000</v>
      </c>
    </row>
    <row r="177" spans="2:14" ht="16.5" thickBot="1">
      <c r="B177" s="161" t="s">
        <v>196</v>
      </c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3"/>
    </row>
    <row r="178" spans="2:14" ht="15.75">
      <c r="B178" s="164" t="s">
        <v>197</v>
      </c>
      <c r="C178" s="165"/>
      <c r="D178" s="166">
        <f>D176*0.5</f>
        <v>9200</v>
      </c>
      <c r="E178" s="166">
        <f aca="true" t="shared" si="7" ref="E178:N178">E176*0.5</f>
        <v>18400</v>
      </c>
      <c r="F178" s="166">
        <f t="shared" si="7"/>
        <v>46000</v>
      </c>
      <c r="G178" s="166">
        <f t="shared" si="7"/>
        <v>110400</v>
      </c>
      <c r="H178" s="166">
        <f t="shared" si="7"/>
        <v>138000</v>
      </c>
      <c r="I178" s="166">
        <f t="shared" si="7"/>
        <v>161000</v>
      </c>
      <c r="J178" s="166">
        <f t="shared" si="7"/>
        <v>161000</v>
      </c>
      <c r="K178" s="166">
        <f t="shared" si="7"/>
        <v>184000</v>
      </c>
      <c r="L178" s="166">
        <f t="shared" si="7"/>
        <v>202400</v>
      </c>
      <c r="M178" s="166">
        <f t="shared" si="7"/>
        <v>239200</v>
      </c>
      <c r="N178" s="167">
        <f t="shared" si="7"/>
        <v>276000</v>
      </c>
    </row>
    <row r="179" spans="2:14" ht="15.75">
      <c r="B179" s="168" t="s">
        <v>198</v>
      </c>
      <c r="C179" s="147"/>
      <c r="D179" s="147"/>
      <c r="E179" s="149">
        <f>E178*0.3</f>
        <v>5520</v>
      </c>
      <c r="F179" s="149">
        <f aca="true" t="shared" si="8" ref="F179:N179">F178*0.3</f>
        <v>13800</v>
      </c>
      <c r="G179" s="149">
        <f t="shared" si="8"/>
        <v>33120</v>
      </c>
      <c r="H179" s="149">
        <f t="shared" si="8"/>
        <v>41400</v>
      </c>
      <c r="I179" s="149">
        <f t="shared" si="8"/>
        <v>48300</v>
      </c>
      <c r="J179" s="149">
        <f t="shared" si="8"/>
        <v>48300</v>
      </c>
      <c r="K179" s="149">
        <f t="shared" si="8"/>
        <v>55200</v>
      </c>
      <c r="L179" s="149">
        <f t="shared" si="8"/>
        <v>60720</v>
      </c>
      <c r="M179" s="149">
        <f t="shared" si="8"/>
        <v>71760</v>
      </c>
      <c r="N179" s="157">
        <f t="shared" si="8"/>
        <v>82800</v>
      </c>
    </row>
    <row r="180" spans="2:14" ht="15.75">
      <c r="B180" s="168" t="s">
        <v>199</v>
      </c>
      <c r="C180" s="147"/>
      <c r="D180" s="147"/>
      <c r="E180" s="147"/>
      <c r="F180" s="149">
        <f>F179*0.2</f>
        <v>2760</v>
      </c>
      <c r="G180" s="149">
        <f aca="true" t="shared" si="9" ref="G180:N180">G179*0.2</f>
        <v>6624</v>
      </c>
      <c r="H180" s="149">
        <f t="shared" si="9"/>
        <v>8280</v>
      </c>
      <c r="I180" s="149">
        <f t="shared" si="9"/>
        <v>9660</v>
      </c>
      <c r="J180" s="149">
        <f t="shared" si="9"/>
        <v>9660</v>
      </c>
      <c r="K180" s="149">
        <f t="shared" si="9"/>
        <v>11040</v>
      </c>
      <c r="L180" s="149">
        <f t="shared" si="9"/>
        <v>12144</v>
      </c>
      <c r="M180" s="149">
        <f t="shared" si="9"/>
        <v>14352</v>
      </c>
      <c r="N180" s="157">
        <f t="shared" si="9"/>
        <v>16560</v>
      </c>
    </row>
    <row r="181" spans="2:14" ht="16.5" thickBot="1">
      <c r="B181" s="169" t="s">
        <v>200</v>
      </c>
      <c r="C181" s="50"/>
      <c r="D181" s="159">
        <f>D178+D179+D180</f>
        <v>9200</v>
      </c>
      <c r="E181" s="159">
        <f aca="true" t="shared" si="10" ref="E181:N181">E178+E179+E180</f>
        <v>23920</v>
      </c>
      <c r="F181" s="159">
        <f t="shared" si="10"/>
        <v>62560</v>
      </c>
      <c r="G181" s="159">
        <f t="shared" si="10"/>
        <v>150144</v>
      </c>
      <c r="H181" s="159">
        <f t="shared" si="10"/>
        <v>187680</v>
      </c>
      <c r="I181" s="159">
        <f t="shared" si="10"/>
        <v>218960</v>
      </c>
      <c r="J181" s="159">
        <f t="shared" si="10"/>
        <v>218960</v>
      </c>
      <c r="K181" s="159">
        <f t="shared" si="10"/>
        <v>250240</v>
      </c>
      <c r="L181" s="159">
        <f t="shared" si="10"/>
        <v>275264</v>
      </c>
      <c r="M181" s="159">
        <f t="shared" si="10"/>
        <v>325312</v>
      </c>
      <c r="N181" s="160">
        <f t="shared" si="10"/>
        <v>375360</v>
      </c>
    </row>
    <row r="182" spans="2:14" ht="15.75">
      <c r="B182" s="170" t="s">
        <v>201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3"/>
    </row>
    <row r="183" spans="2:14" ht="15.75">
      <c r="B183" s="170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3"/>
    </row>
    <row r="184" spans="2:14" ht="15.75">
      <c r="B184" s="161" t="s">
        <v>202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3"/>
    </row>
    <row r="185" spans="2:14" ht="16.5" thickBot="1">
      <c r="B185" s="161" t="s">
        <v>203</v>
      </c>
      <c r="C185" s="171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3"/>
    </row>
    <row r="186" spans="2:14" ht="15.75">
      <c r="B186" s="164" t="s">
        <v>204</v>
      </c>
      <c r="C186" s="172">
        <v>90</v>
      </c>
      <c r="D186" s="172">
        <v>240</v>
      </c>
      <c r="E186" s="172">
        <v>570</v>
      </c>
      <c r="F186" s="172">
        <v>1380</v>
      </c>
      <c r="G186" s="172">
        <v>2070</v>
      </c>
      <c r="H186" s="172">
        <v>2475</v>
      </c>
      <c r="I186" s="172">
        <v>2625</v>
      </c>
      <c r="J186" s="172">
        <v>2850</v>
      </c>
      <c r="K186" s="172">
        <v>3180</v>
      </c>
      <c r="L186" s="172">
        <v>3660</v>
      </c>
      <c r="M186" s="172">
        <v>4260</v>
      </c>
      <c r="N186" s="173">
        <v>3600</v>
      </c>
    </row>
    <row r="187" spans="2:14" ht="15.75">
      <c r="B187" s="168" t="s">
        <v>205</v>
      </c>
      <c r="C187" s="146">
        <v>150</v>
      </c>
      <c r="D187" s="146">
        <v>400</v>
      </c>
      <c r="E187" s="174">
        <v>950</v>
      </c>
      <c r="F187" s="174">
        <v>2300</v>
      </c>
      <c r="G187" s="174">
        <v>3450</v>
      </c>
      <c r="H187" s="174">
        <v>4125</v>
      </c>
      <c r="I187" s="174">
        <v>4375</v>
      </c>
      <c r="J187" s="174">
        <v>4750</v>
      </c>
      <c r="K187" s="174">
        <v>5300</v>
      </c>
      <c r="L187" s="174">
        <v>6100</v>
      </c>
      <c r="M187" s="174">
        <v>7100</v>
      </c>
      <c r="N187" s="175">
        <v>6000</v>
      </c>
    </row>
    <row r="188" spans="2:14" ht="15.75">
      <c r="B188" s="168" t="s">
        <v>206</v>
      </c>
      <c r="C188" s="146">
        <v>90</v>
      </c>
      <c r="D188" s="146">
        <v>240</v>
      </c>
      <c r="E188" s="174">
        <v>570</v>
      </c>
      <c r="F188" s="174">
        <v>1380</v>
      </c>
      <c r="G188" s="174">
        <v>2070</v>
      </c>
      <c r="H188" s="174">
        <v>2475</v>
      </c>
      <c r="I188" s="174">
        <v>2625</v>
      </c>
      <c r="J188" s="174">
        <v>2850</v>
      </c>
      <c r="K188" s="174">
        <v>3180</v>
      </c>
      <c r="L188" s="174">
        <v>3660</v>
      </c>
      <c r="M188" s="174">
        <v>4260</v>
      </c>
      <c r="N188" s="175">
        <v>3600</v>
      </c>
    </row>
    <row r="189" spans="2:14" ht="15.75">
      <c r="B189" s="168" t="s">
        <v>207</v>
      </c>
      <c r="C189" s="146">
        <v>0</v>
      </c>
      <c r="D189" s="146">
        <v>25</v>
      </c>
      <c r="E189" s="174">
        <v>50</v>
      </c>
      <c r="F189" s="174">
        <v>125</v>
      </c>
      <c r="G189" s="174">
        <v>300</v>
      </c>
      <c r="H189" s="174">
        <v>375</v>
      </c>
      <c r="I189" s="174">
        <v>438</v>
      </c>
      <c r="J189" s="174">
        <v>438</v>
      </c>
      <c r="K189" s="174">
        <v>500</v>
      </c>
      <c r="L189" s="174">
        <v>550</v>
      </c>
      <c r="M189" s="174">
        <v>650</v>
      </c>
      <c r="N189" s="175">
        <v>750</v>
      </c>
    </row>
    <row r="190" spans="2:14" ht="16.5" thickBot="1">
      <c r="B190" s="169" t="s">
        <v>208</v>
      </c>
      <c r="C190" s="150">
        <f aca="true" t="shared" si="11" ref="C190:N190">C186+C187+C188+C189</f>
        <v>330</v>
      </c>
      <c r="D190" s="150">
        <f t="shared" si="11"/>
        <v>905</v>
      </c>
      <c r="E190" s="176">
        <f t="shared" si="11"/>
        <v>2140</v>
      </c>
      <c r="F190" s="150">
        <f t="shared" si="11"/>
        <v>5185</v>
      </c>
      <c r="G190" s="150">
        <f t="shared" si="11"/>
        <v>7890</v>
      </c>
      <c r="H190" s="150">
        <f t="shared" si="11"/>
        <v>9450</v>
      </c>
      <c r="I190" s="150">
        <f t="shared" si="11"/>
        <v>10063</v>
      </c>
      <c r="J190" s="150">
        <f t="shared" si="11"/>
        <v>10888</v>
      </c>
      <c r="K190" s="150">
        <f t="shared" si="11"/>
        <v>12160</v>
      </c>
      <c r="L190" s="150">
        <f t="shared" si="11"/>
        <v>13970</v>
      </c>
      <c r="M190" s="150">
        <f t="shared" si="11"/>
        <v>16270</v>
      </c>
      <c r="N190" s="151">
        <f t="shared" si="11"/>
        <v>13950</v>
      </c>
    </row>
    <row r="191" spans="2:14" ht="15.75">
      <c r="B191" s="177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3"/>
    </row>
    <row r="192" spans="2:14" ht="16.5" thickBot="1">
      <c r="B192" s="178" t="s">
        <v>209</v>
      </c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3"/>
    </row>
    <row r="193" spans="2:14" ht="15.75">
      <c r="B193" s="21" t="s">
        <v>210</v>
      </c>
      <c r="C193" s="179">
        <v>85</v>
      </c>
      <c r="D193" s="179">
        <v>85</v>
      </c>
      <c r="E193" s="179">
        <v>85</v>
      </c>
      <c r="F193" s="179">
        <v>85</v>
      </c>
      <c r="G193" s="179">
        <v>85</v>
      </c>
      <c r="H193" s="179">
        <v>85</v>
      </c>
      <c r="I193" s="179">
        <v>85</v>
      </c>
      <c r="J193" s="179">
        <v>85</v>
      </c>
      <c r="K193" s="179">
        <v>85</v>
      </c>
      <c r="L193" s="179">
        <v>85</v>
      </c>
      <c r="M193" s="179">
        <v>85</v>
      </c>
      <c r="N193" s="180">
        <v>85</v>
      </c>
    </row>
    <row r="194" spans="2:14" ht="15.75">
      <c r="B194" s="23" t="s">
        <v>211</v>
      </c>
      <c r="C194" s="174">
        <v>50</v>
      </c>
      <c r="D194" s="174">
        <v>50</v>
      </c>
      <c r="E194" s="174">
        <v>50</v>
      </c>
      <c r="F194" s="174">
        <v>50</v>
      </c>
      <c r="G194" s="174">
        <v>50</v>
      </c>
      <c r="H194" s="174">
        <v>50</v>
      </c>
      <c r="I194" s="174">
        <v>50</v>
      </c>
      <c r="J194" s="174">
        <v>50</v>
      </c>
      <c r="K194" s="174">
        <v>50</v>
      </c>
      <c r="L194" s="174">
        <v>50</v>
      </c>
      <c r="M194" s="174">
        <v>50</v>
      </c>
      <c r="N194" s="175">
        <v>50</v>
      </c>
    </row>
    <row r="195" spans="2:14" ht="15.75">
      <c r="B195" s="23" t="s">
        <v>163</v>
      </c>
      <c r="C195" s="174">
        <v>45</v>
      </c>
      <c r="D195" s="174">
        <v>45</v>
      </c>
      <c r="E195" s="174">
        <v>45</v>
      </c>
      <c r="F195" s="174">
        <v>45</v>
      </c>
      <c r="G195" s="174">
        <v>45</v>
      </c>
      <c r="H195" s="174">
        <v>45</v>
      </c>
      <c r="I195" s="174">
        <v>45</v>
      </c>
      <c r="J195" s="174">
        <v>45</v>
      </c>
      <c r="K195" s="174">
        <v>45</v>
      </c>
      <c r="L195" s="174">
        <v>45</v>
      </c>
      <c r="M195" s="174">
        <v>45</v>
      </c>
      <c r="N195" s="175">
        <v>45</v>
      </c>
    </row>
    <row r="196" spans="2:14" ht="15.75">
      <c r="B196" s="23" t="s">
        <v>162</v>
      </c>
      <c r="C196" s="174">
        <v>100</v>
      </c>
      <c r="D196" s="174">
        <v>100</v>
      </c>
      <c r="E196" s="174">
        <v>100</v>
      </c>
      <c r="F196" s="174">
        <v>100</v>
      </c>
      <c r="G196" s="174">
        <v>100</v>
      </c>
      <c r="H196" s="174">
        <v>100</v>
      </c>
      <c r="I196" s="174">
        <v>100</v>
      </c>
      <c r="J196" s="174">
        <v>100</v>
      </c>
      <c r="K196" s="174">
        <v>100</v>
      </c>
      <c r="L196" s="174">
        <v>100</v>
      </c>
      <c r="M196" s="174">
        <v>100</v>
      </c>
      <c r="N196" s="175">
        <v>100</v>
      </c>
    </row>
    <row r="197" spans="2:14" ht="15.75">
      <c r="B197" s="23" t="s">
        <v>212</v>
      </c>
      <c r="C197" s="174">
        <v>2620</v>
      </c>
      <c r="D197" s="174">
        <v>2620</v>
      </c>
      <c r="E197" s="174">
        <v>2620</v>
      </c>
      <c r="F197" s="174">
        <v>2620</v>
      </c>
      <c r="G197" s="174">
        <v>2620</v>
      </c>
      <c r="H197" s="174">
        <v>2620</v>
      </c>
      <c r="I197" s="174">
        <v>2620</v>
      </c>
      <c r="J197" s="174">
        <v>2620</v>
      </c>
      <c r="K197" s="174">
        <v>2620</v>
      </c>
      <c r="L197" s="174">
        <v>2620</v>
      </c>
      <c r="M197" s="174">
        <v>2620</v>
      </c>
      <c r="N197" s="175">
        <v>2620</v>
      </c>
    </row>
    <row r="198" spans="2:14" ht="15.75">
      <c r="B198" s="23" t="s">
        <v>213</v>
      </c>
      <c r="C198" s="174">
        <v>100</v>
      </c>
      <c r="D198" s="174">
        <v>100</v>
      </c>
      <c r="E198" s="174">
        <v>100</v>
      </c>
      <c r="F198" s="174">
        <v>100</v>
      </c>
      <c r="G198" s="174">
        <v>100</v>
      </c>
      <c r="H198" s="174">
        <v>100</v>
      </c>
      <c r="I198" s="174">
        <v>100</v>
      </c>
      <c r="J198" s="174">
        <v>100</v>
      </c>
      <c r="K198" s="174">
        <v>100</v>
      </c>
      <c r="L198" s="174">
        <v>100</v>
      </c>
      <c r="M198" s="174">
        <v>100</v>
      </c>
      <c r="N198" s="175">
        <v>100</v>
      </c>
    </row>
    <row r="199" spans="2:14" ht="16.5" thickBot="1">
      <c r="B199" s="158" t="s">
        <v>214</v>
      </c>
      <c r="C199" s="181">
        <f>C193+C194+C195+C196+C197+C198</f>
        <v>3000</v>
      </c>
      <c r="D199" s="181">
        <f aca="true" t="shared" si="12" ref="D199:N199">D193+D194+D195+D196+D197+D198</f>
        <v>3000</v>
      </c>
      <c r="E199" s="181">
        <f t="shared" si="12"/>
        <v>3000</v>
      </c>
      <c r="F199" s="181">
        <f t="shared" si="12"/>
        <v>3000</v>
      </c>
      <c r="G199" s="181">
        <f t="shared" si="12"/>
        <v>3000</v>
      </c>
      <c r="H199" s="181">
        <f t="shared" si="12"/>
        <v>3000</v>
      </c>
      <c r="I199" s="181">
        <f t="shared" si="12"/>
        <v>3000</v>
      </c>
      <c r="J199" s="181">
        <f t="shared" si="12"/>
        <v>3000</v>
      </c>
      <c r="K199" s="181">
        <f t="shared" si="12"/>
        <v>3000</v>
      </c>
      <c r="L199" s="181">
        <f t="shared" si="12"/>
        <v>3000</v>
      </c>
      <c r="M199" s="181">
        <f t="shared" si="12"/>
        <v>3000</v>
      </c>
      <c r="N199" s="182">
        <f t="shared" si="12"/>
        <v>3000</v>
      </c>
    </row>
    <row r="200" spans="2:14" ht="16.5" thickBot="1">
      <c r="B200" s="177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3"/>
    </row>
    <row r="201" spans="2:14" ht="16.5" thickBot="1">
      <c r="B201" s="183" t="s">
        <v>215</v>
      </c>
      <c r="C201" s="184">
        <f>C190+C199</f>
        <v>3330</v>
      </c>
      <c r="D201" s="184">
        <f aca="true" t="shared" si="13" ref="D201:N201">D190+D199</f>
        <v>3905</v>
      </c>
      <c r="E201" s="184">
        <f t="shared" si="13"/>
        <v>5140</v>
      </c>
      <c r="F201" s="184">
        <f t="shared" si="13"/>
        <v>8185</v>
      </c>
      <c r="G201" s="184">
        <f t="shared" si="13"/>
        <v>10890</v>
      </c>
      <c r="H201" s="184">
        <f t="shared" si="13"/>
        <v>12450</v>
      </c>
      <c r="I201" s="184">
        <f t="shared" si="13"/>
        <v>13063</v>
      </c>
      <c r="J201" s="184">
        <f t="shared" si="13"/>
        <v>13888</v>
      </c>
      <c r="K201" s="184">
        <f t="shared" si="13"/>
        <v>15160</v>
      </c>
      <c r="L201" s="184">
        <f t="shared" si="13"/>
        <v>16970</v>
      </c>
      <c r="M201" s="184">
        <f t="shared" si="13"/>
        <v>19270</v>
      </c>
      <c r="N201" s="185">
        <f t="shared" si="13"/>
        <v>16950</v>
      </c>
    </row>
    <row r="202" spans="2:14" ht="16.5" thickBot="1">
      <c r="B202" s="177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3"/>
    </row>
    <row r="203" spans="2:14" ht="15.75">
      <c r="B203" s="21"/>
      <c r="C203" s="34" t="s">
        <v>182</v>
      </c>
      <c r="D203" s="34" t="s">
        <v>183</v>
      </c>
      <c r="E203" s="34" t="s">
        <v>184</v>
      </c>
      <c r="F203" s="34" t="s">
        <v>185</v>
      </c>
      <c r="G203" s="34" t="s">
        <v>186</v>
      </c>
      <c r="H203" s="34" t="s">
        <v>187</v>
      </c>
      <c r="I203" s="34" t="s">
        <v>188</v>
      </c>
      <c r="J203" s="34" t="s">
        <v>189</v>
      </c>
      <c r="K203" s="34" t="s">
        <v>190</v>
      </c>
      <c r="L203" s="34" t="s">
        <v>191</v>
      </c>
      <c r="M203" s="34" t="s">
        <v>192</v>
      </c>
      <c r="N203" s="35" t="s">
        <v>193</v>
      </c>
    </row>
    <row r="204" spans="2:14" ht="15.75">
      <c r="B204" s="23" t="s">
        <v>200</v>
      </c>
      <c r="C204" s="174">
        <v>0</v>
      </c>
      <c r="D204" s="174">
        <v>9200</v>
      </c>
      <c r="E204" s="174">
        <v>23920</v>
      </c>
      <c r="F204" s="174">
        <v>62560</v>
      </c>
      <c r="G204" s="174">
        <v>150144</v>
      </c>
      <c r="H204" s="174">
        <v>187680</v>
      </c>
      <c r="I204" s="174">
        <v>218960</v>
      </c>
      <c r="J204" s="174">
        <v>218960</v>
      </c>
      <c r="K204" s="174">
        <v>250240</v>
      </c>
      <c r="L204" s="174">
        <v>275264</v>
      </c>
      <c r="M204" s="174">
        <v>325312</v>
      </c>
      <c r="N204" s="175">
        <v>375360</v>
      </c>
    </row>
    <row r="205" spans="2:14" ht="15.75">
      <c r="B205" s="23" t="s">
        <v>215</v>
      </c>
      <c r="C205" s="174">
        <v>3330</v>
      </c>
      <c r="D205" s="174">
        <v>3905</v>
      </c>
      <c r="E205" s="174">
        <v>5140</v>
      </c>
      <c r="F205" s="174">
        <v>8185</v>
      </c>
      <c r="G205" s="174">
        <v>10890</v>
      </c>
      <c r="H205" s="174">
        <v>12450</v>
      </c>
      <c r="I205" s="174">
        <v>13063</v>
      </c>
      <c r="J205" s="174">
        <v>13888</v>
      </c>
      <c r="K205" s="174">
        <v>15160</v>
      </c>
      <c r="L205" s="174">
        <v>16970</v>
      </c>
      <c r="M205" s="174">
        <v>19270</v>
      </c>
      <c r="N205" s="175">
        <v>16950</v>
      </c>
    </row>
    <row r="206" spans="2:14" ht="15.75">
      <c r="B206" s="23" t="s">
        <v>216</v>
      </c>
      <c r="C206" s="174">
        <f>C204-C205</f>
        <v>-3330</v>
      </c>
      <c r="D206" s="174">
        <f aca="true" t="shared" si="14" ref="D206:N206">D204-D205</f>
        <v>5295</v>
      </c>
      <c r="E206" s="174">
        <f t="shared" si="14"/>
        <v>18780</v>
      </c>
      <c r="F206" s="174">
        <f t="shared" si="14"/>
        <v>54375</v>
      </c>
      <c r="G206" s="174">
        <f t="shared" si="14"/>
        <v>139254</v>
      </c>
      <c r="H206" s="174">
        <f t="shared" si="14"/>
        <v>175230</v>
      </c>
      <c r="I206" s="174">
        <f t="shared" si="14"/>
        <v>205897</v>
      </c>
      <c r="J206" s="174">
        <f t="shared" si="14"/>
        <v>205072</v>
      </c>
      <c r="K206" s="174">
        <f t="shared" si="14"/>
        <v>235080</v>
      </c>
      <c r="L206" s="174">
        <f t="shared" si="14"/>
        <v>258294</v>
      </c>
      <c r="M206" s="174">
        <f t="shared" si="14"/>
        <v>306042</v>
      </c>
      <c r="N206" s="175">
        <f t="shared" si="14"/>
        <v>358410</v>
      </c>
    </row>
    <row r="207" spans="2:14" ht="16.5" thickBot="1">
      <c r="B207" s="42" t="s">
        <v>217</v>
      </c>
      <c r="C207" s="181">
        <f>C206</f>
        <v>-3330</v>
      </c>
      <c r="D207" s="181">
        <f>D206+C206</f>
        <v>1965</v>
      </c>
      <c r="E207" s="181">
        <f aca="true" t="shared" si="15" ref="E207:N207">E206+D206</f>
        <v>24075</v>
      </c>
      <c r="F207" s="181">
        <f t="shared" si="15"/>
        <v>73155</v>
      </c>
      <c r="G207" s="181">
        <f t="shared" si="15"/>
        <v>193629</v>
      </c>
      <c r="H207" s="181">
        <f t="shared" si="15"/>
        <v>314484</v>
      </c>
      <c r="I207" s="181">
        <f t="shared" si="15"/>
        <v>381127</v>
      </c>
      <c r="J207" s="181">
        <f t="shared" si="15"/>
        <v>410969</v>
      </c>
      <c r="K207" s="181">
        <f t="shared" si="15"/>
        <v>440152</v>
      </c>
      <c r="L207" s="181">
        <f t="shared" si="15"/>
        <v>493374</v>
      </c>
      <c r="M207" s="181">
        <f t="shared" si="15"/>
        <v>564336</v>
      </c>
      <c r="N207" s="182">
        <f t="shared" si="15"/>
        <v>664452</v>
      </c>
    </row>
    <row r="208" spans="2:14" ht="16.5" thickBot="1">
      <c r="B208" s="177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7"/>
    </row>
    <row r="209" spans="2:14" ht="16.5" thickBot="1">
      <c r="B209" s="27" t="s">
        <v>180</v>
      </c>
      <c r="C209" s="330">
        <f>C207</f>
        <v>-3330</v>
      </c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7"/>
    </row>
    <row r="210" spans="2:14" ht="16.5" thickBot="1">
      <c r="B210" s="188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90"/>
    </row>
    <row r="211" spans="3:14" ht="15.75"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</row>
    <row r="212" spans="2:7" ht="15.75">
      <c r="B212" s="370" t="s">
        <v>218</v>
      </c>
      <c r="C212" s="370"/>
      <c r="D212" s="370"/>
      <c r="E212" s="370"/>
      <c r="F212" s="370"/>
      <c r="G212" s="370"/>
    </row>
    <row r="213" spans="2:7" ht="15.75">
      <c r="B213" s="192" t="s">
        <v>23</v>
      </c>
      <c r="C213" s="192" t="s">
        <v>24</v>
      </c>
      <c r="D213" s="192" t="s">
        <v>25</v>
      </c>
      <c r="E213" s="192" t="s">
        <v>14</v>
      </c>
      <c r="F213" s="192" t="s">
        <v>26</v>
      </c>
      <c r="G213" s="192" t="s">
        <v>27</v>
      </c>
    </row>
    <row r="214" spans="2:7" ht="15.75">
      <c r="B214" s="193">
        <v>0</v>
      </c>
      <c r="C214" s="194">
        <v>252921.6</v>
      </c>
      <c r="D214" s="193"/>
      <c r="E214" s="193"/>
      <c r="F214" s="193"/>
      <c r="G214" s="193"/>
    </row>
    <row r="215" spans="2:7" ht="15.75">
      <c r="B215" s="193">
        <v>1</v>
      </c>
      <c r="C215" s="195">
        <v>228600.23101248583</v>
      </c>
      <c r="D215" s="195">
        <v>2191.9872</v>
      </c>
      <c r="E215" s="195">
        <v>26513.356187514182</v>
      </c>
      <c r="F215" s="195">
        <v>24321.368987514183</v>
      </c>
      <c r="G215" s="195">
        <v>24321.368987514183</v>
      </c>
    </row>
    <row r="216" spans="2:7" ht="15.75">
      <c r="B216" s="193">
        <v>2</v>
      </c>
      <c r="C216" s="195">
        <v>204068.07682707987</v>
      </c>
      <c r="D216" s="195">
        <v>1981.2020021082105</v>
      </c>
      <c r="E216" s="195">
        <v>26513.356187514182</v>
      </c>
      <c r="F216" s="195">
        <v>24532.154185405972</v>
      </c>
      <c r="G216" s="195">
        <v>48853.523172920155</v>
      </c>
    </row>
    <row r="217" spans="2:7" ht="15.75">
      <c r="B217" s="193">
        <v>3</v>
      </c>
      <c r="C217" s="195">
        <v>179323.31063873373</v>
      </c>
      <c r="D217" s="195">
        <v>1768.5899991680255</v>
      </c>
      <c r="E217" s="195">
        <v>26513.356187514182</v>
      </c>
      <c r="F217" s="195">
        <v>24744.766188346155</v>
      </c>
      <c r="G217" s="195">
        <v>73598.2893612663</v>
      </c>
    </row>
    <row r="218" spans="2:7" ht="15.75">
      <c r="B218" s="193">
        <v>4</v>
      </c>
      <c r="C218" s="195">
        <v>154364.08981008857</v>
      </c>
      <c r="D218" s="195">
        <v>1554.1353588690256</v>
      </c>
      <c r="E218" s="195">
        <v>26513.356187514182</v>
      </c>
      <c r="F218" s="195">
        <v>24959.220828645157</v>
      </c>
      <c r="G218" s="195">
        <v>98557.51018991147</v>
      </c>
    </row>
    <row r="219" spans="2:7" ht="15.75">
      <c r="B219" s="193">
        <v>5</v>
      </c>
      <c r="C219" s="195">
        <v>129188.55573426181</v>
      </c>
      <c r="D219" s="195">
        <v>1337.8221116874342</v>
      </c>
      <c r="E219" s="195">
        <v>26513.356187514182</v>
      </c>
      <c r="F219" s="195">
        <v>25175.53407582675</v>
      </c>
      <c r="G219" s="195">
        <v>123733.04426573822</v>
      </c>
    </row>
    <row r="220" spans="2:7" ht="15.75">
      <c r="B220" s="193">
        <v>6</v>
      </c>
      <c r="C220" s="195">
        <v>103794.83369644456</v>
      </c>
      <c r="D220" s="195">
        <v>1119.6341496969358</v>
      </c>
      <c r="E220" s="195">
        <v>26513.356187514182</v>
      </c>
      <c r="F220" s="195">
        <v>25393.722037817246</v>
      </c>
      <c r="G220" s="195">
        <v>149126.76630355546</v>
      </c>
    </row>
    <row r="221" spans="2:7" ht="15.75">
      <c r="B221" s="193">
        <v>7</v>
      </c>
      <c r="C221" s="195">
        <v>78181.03273429957</v>
      </c>
      <c r="D221" s="195">
        <v>899.5552253691861</v>
      </c>
      <c r="E221" s="195">
        <v>26513.356187514182</v>
      </c>
      <c r="F221" s="195">
        <v>25613.800962144996</v>
      </c>
      <c r="G221" s="195">
        <v>174740.56726570046</v>
      </c>
    </row>
    <row r="222" spans="2:7" ht="15.75">
      <c r="B222" s="193">
        <v>8</v>
      </c>
      <c r="C222" s="195">
        <v>52345.24549714932</v>
      </c>
      <c r="D222" s="195">
        <v>677.5689503639296</v>
      </c>
      <c r="E222" s="195">
        <v>26513.356187514182</v>
      </c>
      <c r="F222" s="195">
        <v>25835.787237150253</v>
      </c>
      <c r="G222" s="195">
        <v>200576.3545028507</v>
      </c>
    </row>
    <row r="223" spans="2:7" ht="15.75">
      <c r="B223" s="193">
        <v>9</v>
      </c>
      <c r="C223" s="195">
        <v>26285.548103943765</v>
      </c>
      <c r="D223" s="195">
        <v>453.6587943086274</v>
      </c>
      <c r="E223" s="195">
        <v>26513.356187514182</v>
      </c>
      <c r="F223" s="195">
        <v>26059.697393205555</v>
      </c>
      <c r="G223" s="195">
        <v>226636.05189605628</v>
      </c>
    </row>
    <row r="224" spans="2:7" ht="15.75">
      <c r="B224" s="193">
        <v>10</v>
      </c>
      <c r="C224" s="195">
        <v>-2.903107088059187E-09</v>
      </c>
      <c r="D224" s="195">
        <v>227.80808356751263</v>
      </c>
      <c r="E224" s="195">
        <v>26513.356187514182</v>
      </c>
      <c r="F224" s="195">
        <v>26285.54810394667</v>
      </c>
      <c r="G224" s="195">
        <v>252921.60000000295</v>
      </c>
    </row>
    <row r="225" spans="2:7" ht="15.75">
      <c r="B225" s="192" t="s">
        <v>28</v>
      </c>
      <c r="C225" s="194">
        <v>252921.6</v>
      </c>
      <c r="D225" s="194">
        <v>12211.961875138886</v>
      </c>
      <c r="E225" s="194">
        <v>265133.5618751418</v>
      </c>
      <c r="F225" s="194">
        <v>252921.60000000295</v>
      </c>
      <c r="G225" s="194">
        <v>252921.60000000295</v>
      </c>
    </row>
    <row r="228" spans="2:6" ht="16.5" thickBot="1">
      <c r="B228" s="335" t="s">
        <v>219</v>
      </c>
      <c r="C228" s="335"/>
      <c r="D228" s="335"/>
      <c r="E228" s="335"/>
      <c r="F228" s="162"/>
    </row>
    <row r="229" spans="2:6" ht="16.5" thickBot="1">
      <c r="B229" s="359" t="s">
        <v>57</v>
      </c>
      <c r="C229" s="360"/>
      <c r="D229" s="365"/>
      <c r="E229" s="196">
        <v>0.63</v>
      </c>
      <c r="F229" s="162"/>
    </row>
    <row r="230" spans="2:6" ht="16.5" thickBot="1">
      <c r="B230" s="197"/>
      <c r="C230" s="54"/>
      <c r="D230" s="54"/>
      <c r="E230" s="163"/>
      <c r="F230" s="162"/>
    </row>
    <row r="231" spans="2:6" ht="16.5" thickBot="1">
      <c r="B231" s="153" t="s">
        <v>220</v>
      </c>
      <c r="C231" s="162"/>
      <c r="D231" s="162"/>
      <c r="E231" s="163"/>
      <c r="F231" s="162"/>
    </row>
    <row r="232" spans="2:6" ht="15.75">
      <c r="B232" s="177"/>
      <c r="C232" s="162"/>
      <c r="D232" s="162"/>
      <c r="E232" s="163"/>
      <c r="F232" s="162"/>
    </row>
    <row r="233" spans="2:6" ht="15.75">
      <c r="B233" s="177"/>
      <c r="C233" s="162"/>
      <c r="D233" s="162"/>
      <c r="E233" s="163"/>
      <c r="F233" s="162"/>
    </row>
    <row r="234" spans="2:6" ht="15.75">
      <c r="B234" s="177"/>
      <c r="C234" s="162"/>
      <c r="D234" s="162"/>
      <c r="E234" s="163"/>
      <c r="F234" s="162"/>
    </row>
    <row r="235" spans="2:6" ht="15.75">
      <c r="B235" s="177"/>
      <c r="C235" s="162"/>
      <c r="D235" s="162"/>
      <c r="E235" s="163"/>
      <c r="F235" s="162"/>
    </row>
    <row r="236" spans="2:6" ht="15.75">
      <c r="B236" s="177"/>
      <c r="C236" s="162"/>
      <c r="D236" s="162"/>
      <c r="E236" s="163"/>
      <c r="F236" s="162"/>
    </row>
    <row r="237" spans="2:6" ht="15.75">
      <c r="B237" s="177"/>
      <c r="C237" s="162"/>
      <c r="D237" s="162"/>
      <c r="E237" s="163"/>
      <c r="F237" s="162"/>
    </row>
    <row r="238" spans="2:6" ht="15.75">
      <c r="B238" s="177"/>
      <c r="C238" s="162"/>
      <c r="D238" s="162"/>
      <c r="E238" s="163"/>
      <c r="F238" s="162"/>
    </row>
    <row r="239" spans="2:6" ht="15.75">
      <c r="B239" s="177"/>
      <c r="C239" s="162"/>
      <c r="D239" s="162"/>
      <c r="E239" s="163"/>
      <c r="F239" s="162"/>
    </row>
    <row r="240" spans="2:6" ht="15.75">
      <c r="B240" s="177"/>
      <c r="C240" s="162"/>
      <c r="D240" s="162"/>
      <c r="E240" s="163"/>
      <c r="F240" s="162"/>
    </row>
    <row r="241" spans="2:6" ht="15.75">
      <c r="B241" s="177"/>
      <c r="C241" s="162"/>
      <c r="D241" s="162"/>
      <c r="E241" s="163"/>
      <c r="F241" s="162"/>
    </row>
    <row r="242" spans="2:6" ht="15.75">
      <c r="B242" s="177"/>
      <c r="C242" s="162"/>
      <c r="D242" s="162"/>
      <c r="E242" s="163"/>
      <c r="F242" s="162"/>
    </row>
    <row r="243" spans="2:6" ht="15.75">
      <c r="B243" s="177"/>
      <c r="C243" s="162"/>
      <c r="D243" s="162"/>
      <c r="E243" s="163"/>
      <c r="F243" s="162"/>
    </row>
    <row r="244" spans="2:6" ht="15.75">
      <c r="B244" s="177"/>
      <c r="C244" s="162"/>
      <c r="D244" s="162"/>
      <c r="E244" s="163"/>
      <c r="F244" s="162"/>
    </row>
    <row r="245" spans="2:6" ht="15.75">
      <c r="B245" s="177"/>
      <c r="C245" s="162"/>
      <c r="D245" s="162"/>
      <c r="E245" s="163"/>
      <c r="F245" s="162"/>
    </row>
    <row r="246" spans="2:6" ht="15.75">
      <c r="B246" s="177"/>
      <c r="C246" s="162"/>
      <c r="D246" s="162"/>
      <c r="E246" s="163"/>
      <c r="F246" s="162"/>
    </row>
    <row r="247" spans="2:6" ht="15.75">
      <c r="B247" s="177"/>
      <c r="C247" s="162"/>
      <c r="D247" s="162"/>
      <c r="E247" s="163"/>
      <c r="F247" s="162"/>
    </row>
    <row r="248" spans="2:6" ht="15.75">
      <c r="B248" s="177"/>
      <c r="C248" s="162"/>
      <c r="D248" s="162"/>
      <c r="E248" s="163"/>
      <c r="F248" s="162"/>
    </row>
    <row r="249" spans="2:6" ht="15.75">
      <c r="B249" s="177"/>
      <c r="C249" s="162"/>
      <c r="D249" s="162"/>
      <c r="E249" s="163"/>
      <c r="F249" s="162"/>
    </row>
    <row r="250" spans="2:6" ht="15.75">
      <c r="B250" s="177"/>
      <c r="C250" s="162"/>
      <c r="D250" s="162"/>
      <c r="E250" s="163"/>
      <c r="F250" s="162"/>
    </row>
    <row r="251" spans="2:6" ht="15.75">
      <c r="B251" s="177"/>
      <c r="C251" s="162"/>
      <c r="D251" s="162"/>
      <c r="E251" s="163"/>
      <c r="F251" s="162"/>
    </row>
    <row r="252" spans="2:6" ht="15.75">
      <c r="B252" s="177"/>
      <c r="C252" s="162"/>
      <c r="D252" s="162"/>
      <c r="E252" s="163"/>
      <c r="F252" s="162"/>
    </row>
    <row r="253" spans="2:6" ht="15.75">
      <c r="B253" s="177"/>
      <c r="C253" s="162"/>
      <c r="D253" s="162"/>
      <c r="E253" s="163"/>
      <c r="F253" s="162"/>
    </row>
    <row r="254" spans="2:6" ht="15.75">
      <c r="B254" s="177"/>
      <c r="C254" s="162"/>
      <c r="D254" s="162"/>
      <c r="E254" s="163"/>
      <c r="F254" s="162"/>
    </row>
    <row r="255" spans="2:6" ht="15.75">
      <c r="B255" s="177"/>
      <c r="C255" s="162"/>
      <c r="D255" s="162"/>
      <c r="E255" s="163"/>
      <c r="F255" s="162"/>
    </row>
    <row r="256" spans="2:6" ht="15.75">
      <c r="B256" s="177"/>
      <c r="C256" s="162"/>
      <c r="D256" s="162"/>
      <c r="E256" s="163"/>
      <c r="F256" s="162"/>
    </row>
    <row r="257" spans="2:6" ht="15.75">
      <c r="B257" s="177"/>
      <c r="C257" s="162"/>
      <c r="D257" s="162"/>
      <c r="E257" s="163"/>
      <c r="F257" s="162"/>
    </row>
    <row r="258" spans="2:6" ht="15.75">
      <c r="B258" s="177"/>
      <c r="C258" s="162"/>
      <c r="D258" s="162"/>
      <c r="E258" s="163"/>
      <c r="F258" s="162"/>
    </row>
    <row r="259" spans="2:6" ht="15.75">
      <c r="B259" s="177"/>
      <c r="C259" s="162"/>
      <c r="D259" s="162"/>
      <c r="E259" s="163"/>
      <c r="F259" s="162"/>
    </row>
    <row r="260" spans="2:6" ht="16.5" thickBot="1">
      <c r="B260" s="188"/>
      <c r="C260" s="198"/>
      <c r="D260" s="198"/>
      <c r="E260" s="199"/>
      <c r="F260" s="162"/>
    </row>
    <row r="261" ht="15.75">
      <c r="F261" s="162"/>
    </row>
    <row r="262" ht="15.75">
      <c r="F262" s="162"/>
    </row>
    <row r="264" spans="2:13" ht="15.75">
      <c r="B264" s="335" t="s">
        <v>267</v>
      </c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</row>
    <row r="265" spans="2:14" ht="15.75"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1"/>
    </row>
    <row r="266" spans="2:14" ht="16.5" thickBot="1"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1"/>
    </row>
    <row r="267" spans="2:13" ht="15.75">
      <c r="B267" s="213" t="s">
        <v>71</v>
      </c>
      <c r="C267" s="214">
        <v>1.84</v>
      </c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</row>
    <row r="268" spans="2:13" ht="16.5" thickBot="1">
      <c r="B268" s="215" t="s">
        <v>221</v>
      </c>
      <c r="C268" s="216">
        <v>0.05</v>
      </c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</row>
    <row r="269" spans="2:13" ht="15.75"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</row>
    <row r="270" spans="2:13" ht="16.5" thickBot="1">
      <c r="B270" s="364" t="s">
        <v>222</v>
      </c>
      <c r="C270" s="364"/>
      <c r="D270" s="364"/>
      <c r="E270" s="364"/>
      <c r="F270" s="364"/>
      <c r="G270" s="364"/>
      <c r="H270" s="364"/>
      <c r="I270" s="364"/>
      <c r="J270" s="364"/>
      <c r="K270" s="364"/>
      <c r="L270" s="364"/>
      <c r="M270" s="212"/>
    </row>
    <row r="271" spans="2:13" ht="15.75">
      <c r="B271" s="213" t="s">
        <v>223</v>
      </c>
      <c r="C271" s="217">
        <v>0</v>
      </c>
      <c r="D271" s="217">
        <v>1</v>
      </c>
      <c r="E271" s="217">
        <v>2</v>
      </c>
      <c r="F271" s="217">
        <v>3</v>
      </c>
      <c r="G271" s="217">
        <v>4</v>
      </c>
      <c r="H271" s="217">
        <v>5</v>
      </c>
      <c r="I271" s="217">
        <v>6</v>
      </c>
      <c r="J271" s="217">
        <v>7</v>
      </c>
      <c r="K271" s="217">
        <v>8</v>
      </c>
      <c r="L271" s="217">
        <v>9</v>
      </c>
      <c r="M271" s="218">
        <v>10</v>
      </c>
    </row>
    <row r="272" spans="2:13" ht="16.5" thickBot="1">
      <c r="B272" s="219" t="s">
        <v>224</v>
      </c>
      <c r="C272" s="220"/>
      <c r="D272" s="220">
        <v>1680000</v>
      </c>
      <c r="E272" s="220">
        <f>D272*1.05</f>
        <v>1764000</v>
      </c>
      <c r="F272" s="220">
        <f>E272*1.05</f>
        <v>1852200</v>
      </c>
      <c r="G272" s="220">
        <f>F272*1.05</f>
        <v>1944810</v>
      </c>
      <c r="H272" s="220">
        <v>2000000</v>
      </c>
      <c r="I272" s="220">
        <v>2000000</v>
      </c>
      <c r="J272" s="220">
        <v>2000000</v>
      </c>
      <c r="K272" s="220">
        <v>2000000</v>
      </c>
      <c r="L272" s="220">
        <v>2000000</v>
      </c>
      <c r="M272" s="221">
        <v>2000000</v>
      </c>
    </row>
    <row r="273" spans="2:13" ht="16.5" thickBot="1">
      <c r="B273" s="222" t="s">
        <v>195</v>
      </c>
      <c r="C273" s="223"/>
      <c r="D273" s="224">
        <f>C267*D272</f>
        <v>3091200</v>
      </c>
      <c r="E273" s="224">
        <f>C267*E272</f>
        <v>3245760</v>
      </c>
      <c r="F273" s="224">
        <f>C267*F272</f>
        <v>3408048</v>
      </c>
      <c r="G273" s="224">
        <f>C267*G272</f>
        <v>3578450.4000000004</v>
      </c>
      <c r="H273" s="224">
        <f>C267*H272</f>
        <v>3680000</v>
      </c>
      <c r="I273" s="224">
        <f>C267*I272</f>
        <v>3680000</v>
      </c>
      <c r="J273" s="224">
        <f>C267*J272</f>
        <v>3680000</v>
      </c>
      <c r="K273" s="224">
        <f>C267*K272</f>
        <v>3680000</v>
      </c>
      <c r="L273" s="224">
        <f>C267*L272</f>
        <v>3680000</v>
      </c>
      <c r="M273" s="225">
        <f>C267*M272</f>
        <v>3680000</v>
      </c>
    </row>
    <row r="274" spans="2:13" ht="15.75">
      <c r="B274" s="226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27"/>
    </row>
    <row r="275" spans="2:13" ht="16.5" thickBot="1">
      <c r="B275" s="228" t="s">
        <v>225</v>
      </c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27"/>
    </row>
    <row r="276" spans="2:13" ht="15.75">
      <c r="B276" s="229" t="s">
        <v>226</v>
      </c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1"/>
    </row>
    <row r="277" spans="2:13" ht="15.75">
      <c r="B277" s="232" t="s">
        <v>227</v>
      </c>
      <c r="C277" s="233"/>
      <c r="D277" s="234">
        <v>0.000339</v>
      </c>
      <c r="E277" s="234">
        <v>0.000339</v>
      </c>
      <c r="F277" s="234">
        <v>0.000339</v>
      </c>
      <c r="G277" s="234">
        <v>0.000339</v>
      </c>
      <c r="H277" s="234">
        <v>0.000339</v>
      </c>
      <c r="I277" s="234">
        <v>0.000339</v>
      </c>
      <c r="J277" s="234">
        <v>0.000339</v>
      </c>
      <c r="K277" s="234">
        <v>0.000339</v>
      </c>
      <c r="L277" s="234">
        <v>0.000339</v>
      </c>
      <c r="M277" s="235">
        <v>0.000339</v>
      </c>
    </row>
    <row r="278" spans="2:13" ht="15.75">
      <c r="B278" s="232" t="s">
        <v>228</v>
      </c>
      <c r="C278" s="233">
        <v>450</v>
      </c>
      <c r="D278" s="233">
        <f>C278*D272</f>
        <v>756000000</v>
      </c>
      <c r="E278" s="233">
        <f>C278*E272</f>
        <v>793800000</v>
      </c>
      <c r="F278" s="233">
        <f>C278*F272</f>
        <v>833490000</v>
      </c>
      <c r="G278" s="233">
        <f>C278*G272</f>
        <v>875164500</v>
      </c>
      <c r="H278" s="233">
        <f>C278*H272</f>
        <v>900000000</v>
      </c>
      <c r="I278" s="233">
        <f>C278*I272</f>
        <v>900000000</v>
      </c>
      <c r="J278" s="233">
        <f>C278*J272</f>
        <v>900000000</v>
      </c>
      <c r="K278" s="233">
        <f>C278*K272</f>
        <v>900000000</v>
      </c>
      <c r="L278" s="233">
        <f>C278*L272</f>
        <v>900000000</v>
      </c>
      <c r="M278" s="236">
        <f>C278*M272</f>
        <v>900000000</v>
      </c>
    </row>
    <row r="279" spans="2:13" ht="15.75">
      <c r="B279" s="232" t="s">
        <v>229</v>
      </c>
      <c r="C279" s="237">
        <v>0.015</v>
      </c>
      <c r="D279" s="238">
        <f>C279*D278*D277</f>
        <v>3844.26</v>
      </c>
      <c r="E279" s="238">
        <f>C279*E278*E277</f>
        <v>4036.473</v>
      </c>
      <c r="F279" s="238">
        <f>C279*F278*F277</f>
        <v>4238.29665</v>
      </c>
      <c r="G279" s="238">
        <f>C279*G278*G277</f>
        <v>4450.2114825</v>
      </c>
      <c r="H279" s="238">
        <f>C279*H278*H277</f>
        <v>4576.5</v>
      </c>
      <c r="I279" s="238">
        <f>C279*I278*I277</f>
        <v>4576.5</v>
      </c>
      <c r="J279" s="238">
        <f>C279*J278*J277</f>
        <v>4576.5</v>
      </c>
      <c r="K279" s="238">
        <f>C279*K278*K277</f>
        <v>4576.5</v>
      </c>
      <c r="L279" s="238">
        <f>C279*L278*L277</f>
        <v>4576.5</v>
      </c>
      <c r="M279" s="239">
        <f>C279*M278*M277</f>
        <v>4576.5</v>
      </c>
    </row>
    <row r="280" spans="2:13" ht="15.75">
      <c r="B280" s="232" t="s">
        <v>230</v>
      </c>
      <c r="C280" s="233"/>
      <c r="D280" s="238">
        <f>D277*D278+D279</f>
        <v>260128.26</v>
      </c>
      <c r="E280" s="238">
        <f>E277*E278+E279</f>
        <v>273134.673</v>
      </c>
      <c r="F280" s="238">
        <f>F277*F278+F279</f>
        <v>286791.40664999996</v>
      </c>
      <c r="G280" s="238">
        <f aca="true" t="shared" si="16" ref="G280:M280">G277*G278+G279</f>
        <v>301130.9769825</v>
      </c>
      <c r="H280" s="238">
        <f t="shared" si="16"/>
        <v>309676.5</v>
      </c>
      <c r="I280" s="238">
        <f t="shared" si="16"/>
        <v>309676.5</v>
      </c>
      <c r="J280" s="238">
        <f t="shared" si="16"/>
        <v>309676.5</v>
      </c>
      <c r="K280" s="238">
        <f t="shared" si="16"/>
        <v>309676.5</v>
      </c>
      <c r="L280" s="238">
        <f t="shared" si="16"/>
        <v>309676.5</v>
      </c>
      <c r="M280" s="239">
        <f t="shared" si="16"/>
        <v>309676.5</v>
      </c>
    </row>
    <row r="281" spans="2:13" ht="16.5" thickBot="1">
      <c r="B281" s="240" t="s">
        <v>231</v>
      </c>
      <c r="C281" s="241"/>
      <c r="D281" s="242">
        <f>D273-D280</f>
        <v>2831071.74</v>
      </c>
      <c r="E281" s="242">
        <f aca="true" t="shared" si="17" ref="E281:M281">E273-E280</f>
        <v>2972625.327</v>
      </c>
      <c r="F281" s="242">
        <f t="shared" si="17"/>
        <v>3121256.59335</v>
      </c>
      <c r="G281" s="242">
        <f t="shared" si="17"/>
        <v>3277319.4230175004</v>
      </c>
      <c r="H281" s="242">
        <f t="shared" si="17"/>
        <v>3370323.5</v>
      </c>
      <c r="I281" s="242">
        <f t="shared" si="17"/>
        <v>3370323.5</v>
      </c>
      <c r="J281" s="242">
        <f t="shared" si="17"/>
        <v>3370323.5</v>
      </c>
      <c r="K281" s="242">
        <f t="shared" si="17"/>
        <v>3370323.5</v>
      </c>
      <c r="L281" s="242">
        <f t="shared" si="17"/>
        <v>3370323.5</v>
      </c>
      <c r="M281" s="243">
        <f t="shared" si="17"/>
        <v>3370323.5</v>
      </c>
    </row>
    <row r="282" spans="2:13" ht="15.75">
      <c r="B282" s="226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27"/>
    </row>
    <row r="283" spans="2:13" ht="16.5" thickBot="1">
      <c r="B283" s="228" t="s">
        <v>232</v>
      </c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27"/>
    </row>
    <row r="284" spans="2:13" ht="15.75">
      <c r="B284" s="229" t="s">
        <v>210</v>
      </c>
      <c r="C284" s="230"/>
      <c r="D284" s="244">
        <v>1020</v>
      </c>
      <c r="E284" s="244">
        <v>1020</v>
      </c>
      <c r="F284" s="244">
        <v>1020</v>
      </c>
      <c r="G284" s="244">
        <v>1020</v>
      </c>
      <c r="H284" s="244">
        <v>1020</v>
      </c>
      <c r="I284" s="244">
        <v>1020</v>
      </c>
      <c r="J284" s="244">
        <v>1020</v>
      </c>
      <c r="K284" s="244">
        <v>1020</v>
      </c>
      <c r="L284" s="244">
        <v>1020</v>
      </c>
      <c r="M284" s="245">
        <v>1020</v>
      </c>
    </row>
    <row r="285" spans="2:13" ht="15.75">
      <c r="B285" s="232" t="s">
        <v>211</v>
      </c>
      <c r="C285" s="233"/>
      <c r="D285" s="238">
        <v>600</v>
      </c>
      <c r="E285" s="238">
        <v>600</v>
      </c>
      <c r="F285" s="238">
        <v>600</v>
      </c>
      <c r="G285" s="238">
        <v>600</v>
      </c>
      <c r="H285" s="238">
        <v>600</v>
      </c>
      <c r="I285" s="238">
        <v>600</v>
      </c>
      <c r="J285" s="238">
        <v>600</v>
      </c>
      <c r="K285" s="238">
        <v>600</v>
      </c>
      <c r="L285" s="238">
        <v>600</v>
      </c>
      <c r="M285" s="239">
        <v>600</v>
      </c>
    </row>
    <row r="286" spans="2:13" ht="15.75">
      <c r="B286" s="232" t="s">
        <v>163</v>
      </c>
      <c r="C286" s="233"/>
      <c r="D286" s="238">
        <v>540</v>
      </c>
      <c r="E286" s="238">
        <v>540</v>
      </c>
      <c r="F286" s="238">
        <v>540</v>
      </c>
      <c r="G286" s="238">
        <v>540</v>
      </c>
      <c r="H286" s="238">
        <v>540</v>
      </c>
      <c r="I286" s="238">
        <v>540</v>
      </c>
      <c r="J286" s="238">
        <v>540</v>
      </c>
      <c r="K286" s="238">
        <v>540</v>
      </c>
      <c r="L286" s="238">
        <v>540</v>
      </c>
      <c r="M286" s="239">
        <v>540</v>
      </c>
    </row>
    <row r="287" spans="2:13" ht="15.75">
      <c r="B287" s="232" t="s">
        <v>162</v>
      </c>
      <c r="C287" s="233"/>
      <c r="D287" s="238">
        <v>1200</v>
      </c>
      <c r="E287" s="238">
        <v>1200</v>
      </c>
      <c r="F287" s="238">
        <v>1200</v>
      </c>
      <c r="G287" s="238">
        <v>1200</v>
      </c>
      <c r="H287" s="238">
        <v>1200</v>
      </c>
      <c r="I287" s="238">
        <v>1200</v>
      </c>
      <c r="J287" s="238">
        <v>1200</v>
      </c>
      <c r="K287" s="238">
        <v>1200</v>
      </c>
      <c r="L287" s="238">
        <v>1200</v>
      </c>
      <c r="M287" s="239">
        <v>1200</v>
      </c>
    </row>
    <row r="288" spans="2:13" ht="15.75">
      <c r="B288" s="232" t="s">
        <v>233</v>
      </c>
      <c r="C288" s="233"/>
      <c r="D288" s="238">
        <v>61920</v>
      </c>
      <c r="E288" s="238">
        <v>61920</v>
      </c>
      <c r="F288" s="238">
        <v>61920</v>
      </c>
      <c r="G288" s="238">
        <v>61920</v>
      </c>
      <c r="H288" s="238">
        <v>61920</v>
      </c>
      <c r="I288" s="238">
        <v>61920</v>
      </c>
      <c r="J288" s="238">
        <v>61920</v>
      </c>
      <c r="K288" s="238">
        <v>61920</v>
      </c>
      <c r="L288" s="238">
        <v>61920</v>
      </c>
      <c r="M288" s="239">
        <v>61920</v>
      </c>
    </row>
    <row r="289" spans="2:13" ht="15.75">
      <c r="B289" s="232" t="s">
        <v>234</v>
      </c>
      <c r="C289" s="233"/>
      <c r="D289" s="238">
        <v>1200</v>
      </c>
      <c r="E289" s="238">
        <v>1200</v>
      </c>
      <c r="F289" s="238">
        <v>1200</v>
      </c>
      <c r="G289" s="238">
        <v>1200</v>
      </c>
      <c r="H289" s="238">
        <v>1200</v>
      </c>
      <c r="I289" s="238">
        <v>1200</v>
      </c>
      <c r="J289" s="238">
        <v>1200</v>
      </c>
      <c r="K289" s="238">
        <v>1200</v>
      </c>
      <c r="L289" s="238">
        <v>1200</v>
      </c>
      <c r="M289" s="239">
        <v>1200</v>
      </c>
    </row>
    <row r="290" spans="2:13" ht="15.75">
      <c r="B290" s="232" t="s">
        <v>235</v>
      </c>
      <c r="C290" s="233"/>
      <c r="D290" s="238">
        <v>147600</v>
      </c>
      <c r="E290" s="238">
        <v>147600</v>
      </c>
      <c r="F290" s="238">
        <v>147600</v>
      </c>
      <c r="G290" s="238">
        <v>147600</v>
      </c>
      <c r="H290" s="238">
        <v>147600</v>
      </c>
      <c r="I290" s="238">
        <v>147600</v>
      </c>
      <c r="J290" s="238">
        <v>147600</v>
      </c>
      <c r="K290" s="238">
        <v>147600</v>
      </c>
      <c r="L290" s="238">
        <v>147600</v>
      </c>
      <c r="M290" s="239">
        <v>147600</v>
      </c>
    </row>
    <row r="291" spans="2:13" ht="16.5" thickBot="1">
      <c r="B291" s="240" t="s">
        <v>246</v>
      </c>
      <c r="C291" s="241"/>
      <c r="D291" s="246">
        <f>D284+D285+D286+D287+D288+D289+D290</f>
        <v>214080</v>
      </c>
      <c r="E291" s="246">
        <f aca="true" t="shared" si="18" ref="E291:M291">E284+E285+E286+E287+E288+E289+E290</f>
        <v>214080</v>
      </c>
      <c r="F291" s="246">
        <f t="shared" si="18"/>
        <v>214080</v>
      </c>
      <c r="G291" s="246">
        <f t="shared" si="18"/>
        <v>214080</v>
      </c>
      <c r="H291" s="246">
        <f t="shared" si="18"/>
        <v>214080</v>
      </c>
      <c r="I291" s="246">
        <f t="shared" si="18"/>
        <v>214080</v>
      </c>
      <c r="J291" s="246">
        <f t="shared" si="18"/>
        <v>214080</v>
      </c>
      <c r="K291" s="246">
        <f t="shared" si="18"/>
        <v>214080</v>
      </c>
      <c r="L291" s="246">
        <f t="shared" si="18"/>
        <v>214080</v>
      </c>
      <c r="M291" s="247">
        <f t="shared" si="18"/>
        <v>214080</v>
      </c>
    </row>
    <row r="292" spans="2:13" ht="16.5" thickBot="1">
      <c r="B292" s="248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50"/>
    </row>
    <row r="293" spans="2:13" ht="16.5" thickBot="1">
      <c r="B293" s="251" t="s">
        <v>236</v>
      </c>
      <c r="C293" s="252"/>
      <c r="D293" s="253">
        <f>D281-D291</f>
        <v>2616991.74</v>
      </c>
      <c r="E293" s="253">
        <f aca="true" t="shared" si="19" ref="E293:M293">E281-E291</f>
        <v>2758545.327</v>
      </c>
      <c r="F293" s="253">
        <f t="shared" si="19"/>
        <v>2907176.59335</v>
      </c>
      <c r="G293" s="253">
        <f t="shared" si="19"/>
        <v>3063239.4230175004</v>
      </c>
      <c r="H293" s="253">
        <f t="shared" si="19"/>
        <v>3156243.5</v>
      </c>
      <c r="I293" s="253">
        <f t="shared" si="19"/>
        <v>3156243.5</v>
      </c>
      <c r="J293" s="253">
        <f t="shared" si="19"/>
        <v>3156243.5</v>
      </c>
      <c r="K293" s="253">
        <f t="shared" si="19"/>
        <v>3156243.5</v>
      </c>
      <c r="L293" s="253">
        <f t="shared" si="19"/>
        <v>3156243.5</v>
      </c>
      <c r="M293" s="254">
        <f t="shared" si="19"/>
        <v>3156243.5</v>
      </c>
    </row>
    <row r="294" spans="2:13" ht="15.75"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</row>
    <row r="295" spans="2:13" ht="16.5" thickBot="1">
      <c r="B295" s="255" t="s">
        <v>237</v>
      </c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</row>
    <row r="296" spans="2:13" ht="15.75">
      <c r="B296" s="229" t="s">
        <v>238</v>
      </c>
      <c r="C296" s="230"/>
      <c r="D296" s="256">
        <v>7022</v>
      </c>
      <c r="E296" s="256">
        <v>7022</v>
      </c>
      <c r="F296" s="256">
        <v>7022</v>
      </c>
      <c r="G296" s="256">
        <v>7022</v>
      </c>
      <c r="H296" s="256">
        <v>7022</v>
      </c>
      <c r="I296" s="256">
        <v>7022</v>
      </c>
      <c r="J296" s="256">
        <v>7022</v>
      </c>
      <c r="K296" s="256">
        <v>7022</v>
      </c>
      <c r="L296" s="256">
        <v>7022</v>
      </c>
      <c r="M296" s="257">
        <v>7022</v>
      </c>
    </row>
    <row r="297" spans="2:13" ht="15.75">
      <c r="B297" s="232" t="s">
        <v>175</v>
      </c>
      <c r="C297" s="233"/>
      <c r="D297" s="258">
        <v>1539</v>
      </c>
      <c r="E297" s="258">
        <v>1539</v>
      </c>
      <c r="F297" s="258">
        <v>1539</v>
      </c>
      <c r="G297" s="258">
        <v>1539</v>
      </c>
      <c r="H297" s="258">
        <v>1539</v>
      </c>
      <c r="I297" s="258">
        <v>1539</v>
      </c>
      <c r="J297" s="258">
        <v>1539</v>
      </c>
      <c r="K297" s="258">
        <v>1539</v>
      </c>
      <c r="L297" s="258">
        <v>1539</v>
      </c>
      <c r="M297" s="259">
        <v>1539</v>
      </c>
    </row>
    <row r="298" spans="2:13" ht="15.75">
      <c r="B298" s="232" t="s">
        <v>176</v>
      </c>
      <c r="C298" s="233"/>
      <c r="D298" s="258">
        <v>4400</v>
      </c>
      <c r="E298" s="258">
        <v>4400</v>
      </c>
      <c r="F298" s="258">
        <v>4400</v>
      </c>
      <c r="G298" s="258">
        <v>4400</v>
      </c>
      <c r="H298" s="258">
        <v>4400</v>
      </c>
      <c r="I298" s="258">
        <v>4400</v>
      </c>
      <c r="J298" s="258">
        <v>4400</v>
      </c>
      <c r="K298" s="258">
        <v>4400</v>
      </c>
      <c r="L298" s="258">
        <v>4400</v>
      </c>
      <c r="M298" s="259">
        <v>4400</v>
      </c>
    </row>
    <row r="299" spans="2:13" ht="15.75">
      <c r="B299" s="232" t="s">
        <v>239</v>
      </c>
      <c r="C299" s="233"/>
      <c r="D299" s="258">
        <v>933.33</v>
      </c>
      <c r="E299" s="258">
        <v>933.33</v>
      </c>
      <c r="F299" s="258">
        <v>933.33</v>
      </c>
      <c r="G299" s="258">
        <v>933.33</v>
      </c>
      <c r="H299" s="258">
        <v>933.33</v>
      </c>
      <c r="I299" s="258">
        <v>933.33</v>
      </c>
      <c r="J299" s="258">
        <v>933.33</v>
      </c>
      <c r="K299" s="258">
        <v>933.33</v>
      </c>
      <c r="L299" s="258">
        <v>933.33</v>
      </c>
      <c r="M299" s="259">
        <v>933.33</v>
      </c>
    </row>
    <row r="300" spans="2:13" ht="16.5" thickBot="1">
      <c r="B300" s="219" t="s">
        <v>240</v>
      </c>
      <c r="C300" s="220"/>
      <c r="D300" s="260">
        <v>1904</v>
      </c>
      <c r="E300" s="260">
        <v>1904</v>
      </c>
      <c r="F300" s="260">
        <v>1904</v>
      </c>
      <c r="G300" s="260">
        <v>1904</v>
      </c>
      <c r="H300" s="260">
        <v>1904</v>
      </c>
      <c r="I300" s="260">
        <v>1904</v>
      </c>
      <c r="J300" s="260">
        <v>1904</v>
      </c>
      <c r="K300" s="260">
        <v>1904</v>
      </c>
      <c r="L300" s="260">
        <v>1904</v>
      </c>
      <c r="M300" s="261">
        <v>1904</v>
      </c>
    </row>
    <row r="301" spans="1:13" ht="16.5" thickBot="1">
      <c r="A301" s="162"/>
      <c r="B301" s="226"/>
      <c r="C301" s="21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3"/>
    </row>
    <row r="302" spans="2:13" ht="16.5" thickBot="1">
      <c r="B302" s="264" t="s">
        <v>241</v>
      </c>
      <c r="C302" s="265"/>
      <c r="D302" s="266">
        <v>2191.9872</v>
      </c>
      <c r="E302" s="266">
        <v>1981.2020021082105</v>
      </c>
      <c r="F302" s="266">
        <v>1768.5899991680255</v>
      </c>
      <c r="G302" s="266">
        <v>1554.1353588690256</v>
      </c>
      <c r="H302" s="266">
        <v>1337.8221116874342</v>
      </c>
      <c r="I302" s="266">
        <v>1119.6341496969358</v>
      </c>
      <c r="J302" s="266">
        <v>899.5552253691861</v>
      </c>
      <c r="K302" s="266">
        <v>677.5689503639296</v>
      </c>
      <c r="L302" s="266">
        <v>453.6587943086274</v>
      </c>
      <c r="M302" s="267">
        <v>227.80808356751263</v>
      </c>
    </row>
    <row r="303" spans="2:13" ht="15.75">
      <c r="B303" s="226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27"/>
    </row>
    <row r="304" spans="2:13" ht="16.5" thickBot="1">
      <c r="B304" s="228" t="s">
        <v>242</v>
      </c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27"/>
    </row>
    <row r="305" spans="2:13" ht="16.5" thickBot="1">
      <c r="B305" s="264" t="s">
        <v>243</v>
      </c>
      <c r="C305" s="265"/>
      <c r="D305" s="265">
        <v>0</v>
      </c>
      <c r="E305" s="265">
        <v>0</v>
      </c>
      <c r="F305" s="265">
        <v>1550</v>
      </c>
      <c r="G305" s="265">
        <v>0</v>
      </c>
      <c r="H305" s="265">
        <v>930</v>
      </c>
      <c r="I305" s="265">
        <v>1550</v>
      </c>
      <c r="J305" s="265">
        <v>0</v>
      </c>
      <c r="K305" s="265">
        <v>0</v>
      </c>
      <c r="L305" s="265">
        <v>1550</v>
      </c>
      <c r="M305" s="268">
        <v>63930</v>
      </c>
    </row>
    <row r="306" spans="2:13" ht="16.5" thickBot="1">
      <c r="B306" s="226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27"/>
    </row>
    <row r="307" spans="2:13" ht="15.75">
      <c r="B307" s="269" t="s">
        <v>244</v>
      </c>
      <c r="C307" s="270"/>
      <c r="D307" s="271">
        <f>D291-D296-D297-D298-D299-D300-D302</f>
        <v>196089.6828</v>
      </c>
      <c r="E307" s="271">
        <f aca="true" t="shared" si="20" ref="E307:M307">E291-E296-E297-E298-E299-E300-E302</f>
        <v>196300.4679978918</v>
      </c>
      <c r="F307" s="271">
        <f t="shared" si="20"/>
        <v>196513.08000083198</v>
      </c>
      <c r="G307" s="271">
        <f t="shared" si="20"/>
        <v>196727.53464113097</v>
      </c>
      <c r="H307" s="271">
        <f t="shared" si="20"/>
        <v>196943.84788831256</v>
      </c>
      <c r="I307" s="271">
        <f t="shared" si="20"/>
        <v>197162.03585030307</v>
      </c>
      <c r="J307" s="271">
        <f t="shared" si="20"/>
        <v>197382.1147746308</v>
      </c>
      <c r="K307" s="271">
        <f t="shared" si="20"/>
        <v>197604.10104963608</v>
      </c>
      <c r="L307" s="271">
        <f t="shared" si="20"/>
        <v>197828.01120569138</v>
      </c>
      <c r="M307" s="272">
        <f t="shared" si="20"/>
        <v>198053.8619164325</v>
      </c>
    </row>
    <row r="308" spans="2:13" ht="15.75">
      <c r="B308" s="232" t="s">
        <v>245</v>
      </c>
      <c r="C308" s="273">
        <v>0.15</v>
      </c>
      <c r="D308" s="258">
        <f>C308*D307</f>
        <v>29413.45242</v>
      </c>
      <c r="E308" s="258">
        <f>C308*E307</f>
        <v>29445.07019968377</v>
      </c>
      <c r="F308" s="258">
        <f>C308*F307</f>
        <v>29476.962000124797</v>
      </c>
      <c r="G308" s="258">
        <f>C308*G307</f>
        <v>29509.130196169644</v>
      </c>
      <c r="H308" s="258">
        <f>C308*H307</f>
        <v>29541.57718324688</v>
      </c>
      <c r="I308" s="258">
        <f>C308*I307</f>
        <v>29574.30537754546</v>
      </c>
      <c r="J308" s="258">
        <f>C308*J307</f>
        <v>29607.31721619462</v>
      </c>
      <c r="K308" s="258">
        <f>C308*K307</f>
        <v>29640.615157445412</v>
      </c>
      <c r="L308" s="258">
        <f>C308*L307</f>
        <v>29674.201680853705</v>
      </c>
      <c r="M308" s="259">
        <f>C308*M307</f>
        <v>29708.079287464876</v>
      </c>
    </row>
    <row r="309" spans="2:13" ht="16.5" thickBot="1">
      <c r="B309" s="219" t="s">
        <v>51</v>
      </c>
      <c r="C309" s="274">
        <v>0.25</v>
      </c>
      <c r="D309" s="260">
        <f>C309*D307</f>
        <v>49022.4207</v>
      </c>
      <c r="E309" s="260">
        <f>C309*E307</f>
        <v>49075.11699947295</v>
      </c>
      <c r="F309" s="260">
        <f>C309*F307</f>
        <v>49128.270000207995</v>
      </c>
      <c r="G309" s="260">
        <f>C309*G307</f>
        <v>49181.88366028274</v>
      </c>
      <c r="H309" s="260">
        <f>C309*H307</f>
        <v>49235.96197207814</v>
      </c>
      <c r="I309" s="260">
        <f>C309*I307</f>
        <v>49290.50896257577</v>
      </c>
      <c r="J309" s="260">
        <f>C309*J307</f>
        <v>49345.5286936577</v>
      </c>
      <c r="K309" s="260">
        <f>C309*K307</f>
        <v>49401.02526240902</v>
      </c>
      <c r="L309" s="260">
        <f>C309*L307</f>
        <v>49457.002801422845</v>
      </c>
      <c r="M309" s="261">
        <f>C309*M307</f>
        <v>49513.46547910813</v>
      </c>
    </row>
    <row r="310" spans="2:13" ht="16.5" thickBot="1">
      <c r="B310" s="226"/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27"/>
    </row>
    <row r="311" spans="2:13" ht="16.5" thickBot="1">
      <c r="B311" s="275" t="s">
        <v>254</v>
      </c>
      <c r="C311" s="276"/>
      <c r="D311" s="277">
        <f>D307-D308-D309</f>
        <v>117653.80968000002</v>
      </c>
      <c r="E311" s="277">
        <f aca="true" t="shared" si="21" ref="E311:M311">E307-E308-E309</f>
        <v>117780.28079873507</v>
      </c>
      <c r="F311" s="277">
        <f t="shared" si="21"/>
        <v>117907.84800049919</v>
      </c>
      <c r="G311" s="277">
        <f t="shared" si="21"/>
        <v>118036.5207846786</v>
      </c>
      <c r="H311" s="277">
        <f t="shared" si="21"/>
        <v>118166.30873298756</v>
      </c>
      <c r="I311" s="277">
        <f t="shared" si="21"/>
        <v>118297.22151018183</v>
      </c>
      <c r="J311" s="277">
        <f t="shared" si="21"/>
        <v>118429.2688647785</v>
      </c>
      <c r="K311" s="277">
        <f t="shared" si="21"/>
        <v>118562.46062978164</v>
      </c>
      <c r="L311" s="277">
        <f t="shared" si="21"/>
        <v>118696.80672341483</v>
      </c>
      <c r="M311" s="278">
        <f t="shared" si="21"/>
        <v>118832.3171498595</v>
      </c>
    </row>
    <row r="312" spans="2:13" ht="15.75">
      <c r="B312" s="279" t="s">
        <v>237</v>
      </c>
      <c r="C312" s="280"/>
      <c r="D312" s="281">
        <v>15798</v>
      </c>
      <c r="E312" s="281">
        <v>15798</v>
      </c>
      <c r="F312" s="281">
        <v>15798</v>
      </c>
      <c r="G312" s="281">
        <v>15798</v>
      </c>
      <c r="H312" s="281">
        <v>15798</v>
      </c>
      <c r="I312" s="281">
        <v>15798</v>
      </c>
      <c r="J312" s="281">
        <v>15798</v>
      </c>
      <c r="K312" s="281">
        <v>15798</v>
      </c>
      <c r="L312" s="281">
        <v>15798</v>
      </c>
      <c r="M312" s="282">
        <v>15798</v>
      </c>
    </row>
    <row r="313" spans="2:13" ht="15.75">
      <c r="B313" s="232" t="s">
        <v>9</v>
      </c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6"/>
    </row>
    <row r="314" spans="2:13" ht="15.75">
      <c r="B314" s="283" t="s">
        <v>258</v>
      </c>
      <c r="C314" s="284">
        <v>-2000</v>
      </c>
      <c r="D314" s="233"/>
      <c r="E314" s="233"/>
      <c r="F314" s="233"/>
      <c r="G314" s="233"/>
      <c r="H314" s="233"/>
      <c r="I314" s="233"/>
      <c r="J314" s="233"/>
      <c r="K314" s="233"/>
      <c r="L314" s="233"/>
      <c r="M314" s="236"/>
    </row>
    <row r="315" spans="2:13" ht="15.75">
      <c r="B315" s="283" t="s">
        <v>257</v>
      </c>
      <c r="C315" s="284">
        <v>-369100</v>
      </c>
      <c r="D315" s="233"/>
      <c r="E315" s="233"/>
      <c r="F315" s="233"/>
      <c r="G315" s="233"/>
      <c r="H315" s="233"/>
      <c r="I315" s="233"/>
      <c r="J315" s="233"/>
      <c r="K315" s="233"/>
      <c r="L315" s="233"/>
      <c r="M315" s="236"/>
    </row>
    <row r="316" spans="2:13" ht="15.75">
      <c r="B316" s="283" t="s">
        <v>255</v>
      </c>
      <c r="C316" s="284">
        <v>-37390</v>
      </c>
      <c r="D316" s="233"/>
      <c r="E316" s="233"/>
      <c r="F316" s="233"/>
      <c r="G316" s="233"/>
      <c r="H316" s="233"/>
      <c r="I316" s="233"/>
      <c r="J316" s="233"/>
      <c r="K316" s="233"/>
      <c r="L316" s="233"/>
      <c r="M316" s="236"/>
    </row>
    <row r="317" spans="2:13" ht="15.75">
      <c r="B317" s="283" t="s">
        <v>256</v>
      </c>
      <c r="C317" s="284">
        <v>-15046</v>
      </c>
      <c r="D317" s="233"/>
      <c r="E317" s="233"/>
      <c r="F317" s="233"/>
      <c r="G317" s="233"/>
      <c r="H317" s="233"/>
      <c r="I317" s="233"/>
      <c r="J317" s="233"/>
      <c r="K317" s="233"/>
      <c r="L317" s="233"/>
      <c r="M317" s="236"/>
    </row>
    <row r="318" spans="2:13" ht="15.75">
      <c r="B318" s="285" t="s">
        <v>11</v>
      </c>
      <c r="C318" s="286">
        <v>252921.6</v>
      </c>
      <c r="D318" s="233"/>
      <c r="E318" s="233"/>
      <c r="F318" s="233"/>
      <c r="G318" s="233"/>
      <c r="H318" s="233"/>
      <c r="I318" s="233"/>
      <c r="J318" s="233"/>
      <c r="K318" s="233"/>
      <c r="L318" s="233"/>
      <c r="M318" s="236"/>
    </row>
    <row r="319" spans="2:13" ht="15.75">
      <c r="B319" s="285" t="s">
        <v>26</v>
      </c>
      <c r="C319" s="286"/>
      <c r="D319" s="258">
        <v>-24321.3689875142</v>
      </c>
      <c r="E319" s="258">
        <v>-24532.154185406</v>
      </c>
      <c r="F319" s="258">
        <v>-24744.7661883462</v>
      </c>
      <c r="G319" s="258">
        <v>-24959.2208286452</v>
      </c>
      <c r="H319" s="258">
        <v>-25175.5340758267</v>
      </c>
      <c r="I319" s="258">
        <v>-25393.7220378172</v>
      </c>
      <c r="J319" s="258">
        <v>-25613.800962145</v>
      </c>
      <c r="K319" s="258">
        <v>-25835.7872371503</v>
      </c>
      <c r="L319" s="258">
        <v>-26059.6973932056</v>
      </c>
      <c r="M319" s="258">
        <v>-26285.5481039467</v>
      </c>
    </row>
    <row r="320" spans="2:13" ht="15.75">
      <c r="B320" s="285" t="s">
        <v>259</v>
      </c>
      <c r="C320" s="284">
        <v>-3330</v>
      </c>
      <c r="D320" s="233"/>
      <c r="E320" s="233"/>
      <c r="F320" s="233"/>
      <c r="G320" s="233"/>
      <c r="H320" s="233"/>
      <c r="I320" s="233"/>
      <c r="J320" s="233"/>
      <c r="K320" s="233"/>
      <c r="L320" s="233"/>
      <c r="M320" s="287">
        <v>3330</v>
      </c>
    </row>
    <row r="321" spans="2:13" ht="16.5" thickBot="1">
      <c r="B321" s="288" t="s">
        <v>260</v>
      </c>
      <c r="C321" s="289"/>
      <c r="D321" s="290"/>
      <c r="E321" s="290"/>
      <c r="F321" s="290"/>
      <c r="G321" s="290"/>
      <c r="H321" s="290"/>
      <c r="I321" s="290"/>
      <c r="J321" s="290"/>
      <c r="K321" s="290"/>
      <c r="L321" s="290"/>
      <c r="M321" s="291">
        <v>282747</v>
      </c>
    </row>
    <row r="322" spans="2:13" ht="16.5" thickBot="1">
      <c r="B322" s="292" t="s">
        <v>222</v>
      </c>
      <c r="C322" s="293">
        <f>C314+C315+C316+C317+C318+C320</f>
        <v>-173944.4</v>
      </c>
      <c r="D322" s="266">
        <f aca="true" t="shared" si="22" ref="D322:L322">D311+D312+D319</f>
        <v>109130.4406924858</v>
      </c>
      <c r="E322" s="266">
        <f t="shared" si="22"/>
        <v>109046.12661332906</v>
      </c>
      <c r="F322" s="266">
        <f t="shared" si="22"/>
        <v>108961.08181215299</v>
      </c>
      <c r="G322" s="266">
        <f t="shared" si="22"/>
        <v>108875.29995603341</v>
      </c>
      <c r="H322" s="266">
        <f t="shared" si="22"/>
        <v>108788.77465716086</v>
      </c>
      <c r="I322" s="266">
        <f t="shared" si="22"/>
        <v>108701.49947236464</v>
      </c>
      <c r="J322" s="266">
        <f t="shared" si="22"/>
        <v>108613.4679026335</v>
      </c>
      <c r="K322" s="266">
        <f t="shared" si="22"/>
        <v>108524.67339263135</v>
      </c>
      <c r="L322" s="266">
        <f t="shared" si="22"/>
        <v>108435.10933020923</v>
      </c>
      <c r="M322" s="267">
        <f>M311+M312+M319+M320</f>
        <v>111674.7690459128</v>
      </c>
    </row>
    <row r="323" spans="2:13" ht="15.75"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</row>
    <row r="324" spans="2:13" ht="15.75"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</row>
    <row r="325" spans="2:13" ht="16.5" thickBot="1"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</row>
    <row r="326" spans="2:13" ht="15.75">
      <c r="B326" s="294" t="s">
        <v>261</v>
      </c>
      <c r="C326" s="315">
        <f>NPV(C67,D322:M322)+C322</f>
        <v>500560.5654641035</v>
      </c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</row>
    <row r="327" spans="2:13" ht="16.5" thickBot="1">
      <c r="B327" s="295" t="s">
        <v>262</v>
      </c>
      <c r="C327" s="216">
        <f>IRR(C322:M322)</f>
        <v>0.6217524969079363</v>
      </c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</row>
    <row r="328" spans="2:13" ht="15.75">
      <c r="B328" s="212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</row>
    <row r="329" spans="2:13" ht="15.75"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2"/>
      <c r="M329" s="212"/>
    </row>
    <row r="330" spans="2:13" ht="15.75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</row>
    <row r="331" spans="2:13" ht="16.5" thickBot="1">
      <c r="B331" s="374" t="s">
        <v>266</v>
      </c>
      <c r="C331" s="374"/>
      <c r="D331" s="374"/>
      <c r="E331" s="374"/>
      <c r="F331" s="374"/>
      <c r="G331" s="374"/>
      <c r="H331" s="374"/>
      <c r="I331" s="374"/>
      <c r="J331" s="374"/>
      <c r="K331" s="374"/>
      <c r="L331" s="374"/>
      <c r="M331" s="374"/>
    </row>
    <row r="332" spans="2:13" ht="15.75">
      <c r="B332" s="297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9"/>
    </row>
    <row r="333" spans="2:13" ht="16.5" thickBot="1">
      <c r="B333" s="226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27"/>
    </row>
    <row r="334" spans="2:13" ht="15.75">
      <c r="B334" s="229" t="s">
        <v>71</v>
      </c>
      <c r="C334" s="214">
        <v>1.84</v>
      </c>
      <c r="D334" s="212"/>
      <c r="E334" s="212"/>
      <c r="F334" s="212"/>
      <c r="G334" s="212"/>
      <c r="H334" s="212"/>
      <c r="I334" s="212"/>
      <c r="J334" s="212"/>
      <c r="K334" s="212"/>
      <c r="L334" s="212"/>
      <c r="M334" s="227"/>
    </row>
    <row r="335" spans="2:13" ht="16.5" thickBot="1">
      <c r="B335" s="219" t="s">
        <v>221</v>
      </c>
      <c r="C335" s="216">
        <v>0.05</v>
      </c>
      <c r="D335" s="212"/>
      <c r="E335" s="212"/>
      <c r="F335" s="212"/>
      <c r="G335" s="212"/>
      <c r="H335" s="212"/>
      <c r="I335" s="212"/>
      <c r="J335" s="212"/>
      <c r="K335" s="212"/>
      <c r="L335" s="212"/>
      <c r="M335" s="227"/>
    </row>
    <row r="336" spans="2:13" ht="15.75">
      <c r="B336" s="226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27"/>
    </row>
    <row r="337" spans="2:13" ht="16.5" thickBot="1">
      <c r="B337" s="375" t="s">
        <v>222</v>
      </c>
      <c r="C337" s="364"/>
      <c r="D337" s="364"/>
      <c r="E337" s="364"/>
      <c r="F337" s="364"/>
      <c r="G337" s="364"/>
      <c r="H337" s="364"/>
      <c r="I337" s="364"/>
      <c r="J337" s="364"/>
      <c r="K337" s="364"/>
      <c r="L337" s="364"/>
      <c r="M337" s="227"/>
    </row>
    <row r="338" spans="2:13" ht="15.75">
      <c r="B338" s="229" t="s">
        <v>223</v>
      </c>
      <c r="C338" s="230">
        <v>0</v>
      </c>
      <c r="D338" s="230">
        <v>1</v>
      </c>
      <c r="E338" s="230">
        <v>2</v>
      </c>
      <c r="F338" s="230">
        <v>3</v>
      </c>
      <c r="G338" s="230">
        <v>4</v>
      </c>
      <c r="H338" s="230">
        <v>5</v>
      </c>
      <c r="I338" s="230">
        <v>6</v>
      </c>
      <c r="J338" s="230">
        <v>7</v>
      </c>
      <c r="K338" s="230">
        <v>8</v>
      </c>
      <c r="L338" s="230">
        <v>9</v>
      </c>
      <c r="M338" s="231">
        <v>10</v>
      </c>
    </row>
    <row r="339" spans="2:13" ht="15.75">
      <c r="B339" s="232" t="s">
        <v>224</v>
      </c>
      <c r="C339" s="233"/>
      <c r="D339" s="233">
        <v>1680000</v>
      </c>
      <c r="E339" s="233">
        <f>D339*1.05</f>
        <v>1764000</v>
      </c>
      <c r="F339" s="233">
        <f>E339*1.05</f>
        <v>1852200</v>
      </c>
      <c r="G339" s="233">
        <f>F339*1.05</f>
        <v>1944810</v>
      </c>
      <c r="H339" s="233">
        <v>2000000</v>
      </c>
      <c r="I339" s="233">
        <v>2000000</v>
      </c>
      <c r="J339" s="233">
        <v>2000000</v>
      </c>
      <c r="K339" s="233">
        <v>2000000</v>
      </c>
      <c r="L339" s="233">
        <v>2000000</v>
      </c>
      <c r="M339" s="236">
        <v>2000000</v>
      </c>
    </row>
    <row r="340" spans="2:13" ht="16.5" thickBot="1">
      <c r="B340" s="300" t="s">
        <v>195</v>
      </c>
      <c r="C340" s="220"/>
      <c r="D340" s="301">
        <f>C334*D339</f>
        <v>3091200</v>
      </c>
      <c r="E340" s="301">
        <f>C334*E339</f>
        <v>3245760</v>
      </c>
      <c r="F340" s="301">
        <f>C334*F339</f>
        <v>3408048</v>
      </c>
      <c r="G340" s="301">
        <f>C334*G339</f>
        <v>3578450.4000000004</v>
      </c>
      <c r="H340" s="301">
        <f>C334*H339</f>
        <v>3680000</v>
      </c>
      <c r="I340" s="301">
        <f>C334*I339</f>
        <v>3680000</v>
      </c>
      <c r="J340" s="301">
        <f>C334*J339</f>
        <v>3680000</v>
      </c>
      <c r="K340" s="301">
        <f>C334*K339</f>
        <v>3680000</v>
      </c>
      <c r="L340" s="301">
        <f>C334*L339</f>
        <v>3680000</v>
      </c>
      <c r="M340" s="302">
        <f>C334*M339</f>
        <v>3680000</v>
      </c>
    </row>
    <row r="341" spans="2:13" ht="15.75">
      <c r="B341" s="226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27"/>
    </row>
    <row r="342" spans="2:13" ht="16.5" thickBot="1">
      <c r="B342" s="228" t="s">
        <v>225</v>
      </c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27"/>
    </row>
    <row r="343" spans="2:13" ht="15.75">
      <c r="B343" s="229" t="s">
        <v>226</v>
      </c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1"/>
    </row>
    <row r="344" spans="2:13" ht="15.75">
      <c r="B344" s="232" t="s">
        <v>227</v>
      </c>
      <c r="C344" s="233"/>
      <c r="D344" s="234">
        <v>0.000339</v>
      </c>
      <c r="E344" s="234">
        <v>0.000339</v>
      </c>
      <c r="F344" s="234">
        <v>0.000339</v>
      </c>
      <c r="G344" s="234">
        <v>0.000339</v>
      </c>
      <c r="H344" s="234">
        <v>0.000339</v>
      </c>
      <c r="I344" s="234">
        <v>0.000339</v>
      </c>
      <c r="J344" s="234">
        <v>0.000339</v>
      </c>
      <c r="K344" s="234">
        <v>0.000339</v>
      </c>
      <c r="L344" s="234">
        <v>0.000339</v>
      </c>
      <c r="M344" s="235">
        <v>0.000339</v>
      </c>
    </row>
    <row r="345" spans="2:13" ht="15.75">
      <c r="B345" s="232" t="s">
        <v>228</v>
      </c>
      <c r="C345" s="233">
        <v>450</v>
      </c>
      <c r="D345" s="233">
        <f>C345*D339</f>
        <v>756000000</v>
      </c>
      <c r="E345" s="233">
        <f>C345*E339</f>
        <v>793800000</v>
      </c>
      <c r="F345" s="233">
        <f>C345*F339</f>
        <v>833490000</v>
      </c>
      <c r="G345" s="233">
        <f>C345*G339</f>
        <v>875164500</v>
      </c>
      <c r="H345" s="233">
        <f>C345*H339</f>
        <v>900000000</v>
      </c>
      <c r="I345" s="233">
        <f>C345*I339</f>
        <v>900000000</v>
      </c>
      <c r="J345" s="233">
        <f>C345*J339</f>
        <v>900000000</v>
      </c>
      <c r="K345" s="233">
        <f>C345*K339</f>
        <v>900000000</v>
      </c>
      <c r="L345" s="233">
        <f>C345*L339</f>
        <v>900000000</v>
      </c>
      <c r="M345" s="236">
        <f>C345*M339</f>
        <v>900000000</v>
      </c>
    </row>
    <row r="346" spans="2:13" ht="15.75">
      <c r="B346" s="232" t="s">
        <v>229</v>
      </c>
      <c r="C346" s="237">
        <v>0.015</v>
      </c>
      <c r="D346" s="238">
        <f>C346*D345*D344</f>
        <v>3844.26</v>
      </c>
      <c r="E346" s="238">
        <f>C346*E345*E344</f>
        <v>4036.473</v>
      </c>
      <c r="F346" s="238">
        <f>C346*F345*F344</f>
        <v>4238.29665</v>
      </c>
      <c r="G346" s="238">
        <f>C346*G345*G344</f>
        <v>4450.2114825</v>
      </c>
      <c r="H346" s="238">
        <f>C346*H345*H344</f>
        <v>4576.5</v>
      </c>
      <c r="I346" s="238">
        <f>C346*I345*I344</f>
        <v>4576.5</v>
      </c>
      <c r="J346" s="238">
        <f>C346*J345*J344</f>
        <v>4576.5</v>
      </c>
      <c r="K346" s="238">
        <f>C346*K345*K344</f>
        <v>4576.5</v>
      </c>
      <c r="L346" s="238">
        <f>C346*L345*L344</f>
        <v>4576.5</v>
      </c>
      <c r="M346" s="239">
        <f>C346*M345*M344</f>
        <v>4576.5</v>
      </c>
    </row>
    <row r="347" spans="2:13" ht="15.75">
      <c r="B347" s="232" t="s">
        <v>230</v>
      </c>
      <c r="C347" s="233"/>
      <c r="D347" s="238">
        <f>D344*D345+D346</f>
        <v>260128.26</v>
      </c>
      <c r="E347" s="238">
        <f>E344*E345+E346</f>
        <v>273134.673</v>
      </c>
      <c r="F347" s="238">
        <f>F344*F345+F346</f>
        <v>286791.40664999996</v>
      </c>
      <c r="G347" s="238">
        <f aca="true" t="shared" si="23" ref="G347:M347">G344*G345+G346</f>
        <v>301130.9769825</v>
      </c>
      <c r="H347" s="238">
        <f t="shared" si="23"/>
        <v>309676.5</v>
      </c>
      <c r="I347" s="238">
        <f t="shared" si="23"/>
        <v>309676.5</v>
      </c>
      <c r="J347" s="238">
        <f t="shared" si="23"/>
        <v>309676.5</v>
      </c>
      <c r="K347" s="238">
        <f t="shared" si="23"/>
        <v>309676.5</v>
      </c>
      <c r="L347" s="238">
        <f t="shared" si="23"/>
        <v>309676.5</v>
      </c>
      <c r="M347" s="239">
        <f t="shared" si="23"/>
        <v>309676.5</v>
      </c>
    </row>
    <row r="348" spans="2:13" ht="16.5" thickBot="1">
      <c r="B348" s="300" t="s">
        <v>231</v>
      </c>
      <c r="C348" s="220"/>
      <c r="D348" s="301">
        <f>D340-D347</f>
        <v>2831071.74</v>
      </c>
      <c r="E348" s="301">
        <f aca="true" t="shared" si="24" ref="E348:M348">E340-E347</f>
        <v>2972625.327</v>
      </c>
      <c r="F348" s="301">
        <f t="shared" si="24"/>
        <v>3121256.59335</v>
      </c>
      <c r="G348" s="301">
        <f t="shared" si="24"/>
        <v>3277319.4230175004</v>
      </c>
      <c r="H348" s="301">
        <f t="shared" si="24"/>
        <v>3370323.5</v>
      </c>
      <c r="I348" s="301">
        <f t="shared" si="24"/>
        <v>3370323.5</v>
      </c>
      <c r="J348" s="301">
        <f t="shared" si="24"/>
        <v>3370323.5</v>
      </c>
      <c r="K348" s="301">
        <f t="shared" si="24"/>
        <v>3370323.5</v>
      </c>
      <c r="L348" s="301">
        <f t="shared" si="24"/>
        <v>3370323.5</v>
      </c>
      <c r="M348" s="302">
        <f t="shared" si="24"/>
        <v>3370323.5</v>
      </c>
    </row>
    <row r="349" spans="2:13" ht="15.75">
      <c r="B349" s="226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27"/>
    </row>
    <row r="350" spans="2:13" ht="16.5" thickBot="1">
      <c r="B350" s="228" t="s">
        <v>232</v>
      </c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  <c r="M350" s="227"/>
    </row>
    <row r="351" spans="2:13" ht="15.75">
      <c r="B351" s="229" t="s">
        <v>210</v>
      </c>
      <c r="C351" s="230"/>
      <c r="D351" s="244">
        <v>1020</v>
      </c>
      <c r="E351" s="244">
        <v>1020</v>
      </c>
      <c r="F351" s="244">
        <v>1020</v>
      </c>
      <c r="G351" s="244">
        <v>1020</v>
      </c>
      <c r="H351" s="244">
        <v>1020</v>
      </c>
      <c r="I351" s="244">
        <v>1020</v>
      </c>
      <c r="J351" s="244">
        <v>1020</v>
      </c>
      <c r="K351" s="244">
        <v>1020</v>
      </c>
      <c r="L351" s="244">
        <v>1020</v>
      </c>
      <c r="M351" s="245">
        <v>1020</v>
      </c>
    </row>
    <row r="352" spans="2:13" ht="15.75">
      <c r="B352" s="232" t="s">
        <v>211</v>
      </c>
      <c r="C352" s="233"/>
      <c r="D352" s="238">
        <v>600</v>
      </c>
      <c r="E352" s="238">
        <v>600</v>
      </c>
      <c r="F352" s="238">
        <v>600</v>
      </c>
      <c r="G352" s="238">
        <v>600</v>
      </c>
      <c r="H352" s="238">
        <v>600</v>
      </c>
      <c r="I352" s="238">
        <v>600</v>
      </c>
      <c r="J352" s="238">
        <v>600</v>
      </c>
      <c r="K352" s="238">
        <v>600</v>
      </c>
      <c r="L352" s="238">
        <v>600</v>
      </c>
      <c r="M352" s="239">
        <v>600</v>
      </c>
    </row>
    <row r="353" spans="2:13" ht="15.75">
      <c r="B353" s="232" t="s">
        <v>163</v>
      </c>
      <c r="C353" s="233"/>
      <c r="D353" s="238">
        <v>540</v>
      </c>
      <c r="E353" s="238">
        <v>540</v>
      </c>
      <c r="F353" s="238">
        <v>540</v>
      </c>
      <c r="G353" s="238">
        <v>540</v>
      </c>
      <c r="H353" s="238">
        <v>540</v>
      </c>
      <c r="I353" s="238">
        <v>540</v>
      </c>
      <c r="J353" s="238">
        <v>540</v>
      </c>
      <c r="K353" s="238">
        <v>540</v>
      </c>
      <c r="L353" s="238">
        <v>540</v>
      </c>
      <c r="M353" s="239">
        <v>540</v>
      </c>
    </row>
    <row r="354" spans="2:13" ht="15.75">
      <c r="B354" s="232" t="s">
        <v>162</v>
      </c>
      <c r="C354" s="233"/>
      <c r="D354" s="238">
        <v>1200</v>
      </c>
      <c r="E354" s="238">
        <v>1200</v>
      </c>
      <c r="F354" s="238">
        <v>1200</v>
      </c>
      <c r="G354" s="238">
        <v>1200</v>
      </c>
      <c r="H354" s="238">
        <v>1200</v>
      </c>
      <c r="I354" s="238">
        <v>1200</v>
      </c>
      <c r="J354" s="238">
        <v>1200</v>
      </c>
      <c r="K354" s="238">
        <v>1200</v>
      </c>
      <c r="L354" s="238">
        <v>1200</v>
      </c>
      <c r="M354" s="239">
        <v>1200</v>
      </c>
    </row>
    <row r="355" spans="2:13" ht="15.75">
      <c r="B355" s="232" t="s">
        <v>233</v>
      </c>
      <c r="C355" s="233"/>
      <c r="D355" s="238">
        <v>61920</v>
      </c>
      <c r="E355" s="238">
        <v>61920</v>
      </c>
      <c r="F355" s="238">
        <v>61920</v>
      </c>
      <c r="G355" s="238">
        <v>61920</v>
      </c>
      <c r="H355" s="238">
        <v>61920</v>
      </c>
      <c r="I355" s="238">
        <v>61920</v>
      </c>
      <c r="J355" s="238">
        <v>61920</v>
      </c>
      <c r="K355" s="238">
        <v>61920</v>
      </c>
      <c r="L355" s="238">
        <v>61920</v>
      </c>
      <c r="M355" s="239">
        <v>61920</v>
      </c>
    </row>
    <row r="356" spans="2:13" ht="15.75">
      <c r="B356" s="232" t="s">
        <v>234</v>
      </c>
      <c r="C356" s="233"/>
      <c r="D356" s="238">
        <v>1200</v>
      </c>
      <c r="E356" s="238">
        <v>1200</v>
      </c>
      <c r="F356" s="238">
        <v>1200</v>
      </c>
      <c r="G356" s="238">
        <v>1200</v>
      </c>
      <c r="H356" s="238">
        <v>1200</v>
      </c>
      <c r="I356" s="238">
        <v>1200</v>
      </c>
      <c r="J356" s="238">
        <v>1200</v>
      </c>
      <c r="K356" s="238">
        <v>1200</v>
      </c>
      <c r="L356" s="238">
        <v>1200</v>
      </c>
      <c r="M356" s="239">
        <v>1200</v>
      </c>
    </row>
    <row r="357" spans="2:13" ht="15.75">
      <c r="B357" s="232" t="s">
        <v>235</v>
      </c>
      <c r="C357" s="233"/>
      <c r="D357" s="238">
        <v>147600</v>
      </c>
      <c r="E357" s="238">
        <v>147600</v>
      </c>
      <c r="F357" s="238">
        <v>147600</v>
      </c>
      <c r="G357" s="238">
        <v>147600</v>
      </c>
      <c r="H357" s="238">
        <v>147600</v>
      </c>
      <c r="I357" s="238">
        <v>147600</v>
      </c>
      <c r="J357" s="238">
        <v>147600</v>
      </c>
      <c r="K357" s="238">
        <v>147600</v>
      </c>
      <c r="L357" s="238">
        <v>147600</v>
      </c>
      <c r="M357" s="239">
        <v>147600</v>
      </c>
    </row>
    <row r="358" spans="2:13" ht="16.5" thickBot="1">
      <c r="B358" s="300" t="s">
        <v>246</v>
      </c>
      <c r="C358" s="220"/>
      <c r="D358" s="303">
        <f>D351+D352+D353+D354+D355+D356+D357</f>
        <v>214080</v>
      </c>
      <c r="E358" s="303">
        <f aca="true" t="shared" si="25" ref="E358:M358">E351+E352+E353+E354+E355+E356+E357</f>
        <v>214080</v>
      </c>
      <c r="F358" s="303">
        <f t="shared" si="25"/>
        <v>214080</v>
      </c>
      <c r="G358" s="303">
        <f t="shared" si="25"/>
        <v>214080</v>
      </c>
      <c r="H358" s="303">
        <f t="shared" si="25"/>
        <v>214080</v>
      </c>
      <c r="I358" s="303">
        <f t="shared" si="25"/>
        <v>214080</v>
      </c>
      <c r="J358" s="303">
        <f t="shared" si="25"/>
        <v>214080</v>
      </c>
      <c r="K358" s="303">
        <f t="shared" si="25"/>
        <v>214080</v>
      </c>
      <c r="L358" s="303">
        <f t="shared" si="25"/>
        <v>214080</v>
      </c>
      <c r="M358" s="304">
        <f t="shared" si="25"/>
        <v>214080</v>
      </c>
    </row>
    <row r="359" spans="2:13" ht="16.5" thickBot="1">
      <c r="B359" s="226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27"/>
    </row>
    <row r="360" spans="2:13" ht="16.5" thickBot="1">
      <c r="B360" s="305" t="s">
        <v>236</v>
      </c>
      <c r="C360" s="306"/>
      <c r="D360" s="307">
        <f>D348-D358</f>
        <v>2616991.74</v>
      </c>
      <c r="E360" s="307">
        <f aca="true" t="shared" si="26" ref="E360:M360">E348-E358</f>
        <v>2758545.327</v>
      </c>
      <c r="F360" s="307">
        <f t="shared" si="26"/>
        <v>2907176.59335</v>
      </c>
      <c r="G360" s="307">
        <f t="shared" si="26"/>
        <v>3063239.4230175004</v>
      </c>
      <c r="H360" s="307">
        <f t="shared" si="26"/>
        <v>3156243.5</v>
      </c>
      <c r="I360" s="307">
        <f t="shared" si="26"/>
        <v>3156243.5</v>
      </c>
      <c r="J360" s="307">
        <f t="shared" si="26"/>
        <v>3156243.5</v>
      </c>
      <c r="K360" s="307">
        <f t="shared" si="26"/>
        <v>3156243.5</v>
      </c>
      <c r="L360" s="307">
        <f t="shared" si="26"/>
        <v>3156243.5</v>
      </c>
      <c r="M360" s="308">
        <f t="shared" si="26"/>
        <v>3156243.5</v>
      </c>
    </row>
    <row r="361" spans="2:13" ht="15.75">
      <c r="B361" s="226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27"/>
    </row>
    <row r="362" spans="2:13" ht="16.5" thickBot="1">
      <c r="B362" s="228" t="s">
        <v>237</v>
      </c>
      <c r="C362" s="212"/>
      <c r="D362" s="212"/>
      <c r="E362" s="212"/>
      <c r="F362" s="212"/>
      <c r="G362" s="212"/>
      <c r="H362" s="212"/>
      <c r="I362" s="212"/>
      <c r="J362" s="212"/>
      <c r="K362" s="212"/>
      <c r="L362" s="212"/>
      <c r="M362" s="227"/>
    </row>
    <row r="363" spans="2:13" ht="15.75">
      <c r="B363" s="229" t="s">
        <v>238</v>
      </c>
      <c r="C363" s="230"/>
      <c r="D363" s="256">
        <v>7022</v>
      </c>
      <c r="E363" s="256">
        <v>7022</v>
      </c>
      <c r="F363" s="256">
        <v>7022</v>
      </c>
      <c r="G363" s="256">
        <v>7022</v>
      </c>
      <c r="H363" s="256">
        <v>7022</v>
      </c>
      <c r="I363" s="256">
        <v>7022</v>
      </c>
      <c r="J363" s="256">
        <v>7022</v>
      </c>
      <c r="K363" s="256">
        <v>7022</v>
      </c>
      <c r="L363" s="256">
        <v>7022</v>
      </c>
      <c r="M363" s="257">
        <v>7022</v>
      </c>
    </row>
    <row r="364" spans="2:13" ht="15.75">
      <c r="B364" s="232" t="s">
        <v>175</v>
      </c>
      <c r="C364" s="233"/>
      <c r="D364" s="258">
        <v>1539</v>
      </c>
      <c r="E364" s="258">
        <v>1539</v>
      </c>
      <c r="F364" s="258">
        <v>1539</v>
      </c>
      <c r="G364" s="258">
        <v>1539</v>
      </c>
      <c r="H364" s="258">
        <v>1539</v>
      </c>
      <c r="I364" s="258">
        <v>1539</v>
      </c>
      <c r="J364" s="258">
        <v>1539</v>
      </c>
      <c r="K364" s="258">
        <v>1539</v>
      </c>
      <c r="L364" s="258">
        <v>1539</v>
      </c>
      <c r="M364" s="259">
        <v>1539</v>
      </c>
    </row>
    <row r="365" spans="2:13" ht="15.75">
      <c r="B365" s="232" t="s">
        <v>176</v>
      </c>
      <c r="C365" s="233"/>
      <c r="D365" s="258">
        <v>4400</v>
      </c>
      <c r="E365" s="258">
        <v>4400</v>
      </c>
      <c r="F365" s="258">
        <v>4400</v>
      </c>
      <c r="G365" s="258">
        <v>4400</v>
      </c>
      <c r="H365" s="258">
        <v>4400</v>
      </c>
      <c r="I365" s="258">
        <v>4400</v>
      </c>
      <c r="J365" s="258">
        <v>4400</v>
      </c>
      <c r="K365" s="258">
        <v>4400</v>
      </c>
      <c r="L365" s="258">
        <v>4400</v>
      </c>
      <c r="M365" s="259">
        <v>4400</v>
      </c>
    </row>
    <row r="366" spans="2:13" ht="15.75">
      <c r="B366" s="232" t="s">
        <v>239</v>
      </c>
      <c r="C366" s="233"/>
      <c r="D366" s="258">
        <v>933.33</v>
      </c>
      <c r="E366" s="258">
        <v>933.33</v>
      </c>
      <c r="F366" s="258">
        <v>933.33</v>
      </c>
      <c r="G366" s="258">
        <v>933.33</v>
      </c>
      <c r="H366" s="258">
        <v>933.33</v>
      </c>
      <c r="I366" s="258">
        <v>933.33</v>
      </c>
      <c r="J366" s="258">
        <v>933.33</v>
      </c>
      <c r="K366" s="258">
        <v>933.33</v>
      </c>
      <c r="L366" s="258">
        <v>933.33</v>
      </c>
      <c r="M366" s="259">
        <v>933.33</v>
      </c>
    </row>
    <row r="367" spans="2:13" ht="16.5" thickBot="1">
      <c r="B367" s="219" t="s">
        <v>240</v>
      </c>
      <c r="C367" s="220"/>
      <c r="D367" s="260">
        <v>1904</v>
      </c>
      <c r="E367" s="260">
        <v>1904</v>
      </c>
      <c r="F367" s="260">
        <v>1904</v>
      </c>
      <c r="G367" s="260">
        <v>1904</v>
      </c>
      <c r="H367" s="260">
        <v>1904</v>
      </c>
      <c r="I367" s="260">
        <v>1904</v>
      </c>
      <c r="J367" s="260">
        <v>1904</v>
      </c>
      <c r="K367" s="260">
        <v>1904</v>
      </c>
      <c r="L367" s="260">
        <v>1904</v>
      </c>
      <c r="M367" s="261">
        <v>1904</v>
      </c>
    </row>
    <row r="368" spans="2:13" ht="16.5" thickBot="1">
      <c r="B368" s="226"/>
      <c r="C368" s="21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3"/>
    </row>
    <row r="369" spans="2:13" ht="16.5" thickBot="1">
      <c r="B369" s="264" t="s">
        <v>241</v>
      </c>
      <c r="C369" s="265"/>
      <c r="D369" s="266">
        <v>2191.9872</v>
      </c>
      <c r="E369" s="266">
        <v>1981.2020021082105</v>
      </c>
      <c r="F369" s="266">
        <v>1768.5899991680255</v>
      </c>
      <c r="G369" s="266">
        <v>1554.1353588690256</v>
      </c>
      <c r="H369" s="266">
        <v>1337.8221116874342</v>
      </c>
      <c r="I369" s="266">
        <v>1119.6341496969358</v>
      </c>
      <c r="J369" s="266">
        <v>899.5552253691861</v>
      </c>
      <c r="K369" s="266">
        <v>677.5689503639296</v>
      </c>
      <c r="L369" s="266">
        <v>453.6587943086274</v>
      </c>
      <c r="M369" s="267">
        <v>227.80808356751263</v>
      </c>
    </row>
    <row r="370" spans="2:13" ht="15.75">
      <c r="B370" s="226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27"/>
    </row>
    <row r="371" spans="2:13" ht="16.5" thickBot="1">
      <c r="B371" s="228" t="s">
        <v>242</v>
      </c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  <c r="M371" s="227"/>
    </row>
    <row r="372" spans="2:13" ht="16.5" thickBot="1">
      <c r="B372" s="264" t="s">
        <v>243</v>
      </c>
      <c r="C372" s="265"/>
      <c r="D372" s="265">
        <v>0</v>
      </c>
      <c r="E372" s="265">
        <v>0</v>
      </c>
      <c r="F372" s="265">
        <v>1550</v>
      </c>
      <c r="G372" s="265">
        <v>0</v>
      </c>
      <c r="H372" s="265">
        <v>930</v>
      </c>
      <c r="I372" s="265">
        <v>1550</v>
      </c>
      <c r="J372" s="265">
        <v>0</v>
      </c>
      <c r="K372" s="265">
        <v>0</v>
      </c>
      <c r="L372" s="265">
        <v>1550</v>
      </c>
      <c r="M372" s="268">
        <v>63930</v>
      </c>
    </row>
    <row r="373" spans="2:13" ht="16.5" thickBot="1">
      <c r="B373" s="226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27"/>
    </row>
    <row r="374" spans="2:13" ht="15.75">
      <c r="B374" s="309" t="s">
        <v>244</v>
      </c>
      <c r="C374" s="230"/>
      <c r="D374" s="244">
        <f>D358-D363-D364-D365-D366-D367-D369</f>
        <v>196089.6828</v>
      </c>
      <c r="E374" s="244">
        <f aca="true" t="shared" si="27" ref="E374:M374">E358-E363-E364-E365-E366-E367-E369</f>
        <v>196300.4679978918</v>
      </c>
      <c r="F374" s="244">
        <f t="shared" si="27"/>
        <v>196513.08000083198</v>
      </c>
      <c r="G374" s="244">
        <f t="shared" si="27"/>
        <v>196727.53464113097</v>
      </c>
      <c r="H374" s="244">
        <f t="shared" si="27"/>
        <v>196943.84788831256</v>
      </c>
      <c r="I374" s="244">
        <f t="shared" si="27"/>
        <v>197162.03585030307</v>
      </c>
      <c r="J374" s="244">
        <f t="shared" si="27"/>
        <v>197382.1147746308</v>
      </c>
      <c r="K374" s="244">
        <f t="shared" si="27"/>
        <v>197604.10104963608</v>
      </c>
      <c r="L374" s="244">
        <f t="shared" si="27"/>
        <v>197828.01120569138</v>
      </c>
      <c r="M374" s="245">
        <f t="shared" si="27"/>
        <v>198053.8619164325</v>
      </c>
    </row>
    <row r="375" spans="2:13" ht="15.75">
      <c r="B375" s="232" t="s">
        <v>245</v>
      </c>
      <c r="C375" s="273">
        <v>0.15</v>
      </c>
      <c r="D375" s="258">
        <f>C375*D374</f>
        <v>29413.45242</v>
      </c>
      <c r="E375" s="258">
        <f>C375*E374</f>
        <v>29445.07019968377</v>
      </c>
      <c r="F375" s="258">
        <f>C375*F374</f>
        <v>29476.962000124797</v>
      </c>
      <c r="G375" s="258">
        <f>C375*G374</f>
        <v>29509.130196169644</v>
      </c>
      <c r="H375" s="258">
        <f>C375*H374</f>
        <v>29541.57718324688</v>
      </c>
      <c r="I375" s="258">
        <f>C375*I374</f>
        <v>29574.30537754546</v>
      </c>
      <c r="J375" s="258">
        <f>C375*J374</f>
        <v>29607.31721619462</v>
      </c>
      <c r="K375" s="258">
        <f>C375*K374</f>
        <v>29640.615157445412</v>
      </c>
      <c r="L375" s="258">
        <f>C375*L374</f>
        <v>29674.201680853705</v>
      </c>
      <c r="M375" s="259">
        <f>C375*M374</f>
        <v>29708.079287464876</v>
      </c>
    </row>
    <row r="376" spans="2:13" ht="16.5" thickBot="1">
      <c r="B376" s="219" t="s">
        <v>51</v>
      </c>
      <c r="C376" s="274">
        <v>0.25</v>
      </c>
      <c r="D376" s="260">
        <f>C376*D374</f>
        <v>49022.4207</v>
      </c>
      <c r="E376" s="260">
        <f>C376*E374</f>
        <v>49075.11699947295</v>
      </c>
      <c r="F376" s="260">
        <f>C376*F374</f>
        <v>49128.270000207995</v>
      </c>
      <c r="G376" s="260">
        <f>C376*G374</f>
        <v>49181.88366028274</v>
      </c>
      <c r="H376" s="260">
        <f>C376*H374</f>
        <v>49235.96197207814</v>
      </c>
      <c r="I376" s="260">
        <f>C376*I374</f>
        <v>49290.50896257577</v>
      </c>
      <c r="J376" s="260">
        <f>C376*J374</f>
        <v>49345.5286936577</v>
      </c>
      <c r="K376" s="260">
        <f>C376*K374</f>
        <v>49401.02526240902</v>
      </c>
      <c r="L376" s="260">
        <f>C376*L374</f>
        <v>49457.002801422845</v>
      </c>
      <c r="M376" s="261">
        <f>C376*M374</f>
        <v>49513.46547910813</v>
      </c>
    </row>
    <row r="377" spans="2:13" ht="16.5" thickBot="1">
      <c r="B377" s="226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27"/>
    </row>
    <row r="378" spans="2:13" ht="16.5" thickBot="1">
      <c r="B378" s="310" t="s">
        <v>254</v>
      </c>
      <c r="C378" s="265"/>
      <c r="D378" s="266">
        <f>D374-D375-D376</f>
        <v>117653.80968000002</v>
      </c>
      <c r="E378" s="266">
        <f aca="true" t="shared" si="28" ref="E378:M378">E374-E375-E376</f>
        <v>117780.28079873507</v>
      </c>
      <c r="F378" s="266">
        <f t="shared" si="28"/>
        <v>117907.84800049919</v>
      </c>
      <c r="G378" s="266">
        <f t="shared" si="28"/>
        <v>118036.5207846786</v>
      </c>
      <c r="H378" s="266">
        <f t="shared" si="28"/>
        <v>118166.30873298756</v>
      </c>
      <c r="I378" s="266">
        <f t="shared" si="28"/>
        <v>118297.22151018183</v>
      </c>
      <c r="J378" s="266">
        <f t="shared" si="28"/>
        <v>118429.2688647785</v>
      </c>
      <c r="K378" s="266">
        <f t="shared" si="28"/>
        <v>118562.46062978164</v>
      </c>
      <c r="L378" s="266">
        <f t="shared" si="28"/>
        <v>118696.80672341483</v>
      </c>
      <c r="M378" s="267">
        <f t="shared" si="28"/>
        <v>118832.3171498595</v>
      </c>
    </row>
    <row r="379" spans="2:13" ht="15.75">
      <c r="B379" s="279" t="s">
        <v>237</v>
      </c>
      <c r="C379" s="280"/>
      <c r="D379" s="281">
        <v>15798</v>
      </c>
      <c r="E379" s="281">
        <v>15798</v>
      </c>
      <c r="F379" s="281">
        <v>15798</v>
      </c>
      <c r="G379" s="281">
        <v>15798</v>
      </c>
      <c r="H379" s="281">
        <v>15798</v>
      </c>
      <c r="I379" s="281">
        <v>15798</v>
      </c>
      <c r="J379" s="281">
        <v>15798</v>
      </c>
      <c r="K379" s="281">
        <v>15798</v>
      </c>
      <c r="L379" s="281">
        <v>15798</v>
      </c>
      <c r="M379" s="282">
        <v>15798</v>
      </c>
    </row>
    <row r="380" spans="2:13" ht="15.75">
      <c r="B380" s="232" t="s">
        <v>9</v>
      </c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6"/>
    </row>
    <row r="381" spans="2:13" ht="15.75">
      <c r="B381" s="283" t="s">
        <v>258</v>
      </c>
      <c r="C381" s="284">
        <v>-2000</v>
      </c>
      <c r="D381" s="233"/>
      <c r="E381" s="233"/>
      <c r="F381" s="233"/>
      <c r="G381" s="233"/>
      <c r="H381" s="233"/>
      <c r="I381" s="233"/>
      <c r="J381" s="233"/>
      <c r="K381" s="233"/>
      <c r="L381" s="233"/>
      <c r="M381" s="236"/>
    </row>
    <row r="382" spans="2:13" ht="15.75">
      <c r="B382" s="283" t="s">
        <v>257</v>
      </c>
      <c r="C382" s="284">
        <v>-369100</v>
      </c>
      <c r="D382" s="233"/>
      <c r="E382" s="233"/>
      <c r="F382" s="233"/>
      <c r="G382" s="233"/>
      <c r="H382" s="233"/>
      <c r="I382" s="233"/>
      <c r="J382" s="233"/>
      <c r="K382" s="233"/>
      <c r="L382" s="233"/>
      <c r="M382" s="236"/>
    </row>
    <row r="383" spans="2:13" ht="15.75">
      <c r="B383" s="283" t="s">
        <v>255</v>
      </c>
      <c r="C383" s="284">
        <v>-37390</v>
      </c>
      <c r="D383" s="233"/>
      <c r="E383" s="233"/>
      <c r="F383" s="233"/>
      <c r="G383" s="233"/>
      <c r="H383" s="233"/>
      <c r="I383" s="233"/>
      <c r="J383" s="233"/>
      <c r="K383" s="233"/>
      <c r="L383" s="233"/>
      <c r="M383" s="236"/>
    </row>
    <row r="384" spans="2:13" ht="15.75">
      <c r="B384" s="283" t="s">
        <v>256</v>
      </c>
      <c r="C384" s="284">
        <v>-15046</v>
      </c>
      <c r="D384" s="233"/>
      <c r="E384" s="233"/>
      <c r="F384" s="233"/>
      <c r="G384" s="233"/>
      <c r="H384" s="233"/>
      <c r="I384" s="233"/>
      <c r="J384" s="233"/>
      <c r="K384" s="233"/>
      <c r="L384" s="233"/>
      <c r="M384" s="236"/>
    </row>
    <row r="385" spans="2:13" ht="15.75">
      <c r="B385" s="285" t="s">
        <v>259</v>
      </c>
      <c r="C385" s="284">
        <v>-3330</v>
      </c>
      <c r="D385" s="233"/>
      <c r="E385" s="233"/>
      <c r="F385" s="233"/>
      <c r="G385" s="233"/>
      <c r="H385" s="233"/>
      <c r="I385" s="233"/>
      <c r="J385" s="233"/>
      <c r="K385" s="233"/>
      <c r="L385" s="233"/>
      <c r="M385" s="287">
        <v>3330</v>
      </c>
    </row>
    <row r="386" spans="2:13" ht="16.5" thickBot="1">
      <c r="B386" s="288" t="s">
        <v>260</v>
      </c>
      <c r="C386" s="289"/>
      <c r="D386" s="290"/>
      <c r="E386" s="290"/>
      <c r="F386" s="290"/>
      <c r="G386" s="290"/>
      <c r="H386" s="290"/>
      <c r="I386" s="290"/>
      <c r="J386" s="290"/>
      <c r="K386" s="290"/>
      <c r="L386" s="290"/>
      <c r="M386" s="291">
        <v>282747</v>
      </c>
    </row>
    <row r="387" spans="2:13" ht="16.5" thickBot="1">
      <c r="B387" s="292" t="s">
        <v>222</v>
      </c>
      <c r="C387" s="293">
        <f>C381+C382+C383+C384+C385</f>
        <v>-426866</v>
      </c>
      <c r="D387" s="266">
        <f aca="true" t="shared" si="29" ref="D387:L387">D378+D379</f>
        <v>133451.80968</v>
      </c>
      <c r="E387" s="266">
        <f t="shared" si="29"/>
        <v>133578.28079873507</v>
      </c>
      <c r="F387" s="266">
        <f t="shared" si="29"/>
        <v>133705.8480004992</v>
      </c>
      <c r="G387" s="266">
        <f t="shared" si="29"/>
        <v>133834.5207846786</v>
      </c>
      <c r="H387" s="266">
        <f t="shared" si="29"/>
        <v>133964.30873298756</v>
      </c>
      <c r="I387" s="266">
        <f t="shared" si="29"/>
        <v>134095.22151018184</v>
      </c>
      <c r="J387" s="266">
        <f t="shared" si="29"/>
        <v>134227.2688647785</v>
      </c>
      <c r="K387" s="266">
        <f t="shared" si="29"/>
        <v>134360.46062978165</v>
      </c>
      <c r="L387" s="266">
        <f t="shared" si="29"/>
        <v>134494.80672341483</v>
      </c>
      <c r="M387" s="267">
        <f>M378+M379+M385+M386</f>
        <v>420707.3171498595</v>
      </c>
    </row>
    <row r="388" spans="2:13" ht="15.75">
      <c r="B388" s="226"/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27"/>
    </row>
    <row r="389" spans="2:13" ht="15.75">
      <c r="B389" s="226"/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27"/>
    </row>
    <row r="390" spans="2:13" ht="16.5" thickBot="1">
      <c r="B390" s="226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27"/>
    </row>
    <row r="391" spans="2:13" ht="15.75">
      <c r="B391" s="309" t="s">
        <v>261</v>
      </c>
      <c r="C391" s="331">
        <f>NPV(P67,D387:M387)+C387</f>
        <v>1199553.8428749172</v>
      </c>
      <c r="D391" s="212"/>
      <c r="E391" s="212"/>
      <c r="F391" s="212"/>
      <c r="G391" s="212"/>
      <c r="H391" s="212"/>
      <c r="I391" s="212"/>
      <c r="J391" s="212"/>
      <c r="K391" s="212"/>
      <c r="L391" s="212"/>
      <c r="M391" s="227"/>
    </row>
    <row r="392" spans="2:13" ht="16.5" thickBot="1">
      <c r="B392" s="300" t="s">
        <v>262</v>
      </c>
      <c r="C392" s="332">
        <f>IRR(C387:M387)</f>
        <v>0.30587579805183274</v>
      </c>
      <c r="D392" s="212"/>
      <c r="E392" s="212"/>
      <c r="F392" s="212"/>
      <c r="G392" s="212"/>
      <c r="H392" s="212"/>
      <c r="I392" s="212"/>
      <c r="J392" s="212"/>
      <c r="K392" s="212"/>
      <c r="L392" s="212"/>
      <c r="M392" s="227"/>
    </row>
    <row r="393" spans="2:13" ht="16.5" thickBot="1">
      <c r="B393" s="311"/>
      <c r="C393" s="312"/>
      <c r="D393" s="312"/>
      <c r="E393" s="312"/>
      <c r="F393" s="312"/>
      <c r="G393" s="312"/>
      <c r="H393" s="312"/>
      <c r="I393" s="312"/>
      <c r="J393" s="312"/>
      <c r="K393" s="312"/>
      <c r="L393" s="312"/>
      <c r="M393" s="313"/>
    </row>
    <row r="396" spans="2:6" ht="16.5" thickBot="1">
      <c r="B396" s="366" t="s">
        <v>263</v>
      </c>
      <c r="C396" s="366"/>
      <c r="D396" s="366"/>
      <c r="E396" s="366"/>
      <c r="F396" s="204"/>
    </row>
    <row r="397" spans="2:6" ht="16.5" thickBot="1">
      <c r="B397" s="371" t="s">
        <v>264</v>
      </c>
      <c r="C397" s="372"/>
      <c r="D397" s="372"/>
      <c r="E397" s="373"/>
      <c r="F397" s="204"/>
    </row>
    <row r="398" spans="2:5" ht="15.75">
      <c r="B398" s="207" t="s">
        <v>265</v>
      </c>
      <c r="C398" s="208" t="s">
        <v>222</v>
      </c>
      <c r="D398" s="208" t="s">
        <v>269</v>
      </c>
      <c r="E398" s="209" t="s">
        <v>268</v>
      </c>
    </row>
    <row r="399" spans="2:5" ht="15.75">
      <c r="B399" s="29">
        <v>1</v>
      </c>
      <c r="C399" s="314">
        <v>109130.44</v>
      </c>
      <c r="D399" s="200">
        <f>C399/((1+C411)^-1)</f>
        <v>119868.87529600001</v>
      </c>
      <c r="E399" s="70"/>
    </row>
    <row r="400" spans="2:5" ht="15.75">
      <c r="B400" s="29">
        <v>2</v>
      </c>
      <c r="C400" s="205">
        <v>109046.13</v>
      </c>
      <c r="D400" s="200">
        <f>C400/((1+C411)^-2)</f>
        <v>131562.25408049283</v>
      </c>
      <c r="E400" s="201">
        <f aca="true" t="shared" si="30" ref="E400:E408">D399+D400</f>
        <v>251431.12937649284</v>
      </c>
    </row>
    <row r="401" spans="2:5" ht="15.75">
      <c r="B401" s="29">
        <v>3</v>
      </c>
      <c r="C401" s="205">
        <v>108961.08</v>
      </c>
      <c r="D401" s="200">
        <f>C401/((1+C411)^-3)</f>
        <v>144395.27158425932</v>
      </c>
      <c r="E401" s="201">
        <f t="shared" si="30"/>
        <v>275957.5256647521</v>
      </c>
    </row>
    <row r="402" spans="2:5" ht="15.75">
      <c r="B402" s="29">
        <v>4</v>
      </c>
      <c r="C402" s="205">
        <v>108875.3</v>
      </c>
      <c r="D402" s="200">
        <f>C402/((1+C411)^-4)</f>
        <v>158478.90492577504</v>
      </c>
      <c r="E402" s="201">
        <f t="shared" si="30"/>
        <v>302874.17651003436</v>
      </c>
    </row>
    <row r="403" spans="2:5" ht="15.75">
      <c r="B403" s="29">
        <v>5</v>
      </c>
      <c r="C403" s="205">
        <v>108788.77</v>
      </c>
      <c r="D403" s="200">
        <f>C403/((1+C411)^-5)</f>
        <v>173934.88230465216</v>
      </c>
      <c r="E403" s="201">
        <f t="shared" si="30"/>
        <v>332413.7872304272</v>
      </c>
    </row>
    <row r="404" spans="2:5" ht="15.75">
      <c r="B404" s="29">
        <v>6</v>
      </c>
      <c r="C404" s="205">
        <v>108701.5</v>
      </c>
      <c r="D404" s="200">
        <f>C404/((1+C411)^-6)</f>
        <v>190896.81497041398</v>
      </c>
      <c r="E404" s="201">
        <f t="shared" si="30"/>
        <v>364831.69727506617</v>
      </c>
    </row>
    <row r="405" spans="2:5" ht="15.75">
      <c r="B405" s="29">
        <v>7</v>
      </c>
      <c r="C405" s="205">
        <v>108613.47</v>
      </c>
      <c r="D405" s="200">
        <f>C405/((1+C411)^-7)</f>
        <v>209511.2550396789</v>
      </c>
      <c r="E405" s="201">
        <f t="shared" si="30"/>
        <v>400408.07001009287</v>
      </c>
    </row>
    <row r="406" spans="2:6" ht="15.75">
      <c r="B406" s="29">
        <v>8</v>
      </c>
      <c r="C406" s="205">
        <v>108524.67</v>
      </c>
      <c r="D406" s="200">
        <f>C406/((1+C411)^-8)</f>
        <v>229939.01559549238</v>
      </c>
      <c r="E406" s="201">
        <f t="shared" si="30"/>
        <v>439450.27063517127</v>
      </c>
      <c r="F406" s="20" t="s">
        <v>285</v>
      </c>
    </row>
    <row r="407" spans="2:5" ht="15.75">
      <c r="B407" s="29">
        <v>9</v>
      </c>
      <c r="C407" s="205">
        <v>108435.11</v>
      </c>
      <c r="D407" s="200">
        <f>C407/((1+C411)^-9)</f>
        <v>252356.58541425472</v>
      </c>
      <c r="E407" s="201">
        <f t="shared" si="30"/>
        <v>482295.60100974713</v>
      </c>
    </row>
    <row r="408" spans="2:5" ht="16.5" thickBot="1">
      <c r="B408" s="47">
        <v>10</v>
      </c>
      <c r="C408" s="52">
        <v>111674.77</v>
      </c>
      <c r="D408" s="202">
        <f>C408/((1+C411)^-10)</f>
        <v>285469.8908473453</v>
      </c>
      <c r="E408" s="203">
        <f t="shared" si="30"/>
        <v>537826.4762616</v>
      </c>
    </row>
    <row r="411" spans="2:3" ht="15.75">
      <c r="B411" s="20" t="s">
        <v>270</v>
      </c>
      <c r="C411" s="206">
        <v>0.0984</v>
      </c>
    </row>
    <row r="412" ht="16.5" thickBot="1"/>
    <row r="413" spans="2:4" ht="16.5" thickBot="1">
      <c r="B413" s="333" t="s">
        <v>289</v>
      </c>
      <c r="C413" s="334"/>
      <c r="D413" s="20" t="s">
        <v>291</v>
      </c>
    </row>
    <row r="414" spans="2:4" ht="15.75">
      <c r="B414" s="320" t="s">
        <v>286</v>
      </c>
      <c r="C414" s="316">
        <v>1.84</v>
      </c>
      <c r="D414" s="20" t="s">
        <v>292</v>
      </c>
    </row>
    <row r="415" spans="2:4" ht="15.75">
      <c r="B415" s="321" t="s">
        <v>287</v>
      </c>
      <c r="C415" s="317">
        <v>0.05</v>
      </c>
      <c r="D415" s="20">
        <v>10000</v>
      </c>
    </row>
    <row r="416" spans="2:3" ht="15.75">
      <c r="B416" s="321" t="s">
        <v>290</v>
      </c>
      <c r="C416" s="317">
        <v>0.48</v>
      </c>
    </row>
    <row r="417" spans="2:3" ht="15.75">
      <c r="B417" s="321" t="s">
        <v>74</v>
      </c>
      <c r="C417" s="318">
        <v>0.0984</v>
      </c>
    </row>
    <row r="418" spans="2:3" ht="16.5" thickBot="1">
      <c r="B418" s="322" t="s">
        <v>288</v>
      </c>
      <c r="C418" s="319">
        <v>168000</v>
      </c>
    </row>
  </sheetData>
  <sheetProtection/>
  <mergeCells count="55">
    <mergeCell ref="B397:E397"/>
    <mergeCell ref="B331:M331"/>
    <mergeCell ref="B337:L337"/>
    <mergeCell ref="J84:J85"/>
    <mergeCell ref="B97:D97"/>
    <mergeCell ref="B100:L100"/>
    <mergeCell ref="B112:C112"/>
    <mergeCell ref="B114:E114"/>
    <mergeCell ref="B88:F88"/>
    <mergeCell ref="B228:E228"/>
    <mergeCell ref="B229:D229"/>
    <mergeCell ref="B264:M264"/>
    <mergeCell ref="B396:E396"/>
    <mergeCell ref="B144:D144"/>
    <mergeCell ref="B171:N171"/>
    <mergeCell ref="B172:N172"/>
    <mergeCell ref="B212:G212"/>
    <mergeCell ref="B117:D117"/>
    <mergeCell ref="B270:L270"/>
    <mergeCell ref="B159:H159"/>
    <mergeCell ref="B160:H160"/>
    <mergeCell ref="B161:H161"/>
    <mergeCell ref="B128:D128"/>
    <mergeCell ref="B129:D129"/>
    <mergeCell ref="B134:D134"/>
    <mergeCell ref="B135:D135"/>
    <mergeCell ref="B142:D142"/>
    <mergeCell ref="B37:C37"/>
    <mergeCell ref="B24:E24"/>
    <mergeCell ref="E37:G37"/>
    <mergeCell ref="E38:G38"/>
    <mergeCell ref="B25:C25"/>
    <mergeCell ref="D25:E25"/>
    <mergeCell ref="B29:E29"/>
    <mergeCell ref="B33:F33"/>
    <mergeCell ref="B77:D77"/>
    <mergeCell ref="B78:D78"/>
    <mergeCell ref="B79:D79"/>
    <mergeCell ref="B3:C3"/>
    <mergeCell ref="B9:C9"/>
    <mergeCell ref="B10:C10"/>
    <mergeCell ref="B14:D14"/>
    <mergeCell ref="B18:C18"/>
    <mergeCell ref="B49:C49"/>
    <mergeCell ref="B38:C38"/>
    <mergeCell ref="B413:C413"/>
    <mergeCell ref="B62:C62"/>
    <mergeCell ref="B72:D72"/>
    <mergeCell ref="B81:C81"/>
    <mergeCell ref="B82:C82"/>
    <mergeCell ref="I84:I85"/>
    <mergeCell ref="B73:D73"/>
    <mergeCell ref="B74:D74"/>
    <mergeCell ref="B75:D75"/>
    <mergeCell ref="B76:D7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H51" sqref="H51"/>
    </sheetView>
  </sheetViews>
  <sheetFormatPr defaultColWidth="11.421875" defaultRowHeight="15"/>
  <sheetData>
    <row r="2" spans="2:7" ht="19.5">
      <c r="B2" s="2" t="s">
        <v>15</v>
      </c>
      <c r="C2" s="3"/>
      <c r="D2" s="3"/>
      <c r="E2" s="4"/>
      <c r="F2" s="5"/>
      <c r="G2" s="5"/>
    </row>
    <row r="4" spans="2:4" ht="15">
      <c r="B4" s="382" t="s">
        <v>16</v>
      </c>
      <c r="C4" s="382"/>
      <c r="D4" s="6">
        <v>252921.6</v>
      </c>
    </row>
    <row r="5" spans="2:4" ht="15">
      <c r="B5" s="382" t="s">
        <v>17</v>
      </c>
      <c r="C5" s="382"/>
      <c r="D5" s="7">
        <v>10</v>
      </c>
    </row>
    <row r="6" spans="2:4" ht="15">
      <c r="B6" s="382" t="s">
        <v>18</v>
      </c>
      <c r="C6" s="382"/>
      <c r="D6" s="8">
        <v>0</v>
      </c>
    </row>
    <row r="7" spans="2:4" ht="15">
      <c r="B7" s="382" t="s">
        <v>19</v>
      </c>
      <c r="C7" s="382"/>
      <c r="D7" s="8">
        <v>0</v>
      </c>
    </row>
    <row r="8" spans="2:4" ht="15">
      <c r="B8" s="382" t="s">
        <v>20</v>
      </c>
      <c r="C8" s="382"/>
      <c r="D8" s="9">
        <v>0.104</v>
      </c>
    </row>
    <row r="9" spans="2:4" ht="15">
      <c r="B9" s="382" t="s">
        <v>21</v>
      </c>
      <c r="C9" s="382"/>
      <c r="D9" s="10">
        <f>D8/12</f>
        <v>0.008666666666666666</v>
      </c>
    </row>
    <row r="10" spans="2:4" ht="15">
      <c r="B10" s="382" t="s">
        <v>22</v>
      </c>
      <c r="C10" s="382"/>
      <c r="D10" s="10">
        <f>D9</f>
        <v>0.008666666666666666</v>
      </c>
    </row>
    <row r="12" spans="2:7" ht="15">
      <c r="B12" s="11" t="s">
        <v>23</v>
      </c>
      <c r="C12" s="11" t="s">
        <v>24</v>
      </c>
      <c r="D12" s="11" t="s">
        <v>25</v>
      </c>
      <c r="E12" s="11" t="s">
        <v>14</v>
      </c>
      <c r="F12" s="11" t="s">
        <v>26</v>
      </c>
      <c r="G12" s="11" t="s">
        <v>27</v>
      </c>
    </row>
    <row r="13" spans="2:7" ht="15">
      <c r="B13" s="11">
        <v>0</v>
      </c>
      <c r="C13" s="12">
        <v>252921.6</v>
      </c>
      <c r="D13" s="11"/>
      <c r="E13" s="11"/>
      <c r="F13" s="11"/>
      <c r="G13" s="11"/>
    </row>
    <row r="14" spans="2:7" ht="15">
      <c r="B14" s="11">
        <v>1</v>
      </c>
      <c r="C14" s="1">
        <v>228600.23101248583</v>
      </c>
      <c r="D14" s="1">
        <v>2191.9872</v>
      </c>
      <c r="E14" s="1">
        <v>26513.3561875142</v>
      </c>
      <c r="F14" s="1">
        <v>24321.368987514183</v>
      </c>
      <c r="G14" s="1">
        <v>24321.368987514183</v>
      </c>
    </row>
    <row r="15" spans="2:7" ht="15">
      <c r="B15" s="11">
        <v>2</v>
      </c>
      <c r="C15" s="1">
        <v>204068.07682707987</v>
      </c>
      <c r="D15" s="1">
        <v>1981.2020021082105</v>
      </c>
      <c r="E15" s="1">
        <v>26513.356187514182</v>
      </c>
      <c r="F15" s="1">
        <v>24532.154185405972</v>
      </c>
      <c r="G15" s="1">
        <v>48853.523172920155</v>
      </c>
    </row>
    <row r="16" spans="2:7" ht="15">
      <c r="B16" s="11">
        <v>3</v>
      </c>
      <c r="C16" s="1">
        <v>179323.31063873373</v>
      </c>
      <c r="D16" s="1">
        <v>1768.5899991680255</v>
      </c>
      <c r="E16" s="1">
        <v>26513.356187514182</v>
      </c>
      <c r="F16" s="1">
        <v>24744.766188346155</v>
      </c>
      <c r="G16" s="1">
        <v>73598.2893612663</v>
      </c>
    </row>
    <row r="17" spans="2:7" ht="15">
      <c r="B17" s="11">
        <v>4</v>
      </c>
      <c r="C17" s="1">
        <v>154364.08981008857</v>
      </c>
      <c r="D17" s="1">
        <v>1554.1353588690256</v>
      </c>
      <c r="E17" s="1">
        <v>26513.356187514182</v>
      </c>
      <c r="F17" s="1">
        <v>24959.220828645157</v>
      </c>
      <c r="G17" s="1">
        <v>98557.51018991147</v>
      </c>
    </row>
    <row r="18" spans="2:7" ht="15">
      <c r="B18" s="11">
        <v>5</v>
      </c>
      <c r="C18" s="1">
        <v>129188.55573426181</v>
      </c>
      <c r="D18" s="1">
        <v>1337.8221116874342</v>
      </c>
      <c r="E18" s="1">
        <v>26513.356187514182</v>
      </c>
      <c r="F18" s="1">
        <v>25175.53407582675</v>
      </c>
      <c r="G18" s="1">
        <v>123733.04426573822</v>
      </c>
    </row>
    <row r="19" spans="2:7" ht="15">
      <c r="B19" s="11">
        <v>6</v>
      </c>
      <c r="C19" s="1">
        <v>103794.83369644456</v>
      </c>
      <c r="D19" s="1">
        <v>1119.6341496969358</v>
      </c>
      <c r="E19" s="1">
        <v>26513.356187514182</v>
      </c>
      <c r="F19" s="1">
        <v>25393.722037817246</v>
      </c>
      <c r="G19" s="1">
        <v>149126.76630355546</v>
      </c>
    </row>
    <row r="20" spans="2:7" ht="15">
      <c r="B20" s="11">
        <v>7</v>
      </c>
      <c r="C20" s="1">
        <v>78181.03273429957</v>
      </c>
      <c r="D20" s="1">
        <v>899.5552253691861</v>
      </c>
      <c r="E20" s="1">
        <v>26513.356187514182</v>
      </c>
      <c r="F20" s="1">
        <v>25613.800962144996</v>
      </c>
      <c r="G20" s="1">
        <v>174740.56726570046</v>
      </c>
    </row>
    <row r="21" spans="2:7" ht="15">
      <c r="B21" s="11">
        <v>8</v>
      </c>
      <c r="C21" s="1">
        <v>52345.24549714932</v>
      </c>
      <c r="D21" s="1">
        <v>677.5689503639296</v>
      </c>
      <c r="E21" s="1">
        <v>26513.356187514182</v>
      </c>
      <c r="F21" s="1">
        <v>25835.787237150253</v>
      </c>
      <c r="G21" s="1">
        <v>200576.3545028507</v>
      </c>
    </row>
    <row r="22" spans="2:7" ht="15">
      <c r="B22" s="11">
        <v>9</v>
      </c>
      <c r="C22" s="1">
        <v>26285.548103943765</v>
      </c>
      <c r="D22" s="1">
        <v>453.6587943086274</v>
      </c>
      <c r="E22" s="1">
        <v>26513.356187514182</v>
      </c>
      <c r="F22" s="1">
        <v>26059.697393205555</v>
      </c>
      <c r="G22" s="1">
        <v>226636.05189605628</v>
      </c>
    </row>
    <row r="23" spans="2:7" ht="15">
      <c r="B23" s="11">
        <v>10</v>
      </c>
      <c r="C23" s="1">
        <v>-2.903107088059187E-09</v>
      </c>
      <c r="D23" s="1">
        <v>227.80808356751263</v>
      </c>
      <c r="E23" s="1">
        <v>26513.356187514182</v>
      </c>
      <c r="F23" s="1">
        <v>26285.54810394667</v>
      </c>
      <c r="G23" s="1">
        <v>252921.60000000295</v>
      </c>
    </row>
    <row r="24" spans="2:7" ht="15">
      <c r="B24" s="11" t="s">
        <v>28</v>
      </c>
      <c r="C24" s="12">
        <v>252921.6</v>
      </c>
      <c r="D24" s="12">
        <v>12211.961875138886</v>
      </c>
      <c r="E24" s="12">
        <v>265133.5618751418</v>
      </c>
      <c r="F24" s="12">
        <v>252921.60000000295</v>
      </c>
      <c r="G24" s="12">
        <v>252921.60000000295</v>
      </c>
    </row>
  </sheetData>
  <sheetProtection/>
  <mergeCells count="7">
    <mergeCell ref="B10:C10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6.57421875" style="389" customWidth="1"/>
  </cols>
  <sheetData>
    <row r="1" ht="13.5" thickBot="1"/>
    <row r="2" spans="2:9" ht="12.75">
      <c r="B2" s="390" t="s">
        <v>271</v>
      </c>
      <c r="C2" s="391"/>
      <c r="D2" s="391"/>
      <c r="E2" s="391"/>
      <c r="F2" s="391"/>
      <c r="G2" s="391"/>
      <c r="H2" s="391"/>
      <c r="I2" s="392"/>
    </row>
    <row r="3" spans="2:9" ht="13.5" thickBot="1">
      <c r="B3" s="393" t="s">
        <v>272</v>
      </c>
      <c r="C3" s="394" t="s">
        <v>273</v>
      </c>
      <c r="D3" s="394" t="s">
        <v>262</v>
      </c>
      <c r="E3" s="394" t="s">
        <v>74</v>
      </c>
      <c r="F3" s="394" t="s">
        <v>274</v>
      </c>
      <c r="G3" s="395" t="s">
        <v>275</v>
      </c>
      <c r="H3" s="395"/>
      <c r="I3" s="396"/>
    </row>
    <row r="4" spans="2:9" ht="12.75">
      <c r="B4" s="397" t="s">
        <v>276</v>
      </c>
      <c r="C4" s="398">
        <v>0.05</v>
      </c>
      <c r="D4" s="399">
        <v>0.5319</v>
      </c>
      <c r="E4" s="399">
        <v>0.0984</v>
      </c>
      <c r="F4" s="400" t="str">
        <f>IF(D4&gt;'[2]Evaluacion Financiera'!$D$49,"SE ACEPTA","SE RECHAZA")</f>
        <v>SE ACEPTA</v>
      </c>
      <c r="G4" s="401" t="s">
        <v>277</v>
      </c>
      <c r="H4" s="402"/>
      <c r="I4" s="403"/>
    </row>
    <row r="5" spans="2:9" ht="12.75">
      <c r="B5" s="404"/>
      <c r="C5" s="405">
        <v>0.1</v>
      </c>
      <c r="D5" s="406">
        <v>0.6587</v>
      </c>
      <c r="E5" s="406">
        <f>E4</f>
        <v>0.0984</v>
      </c>
      <c r="F5" s="407" t="str">
        <f>IF(D5&gt;'[2]Evaluacion Financiera'!$D$49,"SE ACEPTA","SE RECHAZA")</f>
        <v>SE ACEPTA</v>
      </c>
      <c r="G5" s="408"/>
      <c r="H5" s="409"/>
      <c r="I5" s="410"/>
    </row>
    <row r="6" spans="2:9" ht="12.75">
      <c r="B6" s="404"/>
      <c r="C6" s="405">
        <v>0.15</v>
      </c>
      <c r="D6" s="406">
        <v>0.7314</v>
      </c>
      <c r="E6" s="406">
        <f>E5</f>
        <v>0.0984</v>
      </c>
      <c r="F6" s="407" t="str">
        <f>IF(D6&gt;'[2]Evaluacion Financiera'!$D$49,"SE ACEPTA","SE RECHAZA")</f>
        <v>SE ACEPTA</v>
      </c>
      <c r="G6" s="408"/>
      <c r="H6" s="409"/>
      <c r="I6" s="410"/>
    </row>
    <row r="7" spans="2:9" ht="12.75">
      <c r="B7" s="404" t="s">
        <v>278</v>
      </c>
      <c r="C7" s="405">
        <v>-0.05</v>
      </c>
      <c r="D7" s="406">
        <v>0.4338</v>
      </c>
      <c r="E7" s="406">
        <f>E6</f>
        <v>0.0984</v>
      </c>
      <c r="F7" s="407" t="str">
        <f>IF(D7&gt;'[2]Evaluacion Financiera'!$D$49,"SE ACEPTA","SE RECHAZA")</f>
        <v>SE ACEPTA</v>
      </c>
      <c r="G7" s="408"/>
      <c r="H7" s="409"/>
      <c r="I7" s="410"/>
    </row>
    <row r="8" spans="2:9" ht="12.75">
      <c r="B8" s="404"/>
      <c r="C8" s="405">
        <v>-0.1</v>
      </c>
      <c r="D8" s="406">
        <v>0.3555</v>
      </c>
      <c r="E8" s="406">
        <f>E7</f>
        <v>0.0984</v>
      </c>
      <c r="F8" s="407" t="str">
        <f>IF(D8&gt;'[2]Evaluacion Financiera'!$D$49,"SE ACEPTA","SE RECHAZA")</f>
        <v>SE ACEPTA</v>
      </c>
      <c r="G8" s="408"/>
      <c r="H8" s="409"/>
      <c r="I8" s="410"/>
    </row>
    <row r="9" spans="2:9" ht="13.5" thickBot="1">
      <c r="B9" s="411"/>
      <c r="C9" s="412">
        <v>-0.15</v>
      </c>
      <c r="D9" s="413">
        <v>0.2748</v>
      </c>
      <c r="E9" s="413">
        <f>E8</f>
        <v>0.0984</v>
      </c>
      <c r="F9" s="414" t="str">
        <f>IF(D9&gt;'[2]Evaluacion Financiera'!$D$49,"SE ACEPTA","SE RECHAZA")</f>
        <v>SE ACEPTA</v>
      </c>
      <c r="G9" s="408"/>
      <c r="H9" s="409"/>
      <c r="I9" s="410"/>
    </row>
    <row r="10" spans="2:9" ht="12.75">
      <c r="B10" s="397" t="s">
        <v>279</v>
      </c>
      <c r="C10" s="415">
        <v>0.05</v>
      </c>
      <c r="D10" s="399">
        <v>0.5013</v>
      </c>
      <c r="E10" s="399">
        <f>E9</f>
        <v>0.0984</v>
      </c>
      <c r="F10" s="400" t="str">
        <f>IF(D10&gt;'[2]Evaluacion Financiera'!$D$49,"SE ACEPTA","SE RECHAZA")</f>
        <v>SE ACEPTA</v>
      </c>
      <c r="G10" s="401" t="s">
        <v>280</v>
      </c>
      <c r="H10" s="402"/>
      <c r="I10" s="403"/>
    </row>
    <row r="11" spans="2:9" ht="12.75">
      <c r="B11" s="404"/>
      <c r="C11" s="416">
        <v>0.1</v>
      </c>
      <c r="D11" s="406">
        <v>0.4925</v>
      </c>
      <c r="E11" s="406">
        <f>E10</f>
        <v>0.0984</v>
      </c>
      <c r="F11" s="407" t="str">
        <f>IF(D11&gt;'[2]Evaluacion Financiera'!$D$49,"SE ACEPTA","SE RECHAZA")</f>
        <v>SE ACEPTA</v>
      </c>
      <c r="G11" s="408"/>
      <c r="H11" s="409"/>
      <c r="I11" s="410"/>
    </row>
    <row r="12" spans="2:9" ht="12.75">
      <c r="B12" s="404"/>
      <c r="C12" s="416">
        <v>0.15</v>
      </c>
      <c r="D12" s="406">
        <v>0.4836</v>
      </c>
      <c r="E12" s="406">
        <f>E11</f>
        <v>0.0984</v>
      </c>
      <c r="F12" s="407" t="str">
        <f>IF(D12&gt;'[2]Evaluacion Financiera'!$D$49,"SE ACEPTA","SE RECHAZA")</f>
        <v>SE ACEPTA</v>
      </c>
      <c r="G12" s="408"/>
      <c r="H12" s="409"/>
      <c r="I12" s="410"/>
    </row>
    <row r="13" spans="2:9" ht="12.75">
      <c r="B13" s="404" t="s">
        <v>281</v>
      </c>
      <c r="C13" s="416">
        <v>-0.05</v>
      </c>
      <c r="D13" s="406">
        <v>0.519</v>
      </c>
      <c r="E13" s="406">
        <f>E12</f>
        <v>0.0984</v>
      </c>
      <c r="F13" s="407" t="str">
        <f>IF(D13&gt;'[2]Evaluacion Financiera'!$D$49,"SE ACEPTA","SE RECHAZA")</f>
        <v>SE ACEPTA</v>
      </c>
      <c r="G13" s="408"/>
      <c r="H13" s="409"/>
      <c r="I13" s="410"/>
    </row>
    <row r="14" spans="2:9" ht="12.75">
      <c r="B14" s="404"/>
      <c r="C14" s="416">
        <v>-0.1</v>
      </c>
      <c r="D14" s="406">
        <v>0.5278</v>
      </c>
      <c r="E14" s="406">
        <f>E13</f>
        <v>0.0984</v>
      </c>
      <c r="F14" s="407" t="str">
        <f>IF(D14&gt;'[2]Evaluacion Financiera'!$D$49,"SE ACEPTA","SE RECHAZA")</f>
        <v>SE ACEPTA</v>
      </c>
      <c r="G14" s="408"/>
      <c r="H14" s="409"/>
      <c r="I14" s="410"/>
    </row>
    <row r="15" spans="2:9" ht="13.5" thickBot="1">
      <c r="B15" s="417"/>
      <c r="C15" s="418">
        <v>-0.4317</v>
      </c>
      <c r="D15" s="419">
        <v>0.5857</v>
      </c>
      <c r="E15" s="419">
        <f>E14</f>
        <v>0.0984</v>
      </c>
      <c r="F15" s="420" t="str">
        <f>IF(D15&gt;'[2]Evaluacion Financiera'!$D$49,"SE ACEPTA","SE RECHAZA")</f>
        <v>SE ACEPTA</v>
      </c>
      <c r="G15" s="421"/>
      <c r="H15" s="422"/>
      <c r="I15" s="423"/>
    </row>
    <row r="16" spans="2:9" ht="12.75">
      <c r="B16" s="397" t="s">
        <v>282</v>
      </c>
      <c r="C16" s="415">
        <v>0.05</v>
      </c>
      <c r="D16" s="399">
        <v>0.4738</v>
      </c>
      <c r="E16" s="399">
        <f>E15</f>
        <v>0.0984</v>
      </c>
      <c r="F16" s="424" t="str">
        <f>IF(D16&gt;'[2]Evaluacion Financiera'!$D$49,"SE ACEPTA","SE RECHAZA")</f>
        <v>SE ACEPTA</v>
      </c>
      <c r="G16" s="409" t="s">
        <v>283</v>
      </c>
      <c r="H16" s="409"/>
      <c r="I16" s="410"/>
    </row>
    <row r="17" spans="2:9" ht="12.75">
      <c r="B17" s="404"/>
      <c r="C17" s="416">
        <v>0.1</v>
      </c>
      <c r="D17" s="406">
        <v>0.4374</v>
      </c>
      <c r="E17" s="406">
        <f>E16</f>
        <v>0.0984</v>
      </c>
      <c r="F17" s="425" t="str">
        <f>IF(D17&gt;'[2]Evaluacion Financiera'!$D$49,"SE ACEPTA","SE RECHAZA")</f>
        <v>SE ACEPTA</v>
      </c>
      <c r="G17" s="409"/>
      <c r="H17" s="409"/>
      <c r="I17" s="410"/>
    </row>
    <row r="18" spans="2:9" ht="12.75">
      <c r="B18" s="404"/>
      <c r="C18" s="416">
        <v>0.15</v>
      </c>
      <c r="D18" s="406">
        <v>0.4008</v>
      </c>
      <c r="E18" s="406">
        <f>E17</f>
        <v>0.0984</v>
      </c>
      <c r="F18" s="425" t="str">
        <f>IF(D18&gt;'[2]Evaluacion Financiera'!$D$49,"SE ACEPTA","SE RECHAZA")</f>
        <v>SE ACEPTA</v>
      </c>
      <c r="G18" s="409"/>
      <c r="H18" s="409"/>
      <c r="I18" s="410"/>
    </row>
    <row r="19" spans="2:9" ht="12.75">
      <c r="B19" s="404" t="s">
        <v>284</v>
      </c>
      <c r="C19" s="416">
        <v>-0.05</v>
      </c>
      <c r="D19" s="406">
        <v>0.5664</v>
      </c>
      <c r="E19" s="406">
        <f>E18</f>
        <v>0.0984</v>
      </c>
      <c r="F19" s="425" t="str">
        <f>IF(D19&gt;'[2]Evaluacion Financiera'!$D$49,"SE ACEPTA","SE RECHAZA")</f>
        <v>SE ACEPTA</v>
      </c>
      <c r="G19" s="409"/>
      <c r="H19" s="409"/>
      <c r="I19" s="410"/>
    </row>
    <row r="20" spans="2:9" ht="12.75">
      <c r="B20" s="404"/>
      <c r="C20" s="416">
        <v>-0.1</v>
      </c>
      <c r="D20" s="406">
        <v>0.5826</v>
      </c>
      <c r="E20" s="406">
        <f>E19</f>
        <v>0.0984</v>
      </c>
      <c r="F20" s="425" t="str">
        <f>IF(D20&gt;'[2]Evaluacion Financiera'!$D$49,"SE ACEPTA","SE RECHAZA")</f>
        <v>SE ACEPTA</v>
      </c>
      <c r="G20" s="409"/>
      <c r="H20" s="409"/>
      <c r="I20" s="410"/>
    </row>
    <row r="21" spans="2:9" ht="13.5" thickBot="1">
      <c r="B21" s="417"/>
      <c r="C21" s="418">
        <v>-0.15</v>
      </c>
      <c r="D21" s="419">
        <v>0.6186</v>
      </c>
      <c r="E21" s="419">
        <f>E20</f>
        <v>0.0984</v>
      </c>
      <c r="F21" s="426" t="str">
        <f>IF(D21&gt;'[2]Evaluacion Financiera'!$D$49,"SE ACEPTA","SE RECHAZA")</f>
        <v>SE ACEPTA</v>
      </c>
      <c r="G21" s="422"/>
      <c r="H21" s="422"/>
      <c r="I21" s="423"/>
    </row>
  </sheetData>
  <sheetProtection/>
  <mergeCells count="11">
    <mergeCell ref="B13:B15"/>
    <mergeCell ref="B16:B18"/>
    <mergeCell ref="G16:I21"/>
    <mergeCell ref="B19:B21"/>
    <mergeCell ref="B2:I2"/>
    <mergeCell ref="G3:I3"/>
    <mergeCell ref="B4:B6"/>
    <mergeCell ref="G4:I9"/>
    <mergeCell ref="B7:B9"/>
    <mergeCell ref="B10:B12"/>
    <mergeCell ref="G10:I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valdivieso</cp:lastModifiedBy>
  <dcterms:created xsi:type="dcterms:W3CDTF">2010-02-18T02:40:17Z</dcterms:created>
  <dcterms:modified xsi:type="dcterms:W3CDTF">2010-02-22T20:15:18Z</dcterms:modified>
  <cp:category/>
  <cp:version/>
  <cp:contentType/>
  <cp:contentStatus/>
</cp:coreProperties>
</file>