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813" firstSheet="4" activeTab="13"/>
  </bookViews>
  <sheets>
    <sheet name="EQUIPOS" sheetId="1" r:id="rId1"/>
    <sheet name="PERSONAL" sheetId="2" r:id="rId2"/>
    <sheet name="balance infraestructura fis (2)" sheetId="3" r:id="rId3"/>
    <sheet name="Tamaño Bodega" sheetId="4" r:id="rId4"/>
    <sheet name="Localiz.Bodega" sheetId="5" r:id="rId5"/>
    <sheet name="Inver.inicial" sheetId="6" r:id="rId6"/>
    <sheet name="Equipamiento" sheetId="7" r:id="rId7"/>
    <sheet name="Sueldos" sheetId="8" r:id="rId8"/>
    <sheet name="Gstosoper" sheetId="9" r:id="rId9"/>
    <sheet name="Publi" sheetId="10" r:id="rId10"/>
    <sheet name="Dem.Mens.Proy." sheetId="11" r:id="rId11"/>
    <sheet name="Depr" sheetId="12" r:id="rId12"/>
    <sheet name="Cap_Trab" sheetId="13" r:id="rId13"/>
    <sheet name="FLUJO CAJA" sheetId="14" r:id="rId14"/>
    <sheet name="Payback" sheetId="15" r:id="rId15"/>
    <sheet name="Amort. DEUDA" sheetId="16" r:id="rId16"/>
  </sheets>
  <definedNames>
    <definedName name="_xlnm.Print_Area" localSheetId="12">'Cap_Trab'!$A$2:$M$24</definedName>
    <definedName name="_xlnm.Print_Area" localSheetId="10">'Dem.Mens.Proy.'!$A$2:$O$39</definedName>
    <definedName name="_xlnm.Print_Area" localSheetId="13">'FLUJO CAJA'!$A$2:$L$44</definedName>
    <definedName name="cm">#REF!</definedName>
    <definedName name="i">#REF!</definedName>
    <definedName name="np">#REF!</definedName>
    <definedName name="p">#REF!</definedName>
    <definedName name="pa">#REF!</definedName>
    <definedName name="pn">#REF!</definedName>
    <definedName name="pp">#REF!</definedName>
    <definedName name="tn">#REF!</definedName>
  </definedNames>
  <calcPr fullCalcOnLoad="1"/>
</workbook>
</file>

<file path=xl/sharedStrings.xml><?xml version="1.0" encoding="utf-8"?>
<sst xmlns="http://schemas.openxmlformats.org/spreadsheetml/2006/main" count="448" uniqueCount="280">
  <si>
    <t>Muebles y Enseres</t>
  </si>
  <si>
    <t>Equipos de Computación</t>
  </si>
  <si>
    <t>Equipos</t>
  </si>
  <si>
    <t>Muebles de Oficina</t>
  </si>
  <si>
    <t>Cantidad</t>
  </si>
  <si>
    <t>Costo 
Unitario</t>
  </si>
  <si>
    <t>Costo
Total</t>
  </si>
  <si>
    <t>Vida 
Útil</t>
  </si>
  <si>
    <t>Archivador aéreo</t>
  </si>
  <si>
    <t>Escritorio Gerente</t>
  </si>
  <si>
    <t>Escritorio Asistente</t>
  </si>
  <si>
    <t>Sillón jefe</t>
  </si>
  <si>
    <t>Puerta de vidrio</t>
  </si>
  <si>
    <t>Gerencias, Contabilidad y Recepción</t>
  </si>
  <si>
    <t>Sillas giratorias</t>
  </si>
  <si>
    <t>Total</t>
  </si>
  <si>
    <t>Computadoras</t>
  </si>
  <si>
    <t>Servidor para Sistema Operativo, Correo y Aplicaciones</t>
  </si>
  <si>
    <t>Software Administrativo y Financiero</t>
  </si>
  <si>
    <t>Implementos de Red (Swich,puntos,etc)</t>
  </si>
  <si>
    <t>Equipos de Oficina</t>
  </si>
  <si>
    <t>Dispensador de Agua</t>
  </si>
  <si>
    <t>Teléfono Fax</t>
  </si>
  <si>
    <t>Teléfono</t>
  </si>
  <si>
    <t>Acondicionador de Aire</t>
  </si>
  <si>
    <t>Total Inversión Administración</t>
  </si>
  <si>
    <t>DEPRECIACIÓN</t>
  </si>
  <si>
    <t>Equipo de computación</t>
  </si>
  <si>
    <t>Activo</t>
  </si>
  <si>
    <t>Valor de compra</t>
  </si>
  <si>
    <t>Vida contable</t>
  </si>
  <si>
    <t>Depreciación anual</t>
  </si>
  <si>
    <t>Años 
depreciándose</t>
  </si>
  <si>
    <t>Depreciación acumulada</t>
  </si>
  <si>
    <t>VALOR DE DESECHO</t>
  </si>
  <si>
    <t>AMORTIZACIÓN</t>
  </si>
  <si>
    <t>Gastos de Constitución</t>
  </si>
  <si>
    <t>Valor</t>
  </si>
  <si>
    <t>Concepto</t>
  </si>
  <si>
    <t>Subtotal</t>
  </si>
  <si>
    <t>Gastos de Puesta en Marcha</t>
  </si>
  <si>
    <t xml:space="preserve">   Patente o Marca Registrada</t>
  </si>
  <si>
    <t xml:space="preserve">   Seguros</t>
  </si>
  <si>
    <t xml:space="preserve">   Línea Telefónica</t>
  </si>
  <si>
    <t>Mensual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</si>
  <si>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</si>
  <si>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</si>
  <si>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</si>
  <si>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</si>
  <si>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</si>
  <si>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</si>
  <si>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</si>
  <si>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</si>
  <si>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</si>
  <si>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</si>
  <si>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</si>
  <si>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</si>
  <si>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</si>
  <si>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</si>
  <si>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INGRESOS</t>
  </si>
  <si>
    <t>Remuneración</t>
  </si>
  <si>
    <t>Balance de Personal</t>
  </si>
  <si>
    <t>No. 
De Puestos</t>
  </si>
  <si>
    <t>Gastos mantenimiento de equipo y oficina</t>
  </si>
  <si>
    <t>Electricidad</t>
  </si>
  <si>
    <t>Agua</t>
  </si>
  <si>
    <t>Suministros de Oficina</t>
  </si>
  <si>
    <t>INGRESOS</t>
  </si>
  <si>
    <t>ADMINISTRACIÓN</t>
  </si>
  <si>
    <t>INVERSIÓN INICIAL</t>
  </si>
  <si>
    <t>EGRESOS</t>
  </si>
  <si>
    <t>TOTAL EGRESOS</t>
  </si>
  <si>
    <t>UTILIDAD NETA ANTES PAT</t>
  </si>
  <si>
    <t>15% PAT</t>
  </si>
  <si>
    <t>Utilidad antes IR</t>
  </si>
  <si>
    <t>AÑOS</t>
  </si>
  <si>
    <t>(+)Depreciación</t>
  </si>
  <si>
    <t>Capital de trabajo</t>
  </si>
  <si>
    <t>TIR</t>
  </si>
  <si>
    <t>Ponderación</t>
  </si>
  <si>
    <t>Gastos de seguro</t>
  </si>
  <si>
    <t>GASTOS GENERALES Y DE ADMINISTRACIÓN</t>
  </si>
  <si>
    <t>Total Gastos G y A</t>
  </si>
  <si>
    <t>Total Serv. Básicos</t>
  </si>
  <si>
    <t>GASTOS SERVICIOS BÁSICOS</t>
  </si>
  <si>
    <t>Gastos Gen. y Adm</t>
  </si>
  <si>
    <t>Gastos de Sueldos</t>
  </si>
  <si>
    <t>Gastos de Publicidad</t>
  </si>
  <si>
    <t>Gastos Generales y Administración</t>
  </si>
  <si>
    <t>Servicios Básicos</t>
  </si>
  <si>
    <t>TOTAL ANUAL</t>
  </si>
  <si>
    <t>25% IR</t>
  </si>
  <si>
    <t xml:space="preserve">Utilidad neta   </t>
  </si>
  <si>
    <t xml:space="preserve">   Otros</t>
  </si>
  <si>
    <t>Publicidad</t>
  </si>
  <si>
    <t>CANTIDAD</t>
  </si>
  <si>
    <t>PRECIOS</t>
  </si>
  <si>
    <t>COSTOS VARIABLES</t>
  </si>
  <si>
    <t>Gastos por Servicios Basicos</t>
  </si>
  <si>
    <t>Teléfonos</t>
  </si>
  <si>
    <t>Imprevistos 1,5%</t>
  </si>
  <si>
    <t>Oficina</t>
  </si>
  <si>
    <t>Bodega (500 mts2)</t>
  </si>
  <si>
    <t>División modular piso-techo</t>
  </si>
  <si>
    <t xml:space="preserve">Otros </t>
  </si>
  <si>
    <t>EQUIPOS</t>
  </si>
  <si>
    <t>(-)Depreciación</t>
  </si>
  <si>
    <t xml:space="preserve">   Instalaciones eléc. y cableado estructurado</t>
  </si>
  <si>
    <t>SALDO ACUMULADO</t>
  </si>
  <si>
    <t>SALDO MENSUAL</t>
  </si>
  <si>
    <t>MESES</t>
  </si>
  <si>
    <t>Valor de Desecho</t>
  </si>
  <si>
    <t>Inversion Inicial</t>
  </si>
  <si>
    <t>Máquinas</t>
  </si>
  <si>
    <t>Costo Unitario (US$)</t>
  </si>
  <si>
    <t>Costo Total (US$)</t>
  </si>
  <si>
    <t>Vida Útil</t>
  </si>
  <si>
    <t>Inversión inicial en máquinas</t>
  </si>
  <si>
    <t>Cargo</t>
  </si>
  <si>
    <t>No. Puestos</t>
  </si>
  <si>
    <t>Unitario</t>
  </si>
  <si>
    <t>Balance de Maquinaria</t>
  </si>
  <si>
    <t>ANCHO</t>
  </si>
  <si>
    <t>PROFUNDIDAD</t>
  </si>
  <si>
    <t>Metros</t>
  </si>
  <si>
    <t>BODEGA</t>
  </si>
  <si>
    <t>Metros2</t>
  </si>
  <si>
    <t>Peso</t>
  </si>
  <si>
    <t>Calificación</t>
  </si>
  <si>
    <t>Seguridad</t>
  </si>
  <si>
    <t>BALANCE DE EQUIPOS Y HERRAMIENTAS</t>
  </si>
  <si>
    <t>Tasa de Descuento (CAPM)</t>
  </si>
  <si>
    <t>Periodo</t>
  </si>
  <si>
    <t>Saldo</t>
  </si>
  <si>
    <t>Flujo</t>
  </si>
  <si>
    <t>Rentabilidad</t>
  </si>
  <si>
    <t>Recuperación</t>
  </si>
  <si>
    <t>(años)</t>
  </si>
  <si>
    <t>inversión</t>
  </si>
  <si>
    <t>de caja</t>
  </si>
  <si>
    <t>exigida</t>
  </si>
  <si>
    <t>Inversión</t>
  </si>
  <si>
    <t>Acciones de Lanzamiento</t>
  </si>
  <si>
    <t>MEDIOS</t>
  </si>
  <si>
    <t>PRECIO</t>
  </si>
  <si>
    <t xml:space="preserve">Mailing masivo </t>
  </si>
  <si>
    <t>Publireportaje</t>
  </si>
  <si>
    <t>Web site</t>
  </si>
  <si>
    <t>Acciones  mantenimiento</t>
  </si>
  <si>
    <t>Se mantendrá un costo de publicidad anual de</t>
  </si>
  <si>
    <t>Flujo Efectivo Neto</t>
  </si>
  <si>
    <t>Prima por Riesgo</t>
  </si>
  <si>
    <t>CAPM</t>
  </si>
  <si>
    <t>RF</t>
  </si>
  <si>
    <t>BETA DE LA INDUSTRIA</t>
  </si>
  <si>
    <t>Anexo 6.2. Demanda Mensual Proyectada</t>
  </si>
  <si>
    <t>Período de Recuperación de la Inversión (Payback)</t>
  </si>
  <si>
    <t>Termoselladora</t>
  </si>
  <si>
    <t>Congeladores</t>
  </si>
  <si>
    <t>Maquinas expendedoras</t>
  </si>
  <si>
    <t>Guardia</t>
  </si>
  <si>
    <t>Chofer</t>
  </si>
  <si>
    <t>Personal oficios varios</t>
  </si>
  <si>
    <t>Operarios</t>
  </si>
  <si>
    <t>Asistente de gerencia</t>
  </si>
  <si>
    <t>Contador</t>
  </si>
  <si>
    <t>Gerente</t>
  </si>
  <si>
    <t>LOCALIZACIÓN PLANTA DE PROCESO Y ALMACENAJE</t>
  </si>
  <si>
    <t>VIA A DAULE</t>
  </si>
  <si>
    <t>VIA PERIMETRAL</t>
  </si>
  <si>
    <t xml:space="preserve">Factor </t>
  </si>
  <si>
    <t>Materia prima disponible</t>
  </si>
  <si>
    <t>Vía de acceso</t>
  </si>
  <si>
    <t>Servicios básicos</t>
  </si>
  <si>
    <t>TOTALES</t>
  </si>
  <si>
    <t>JUAN TANCA MARENGO</t>
  </si>
  <si>
    <t>Personal Oficios Varios</t>
  </si>
  <si>
    <t>Gerencia, Contabilidad y Asistencia</t>
  </si>
  <si>
    <t xml:space="preserve">Silla visita </t>
  </si>
  <si>
    <t>Impresora de Red Toner</t>
  </si>
  <si>
    <t>\</t>
  </si>
  <si>
    <t>Alquiler de espacio</t>
  </si>
  <si>
    <t>San Marino</t>
  </si>
  <si>
    <t>Mall de Sol</t>
  </si>
  <si>
    <t>Policentro</t>
  </si>
  <si>
    <t>Universidades</t>
  </si>
  <si>
    <t>Lugar</t>
  </si>
  <si>
    <t>Total Alquiler</t>
  </si>
  <si>
    <t>Flyers (14.5cm x 10cm)</t>
  </si>
  <si>
    <t>Impulsadoras</t>
  </si>
  <si>
    <t>Maquinas Expendedoras</t>
  </si>
  <si>
    <t>Riocentros</t>
  </si>
  <si>
    <t>Uvas</t>
  </si>
  <si>
    <t>Manzanas</t>
  </si>
  <si>
    <t>Frutillas</t>
  </si>
  <si>
    <t>Durazno</t>
  </si>
  <si>
    <t>Mango</t>
  </si>
  <si>
    <t>2% ventas</t>
  </si>
  <si>
    <t>Costo variable total Uvas</t>
  </si>
  <si>
    <t>COSTOS VARIABLES TOTALES</t>
  </si>
  <si>
    <t>Costo variable total Manzanas</t>
  </si>
  <si>
    <t>Costo variable total Frutillas</t>
  </si>
  <si>
    <t>Costo variable total Durazno</t>
  </si>
  <si>
    <t>Costo variable total Mango</t>
  </si>
  <si>
    <t>Venta Uvas</t>
  </si>
  <si>
    <t>Venta Manzanas</t>
  </si>
  <si>
    <t>Venta Frutillas</t>
  </si>
  <si>
    <t>Venta Durazno</t>
  </si>
  <si>
    <t>Venta Mango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</si>
  <si>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</si>
  <si>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</si>
  <si>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</si>
  <si>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</si>
  <si>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</si>
  <si>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</si>
  <si>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</si>
  <si>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</si>
  <si>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</si>
  <si>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</si>
  <si>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Costo Uvas</t>
  </si>
  <si>
    <t>Costo Manzanas</t>
  </si>
  <si>
    <t>Costo Frutillas</t>
  </si>
  <si>
    <t>Costo Durazno</t>
  </si>
  <si>
    <t>Costo Mango</t>
  </si>
  <si>
    <t>Sueldos</t>
  </si>
  <si>
    <t>Préstamo</t>
  </si>
  <si>
    <t>Gastos de Interéses</t>
  </si>
  <si>
    <t>Amortización del Préstamo</t>
  </si>
  <si>
    <t>Total alquiler</t>
  </si>
  <si>
    <t>Valor de desecho</t>
  </si>
  <si>
    <t>Vehículo</t>
  </si>
  <si>
    <t>Tabla de amortizacion DELIFRUT S.A.</t>
  </si>
  <si>
    <t>Valor del Prestamo</t>
  </si>
  <si>
    <t>Tiempo anos</t>
  </si>
  <si>
    <t>Tasa</t>
  </si>
  <si>
    <t>N Pagos</t>
  </si>
  <si>
    <t>Pagos mensuales</t>
  </si>
  <si>
    <t>Interes Mens</t>
  </si>
  <si>
    <t>Pago interes</t>
  </si>
  <si>
    <t>Capital</t>
  </si>
  <si>
    <t>Pago</t>
  </si>
  <si>
    <t>Interes</t>
  </si>
  <si>
    <t>Infraestrucutra</t>
  </si>
  <si>
    <t>INGRESO ANUAL</t>
  </si>
  <si>
    <t>BALANCE DE ESTRUCTURA FISICA</t>
  </si>
  <si>
    <t>CONCEPTO</t>
  </si>
  <si>
    <t>CANTIDAD(m2)</t>
  </si>
  <si>
    <t>VALOR UNITARIO</t>
  </si>
  <si>
    <t>VALOR TOTAL</t>
  </si>
  <si>
    <t>Terreno</t>
  </si>
  <si>
    <t>Ubicación (Daule)</t>
  </si>
  <si>
    <t>Levantamiento de Infraestructura</t>
  </si>
  <si>
    <t>Oficinas administrativas</t>
  </si>
  <si>
    <t>Área de proceso</t>
  </si>
  <si>
    <t>Recepción del producto</t>
  </si>
  <si>
    <t>TOTALES:</t>
  </si>
  <si>
    <t>COSTOS FIJOS</t>
  </si>
  <si>
    <t>Total Costos Fijos</t>
  </si>
  <si>
    <t>Costo</t>
  </si>
  <si>
    <t>Capital de Trabajo</t>
  </si>
  <si>
    <t>GASTOS DE ALQUILER</t>
  </si>
  <si>
    <t>Stands (Impulsadoras)</t>
  </si>
  <si>
    <t>TOTAL SUELDOS</t>
  </si>
  <si>
    <t>GASTOS DE SUELDOS DE PERSONAL ADMINISTRATIVO Y OPERATIVO</t>
  </si>
  <si>
    <t>FLUJO DE EFECTIVO NETO</t>
  </si>
  <si>
    <t>COSTOS DE PUESTA EN MARCHA Y CONSTITUCION</t>
  </si>
  <si>
    <t>GASTOS DE PUBLICIDAD</t>
  </si>
  <si>
    <t>Medios</t>
  </si>
  <si>
    <t>Precio</t>
  </si>
  <si>
    <t>Fruta</t>
  </si>
  <si>
    <t>Costo Unitario</t>
  </si>
  <si>
    <t>Margen Ganancia</t>
  </si>
  <si>
    <t>Ingreso Anual</t>
  </si>
  <si>
    <t>PRECIO Y MARGEN DE GANANCIA</t>
  </si>
  <si>
    <t>VALOR DE DESECHO (MÉTODO COMERCIAL)</t>
  </si>
  <si>
    <t>Baños (2)</t>
  </si>
  <si>
    <t xml:space="preserve">AÑO 7 </t>
  </si>
  <si>
    <t>VAN</t>
  </si>
  <si>
    <t>RIESGO PAIS</t>
  </si>
  <si>
    <t>CAPM + RIESGO PAIS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</si>
</sst>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\ #,##0;[Red]&quot;$&quot;\ \-#,##0"/>
    <numFmt numFmtId="177" formatCode="[$$-300A]\ #,##0.00"/>
    <numFmt numFmtId="178" formatCode="0.000"/>
    <numFmt numFmtId="179" formatCode="#,##0.00\ _€"/>
    <numFmt numFmtId="180" formatCode="_ [$$-2C0A]\ * #,##0.00_ ;_ [$$-2C0A]\ * \-#,##0.00_ ;_ [$$-2C0A]\ * &quot;-&quot;??_ ;_ @_ "/>
    <numFmt numFmtId="181" formatCode="&quot;$&quot;\ #,##0.00"/>
    <numFmt numFmtId="182" formatCode="0.00_ ;\-0.00\ "/>
    <numFmt numFmtId="183" formatCode="#,##0\ _€"/>
    <numFmt numFmtId="184" formatCode="[$$-300A]\ #,##0.0000"/>
    <numFmt numFmtId="185" formatCode="&quot;$&quot;#,##0.00"/>
    <numFmt numFmtId="186" formatCode="_-* #,##0\ _€_-;\-* #,##0\ _€_-;_-* &quot;-&quot;??\ _€_-;_-@_-"/>
    <numFmt numFmtId="187" formatCode="&quot;$&quot;#,##0"/>
    <numFmt numFmtId="188" formatCode="[$$-300A]\ #,##0"/>
    <numFmt numFmtId="189" formatCode="_ [$$-2C0A]\ * #,##0_ ;_ [$$-2C0A]\ * \-#,##0_ ;_ [$$-2C0A]\ * &quot;-&quot;??_ ;_ @_ "/>
    <numFmt numFmtId="190" formatCode="_-* #,##0_-;\-* #,##0_-;_-* &quot;-&quot;??_-;_-@_-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\ _€_-;\-* #,##0.0\ _€_-;_-* &quot;-&quot;??\ _€_-;_-@_-"/>
    <numFmt numFmtId="197" formatCode="&quot;$&quot;#,##0_);[Red]\(&quot;$&quot;#,##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0000%"/>
    <numFmt numFmtId="201" formatCode="&quot;$&quot;#,##0.00_);\(&quot;$&quot;#,##0.00\)"/>
    <numFmt numFmtId="202" formatCode="_([$€]* #,##0.00_);_([$€]* \(#,##0.00\);_([$€]* &quot;-&quot;??_);_(@_)"/>
    <numFmt numFmtId="203" formatCode="#,##0\ &quot;€&quot;;\-#,##0\ &quot;€&quot;"/>
    <numFmt numFmtId="204" formatCode="#,##0\ &quot;€&quot;;[Red]\-#,##0\ &quot;€&quot;"/>
    <numFmt numFmtId="205" formatCode="#,##0.00\ &quot;€&quot;;\-#,##0.00\ &quot;€&quot;"/>
    <numFmt numFmtId="206" formatCode="#,##0.00\ &quot;€&quot;;[Red]\-#,##0.00\ &quot;€&quot;"/>
    <numFmt numFmtId="207" formatCode="&quot;$&quot;#,##0_);\(&quot;$&quot;#,##0\)"/>
    <numFmt numFmtId="208" formatCode="&quot;$&quot;#,##0.00_);[Red]\(&quot;$&quot;#,##0.00\)"/>
    <numFmt numFmtId="209" formatCode="m/d/yy\ h:mm"/>
    <numFmt numFmtId="210" formatCode="0E+00"/>
    <numFmt numFmtId="211" formatCode="&quot;$&quot;\ #,##0.0_);[Red]\(&quot;$&quot;\ #,##0.0\)"/>
    <numFmt numFmtId="212" formatCode="0.0%"/>
    <numFmt numFmtId="213" formatCode="[$$-300A]\ #,##0.0"/>
    <numFmt numFmtId="214" formatCode="_([$$-300A]\ * #,##0.00_);_([$$-300A]\ * \(#,##0.00\);_([$$-300A]\ * &quot;-&quot;??_);_(@_)"/>
    <numFmt numFmtId="215" formatCode="0.000%"/>
    <numFmt numFmtId="216" formatCode="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theme="1"/>
      <name val="Calibri"/>
      <family val="2"/>
    </font>
    <font>
      <b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horizontal="center"/>
    </xf>
    <xf numFmtId="182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10" fontId="4" fillId="0" borderId="0" xfId="59" applyNumberFormat="1" applyFont="1" applyFill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3" fontId="6" fillId="33" borderId="10" xfId="0" applyNumberFormat="1" applyFont="1" applyFill="1" applyBorder="1" applyAlignment="1">
      <alignment horizontal="center"/>
    </xf>
    <xf numFmtId="182" fontId="6" fillId="33" borderId="10" xfId="0" applyNumberFormat="1" applyFont="1" applyFill="1" applyBorder="1" applyAlignment="1">
      <alignment/>
    </xf>
    <xf numFmtId="186" fontId="4" fillId="0" borderId="10" xfId="49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59" applyFont="1" applyAlignment="1">
      <alignment/>
    </xf>
    <xf numFmtId="187" fontId="4" fillId="0" borderId="10" xfId="54" applyNumberFormat="1" applyFont="1" applyFill="1" applyBorder="1" applyAlignment="1">
      <alignment horizontal="right"/>
    </xf>
    <xf numFmtId="182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88" fontId="4" fillId="34" borderId="10" xfId="0" applyNumberFormat="1" applyFont="1" applyFill="1" applyBorder="1" applyAlignment="1">
      <alignment/>
    </xf>
    <xf numFmtId="188" fontId="4" fillId="34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 quotePrefix="1">
      <alignment horizontal="center"/>
    </xf>
    <xf numFmtId="188" fontId="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left"/>
    </xf>
    <xf numFmtId="180" fontId="6" fillId="33" borderId="10" xfId="0" applyNumberFormat="1" applyFont="1" applyFill="1" applyBorder="1" applyAlignment="1">
      <alignment horizontal="center"/>
    </xf>
    <xf numFmtId="186" fontId="4" fillId="0" borderId="10" xfId="49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0" fontId="0" fillId="0" borderId="12" xfId="59" applyNumberForma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10" fontId="0" fillId="0" borderId="10" xfId="59" applyNumberFormat="1" applyFill="1" applyBorder="1" applyAlignment="1">
      <alignment/>
    </xf>
    <xf numFmtId="188" fontId="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Alignment="1">
      <alignment wrapText="1"/>
    </xf>
    <xf numFmtId="9" fontId="4" fillId="0" borderId="0" xfId="0" applyNumberFormat="1" applyFont="1" applyFill="1" applyBorder="1" applyAlignment="1">
      <alignment/>
    </xf>
    <xf numFmtId="188" fontId="4" fillId="33" borderId="12" xfId="0" applyNumberFormat="1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 horizontal="center"/>
    </xf>
    <xf numFmtId="182" fontId="8" fillId="0" borderId="0" xfId="0" applyNumberFormat="1" applyFont="1" applyFill="1" applyAlignment="1">
      <alignment/>
    </xf>
    <xf numFmtId="191" fontId="4" fillId="33" borderId="10" xfId="53" applyNumberFormat="1" applyFont="1" applyFill="1" applyBorder="1" applyAlignment="1">
      <alignment/>
    </xf>
    <xf numFmtId="188" fontId="4" fillId="34" borderId="10" xfId="0" applyNumberFormat="1" applyFont="1" applyFill="1" applyBorder="1" applyAlignment="1">
      <alignment horizontal="center"/>
    </xf>
    <xf numFmtId="188" fontId="4" fillId="34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186" fontId="4" fillId="0" borderId="11" xfId="49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6" fontId="4" fillId="0" borderId="0" xfId="0" applyNumberFormat="1" applyFont="1" applyAlignment="1">
      <alignment/>
    </xf>
    <xf numFmtId="9" fontId="11" fillId="0" borderId="0" xfId="59" applyFont="1" applyAlignment="1">
      <alignment/>
    </xf>
    <xf numFmtId="9" fontId="11" fillId="0" borderId="0" xfId="59" applyNumberFormat="1" applyFont="1" applyAlignment="1">
      <alignment/>
    </xf>
    <xf numFmtId="182" fontId="12" fillId="0" borderId="0" xfId="0" applyNumberFormat="1" applyFont="1" applyFill="1" applyAlignment="1">
      <alignment/>
    </xf>
    <xf numFmtId="187" fontId="4" fillId="0" borderId="0" xfId="54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justify"/>
    </xf>
    <xf numFmtId="3" fontId="4" fillId="34" borderId="10" xfId="0" applyNumberFormat="1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188" fontId="6" fillId="34" borderId="12" xfId="0" applyNumberFormat="1" applyFont="1" applyFill="1" applyBorder="1" applyAlignment="1">
      <alignment wrapText="1"/>
    </xf>
    <xf numFmtId="188" fontId="6" fillId="34" borderId="10" xfId="0" applyNumberFormat="1" applyFont="1" applyFill="1" applyBorder="1" applyAlignment="1">
      <alignment horizontal="center"/>
    </xf>
    <xf numFmtId="182" fontId="4" fillId="34" borderId="10" xfId="0" applyNumberFormat="1" applyFont="1" applyFill="1" applyBorder="1" applyAlignment="1">
      <alignment/>
    </xf>
    <xf numFmtId="179" fontId="4" fillId="34" borderId="10" xfId="0" applyNumberFormat="1" applyFont="1" applyFill="1" applyBorder="1" applyAlignment="1">
      <alignment wrapText="1"/>
    </xf>
    <xf numFmtId="179" fontId="6" fillId="34" borderId="10" xfId="0" applyNumberFormat="1" applyFont="1" applyFill="1" applyBorder="1" applyAlignment="1">
      <alignment wrapText="1"/>
    </xf>
    <xf numFmtId="188" fontId="6" fillId="34" borderId="14" xfId="0" applyNumberFormat="1" applyFont="1" applyFill="1" applyBorder="1" applyAlignment="1">
      <alignment horizontal="right" wrapText="1"/>
    </xf>
    <xf numFmtId="188" fontId="4" fillId="34" borderId="14" xfId="0" applyNumberFormat="1" applyFont="1" applyFill="1" applyBorder="1" applyAlignment="1">
      <alignment wrapText="1"/>
    </xf>
    <xf numFmtId="182" fontId="6" fillId="34" borderId="10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wrapText="1"/>
    </xf>
    <xf numFmtId="191" fontId="9" fillId="34" borderId="16" xfId="52" applyNumberFormat="1" applyFont="1" applyFill="1" applyBorder="1" applyAlignment="1">
      <alignment horizontal="center" wrapText="1"/>
    </xf>
    <xf numFmtId="191" fontId="9" fillId="34" borderId="10" xfId="52" applyNumberFormat="1" applyFont="1" applyFill="1" applyBorder="1" applyAlignment="1">
      <alignment horizontal="center" wrapText="1"/>
    </xf>
    <xf numFmtId="191" fontId="9" fillId="34" borderId="17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191" fontId="4" fillId="34" borderId="10" xfId="53" applyNumberFormat="1" applyFont="1" applyFill="1" applyBorder="1" applyAlignment="1">
      <alignment horizontal="center"/>
    </xf>
    <xf numFmtId="175" fontId="4" fillId="34" borderId="10" xfId="49" applyFont="1" applyFill="1" applyBorder="1" applyAlignment="1">
      <alignment/>
    </xf>
    <xf numFmtId="2" fontId="4" fillId="34" borderId="10" xfId="59" applyNumberFormat="1" applyFont="1" applyFill="1" applyBorder="1" applyAlignment="1">
      <alignment horizontal="center"/>
    </xf>
    <xf numFmtId="10" fontId="4" fillId="34" borderId="10" xfId="59" applyNumberFormat="1" applyFont="1" applyFill="1" applyBorder="1" applyAlignment="1">
      <alignment horizontal="center"/>
    </xf>
    <xf numFmtId="43" fontId="0" fillId="0" borderId="10" xfId="49" applyNumberFormat="1" applyFont="1" applyBorder="1" applyAlignment="1">
      <alignment/>
    </xf>
    <xf numFmtId="175" fontId="4" fillId="34" borderId="10" xfId="49" applyFont="1" applyFill="1" applyBorder="1" applyAlignment="1">
      <alignment horizontal="center"/>
    </xf>
    <xf numFmtId="0" fontId="0" fillId="0" borderId="13" xfId="0" applyBorder="1" applyAlignment="1">
      <alignment/>
    </xf>
    <xf numFmtId="43" fontId="0" fillId="0" borderId="13" xfId="49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175" fontId="0" fillId="0" borderId="10" xfId="49" applyFont="1" applyBorder="1" applyAlignment="1">
      <alignment horizontal="right"/>
    </xf>
    <xf numFmtId="175" fontId="4" fillId="34" borderId="10" xfId="49" applyFont="1" applyFill="1" applyBorder="1" applyAlignment="1">
      <alignment horizontal="right"/>
    </xf>
    <xf numFmtId="175" fontId="0" fillId="0" borderId="13" xfId="49" applyFont="1" applyBorder="1" applyAlignment="1">
      <alignment horizontal="right"/>
    </xf>
    <xf numFmtId="175" fontId="4" fillId="33" borderId="12" xfId="49" applyFont="1" applyFill="1" applyBorder="1" applyAlignment="1">
      <alignment horizontal="right"/>
    </xf>
    <xf numFmtId="175" fontId="6" fillId="33" borderId="12" xfId="49" applyFont="1" applyFill="1" applyBorder="1" applyAlignment="1">
      <alignment horizontal="right"/>
    </xf>
    <xf numFmtId="214" fontId="4" fillId="0" borderId="10" xfId="54" applyNumberFormat="1" applyFont="1" applyFill="1" applyBorder="1" applyAlignment="1">
      <alignment/>
    </xf>
    <xf numFmtId="214" fontId="4" fillId="0" borderId="10" xfId="54" applyNumberFormat="1" applyFont="1" applyBorder="1" applyAlignment="1">
      <alignment/>
    </xf>
    <xf numFmtId="214" fontId="4" fillId="0" borderId="10" xfId="54" applyNumberFormat="1" applyFont="1" applyFill="1" applyBorder="1" applyAlignment="1">
      <alignment horizontal="center"/>
    </xf>
    <xf numFmtId="214" fontId="4" fillId="0" borderId="11" xfId="54" applyNumberFormat="1" applyFont="1" applyFill="1" applyBorder="1" applyAlignment="1">
      <alignment/>
    </xf>
    <xf numFmtId="214" fontId="6" fillId="33" borderId="12" xfId="54" applyNumberFormat="1" applyFont="1" applyFill="1" applyBorder="1" applyAlignment="1">
      <alignment/>
    </xf>
    <xf numFmtId="214" fontId="4" fillId="0" borderId="10" xfId="0" applyNumberFormat="1" applyFont="1" applyFill="1" applyBorder="1" applyAlignment="1">
      <alignment horizontal="center"/>
    </xf>
    <xf numFmtId="214" fontId="4" fillId="0" borderId="10" xfId="0" applyNumberFormat="1" applyFont="1" applyBorder="1" applyAlignment="1">
      <alignment/>
    </xf>
    <xf numFmtId="214" fontId="4" fillId="0" borderId="11" xfId="0" applyNumberFormat="1" applyFont="1" applyFill="1" applyBorder="1" applyAlignment="1">
      <alignment horizontal="center"/>
    </xf>
    <xf numFmtId="214" fontId="4" fillId="0" borderId="11" xfId="0" applyNumberFormat="1" applyFont="1" applyBorder="1" applyAlignment="1">
      <alignment/>
    </xf>
    <xf numFmtId="214" fontId="6" fillId="33" borderId="12" xfId="0" applyNumberFormat="1" applyFont="1" applyFill="1" applyBorder="1" applyAlignment="1">
      <alignment horizontal="center"/>
    </xf>
    <xf numFmtId="214" fontId="4" fillId="34" borderId="10" xfId="0" applyNumberFormat="1" applyFont="1" applyFill="1" applyBorder="1" applyAlignment="1">
      <alignment/>
    </xf>
    <xf numFmtId="175" fontId="4" fillId="34" borderId="11" xfId="49" applyFont="1" applyFill="1" applyBorder="1" applyAlignment="1">
      <alignment horizontal="right"/>
    </xf>
    <xf numFmtId="175" fontId="4" fillId="33" borderId="14" xfId="49" applyFont="1" applyFill="1" applyBorder="1" applyAlignment="1">
      <alignment/>
    </xf>
    <xf numFmtId="175" fontId="4" fillId="34" borderId="12" xfId="49" applyFont="1" applyFill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214" fontId="4" fillId="0" borderId="10" xfId="49" applyNumberFormat="1" applyFont="1" applyFill="1" applyBorder="1" applyAlignment="1">
      <alignment/>
    </xf>
    <xf numFmtId="214" fontId="4" fillId="0" borderId="10" xfId="54" applyNumberFormat="1" applyFont="1" applyFill="1" applyBorder="1" applyAlignment="1">
      <alignment horizontal="right"/>
    </xf>
    <xf numFmtId="3" fontId="4" fillId="0" borderId="10" xfId="49" applyNumberFormat="1" applyFont="1" applyFill="1" applyBorder="1" applyAlignment="1">
      <alignment/>
    </xf>
    <xf numFmtId="214" fontId="4" fillId="0" borderId="0" xfId="54" applyNumberFormat="1" applyFont="1" applyFill="1" applyBorder="1" applyAlignment="1">
      <alignment horizontal="right"/>
    </xf>
    <xf numFmtId="214" fontId="4" fillId="34" borderId="10" xfId="0" applyNumberFormat="1" applyFont="1" applyFill="1" applyBorder="1" applyAlignment="1">
      <alignment horizontal="center"/>
    </xf>
    <xf numFmtId="214" fontId="4" fillId="34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wrapText="1"/>
    </xf>
    <xf numFmtId="188" fontId="6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wrapText="1"/>
    </xf>
    <xf numFmtId="175" fontId="4" fillId="0" borderId="0" xfId="49" applyFont="1" applyBorder="1" applyAlignment="1">
      <alignment/>
    </xf>
    <xf numFmtId="188" fontId="4" fillId="0" borderId="0" xfId="0" applyNumberFormat="1" applyFont="1" applyAlignment="1">
      <alignment horizontal="center"/>
    </xf>
    <xf numFmtId="182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86" fontId="6" fillId="0" borderId="0" xfId="49" applyNumberFormat="1" applyFont="1" applyFill="1" applyBorder="1" applyAlignment="1">
      <alignment/>
    </xf>
    <xf numFmtId="214" fontId="6" fillId="34" borderId="10" xfId="0" applyNumberFormat="1" applyFont="1" applyFill="1" applyBorder="1" applyAlignment="1">
      <alignment/>
    </xf>
    <xf numFmtId="214" fontId="6" fillId="34" borderId="12" xfId="0" applyNumberFormat="1" applyFont="1" applyFill="1" applyBorder="1" applyAlignment="1">
      <alignment/>
    </xf>
    <xf numFmtId="214" fontId="4" fillId="34" borderId="12" xfId="0" applyNumberFormat="1" applyFont="1" applyFill="1" applyBorder="1" applyAlignment="1">
      <alignment/>
    </xf>
    <xf numFmtId="214" fontId="4" fillId="35" borderId="13" xfId="0" applyNumberFormat="1" applyFont="1" applyFill="1" applyBorder="1" applyAlignment="1">
      <alignment/>
    </xf>
    <xf numFmtId="214" fontId="4" fillId="34" borderId="11" xfId="0" applyNumberFormat="1" applyFont="1" applyFill="1" applyBorder="1" applyAlignment="1">
      <alignment/>
    </xf>
    <xf numFmtId="214" fontId="6" fillId="34" borderId="14" xfId="0" applyNumberFormat="1" applyFont="1" applyFill="1" applyBorder="1" applyAlignment="1">
      <alignment/>
    </xf>
    <xf numFmtId="214" fontId="6" fillId="33" borderId="12" xfId="0" applyNumberFormat="1" applyFont="1" applyFill="1" applyBorder="1" applyAlignment="1">
      <alignment/>
    </xf>
    <xf numFmtId="214" fontId="4" fillId="0" borderId="18" xfId="0" applyNumberFormat="1" applyFont="1" applyFill="1" applyBorder="1" applyAlignment="1">
      <alignment/>
    </xf>
    <xf numFmtId="214" fontId="4" fillId="0" borderId="0" xfId="0" applyNumberFormat="1" applyFont="1" applyFill="1" applyAlignment="1">
      <alignment/>
    </xf>
    <xf numFmtId="214" fontId="4" fillId="0" borderId="0" xfId="0" applyNumberFormat="1" applyFont="1" applyAlignment="1">
      <alignment/>
    </xf>
    <xf numFmtId="214" fontId="4" fillId="35" borderId="10" xfId="0" applyNumberFormat="1" applyFont="1" applyFill="1" applyBorder="1" applyAlignment="1">
      <alignment/>
    </xf>
    <xf numFmtId="214" fontId="4" fillId="35" borderId="12" xfId="0" applyNumberFormat="1" applyFont="1" applyFill="1" applyBorder="1" applyAlignment="1">
      <alignment/>
    </xf>
    <xf numFmtId="214" fontId="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wrapText="1"/>
    </xf>
    <xf numFmtId="191" fontId="9" fillId="0" borderId="16" xfId="52" applyNumberFormat="1" applyFont="1" applyFill="1" applyBorder="1" applyAlignment="1">
      <alignment horizontal="center" wrapText="1"/>
    </xf>
    <xf numFmtId="191" fontId="9" fillId="0" borderId="10" xfId="52" applyNumberFormat="1" applyFont="1" applyFill="1" applyBorder="1" applyAlignment="1">
      <alignment horizontal="center" wrapText="1"/>
    </xf>
    <xf numFmtId="191" fontId="9" fillId="0" borderId="17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188" fontId="6" fillId="11" borderId="12" xfId="0" applyNumberFormat="1" applyFont="1" applyFill="1" applyBorder="1" applyAlignment="1">
      <alignment wrapText="1"/>
    </xf>
    <xf numFmtId="214" fontId="4" fillId="0" borderId="10" xfId="49" applyNumberFormat="1" applyFont="1" applyFill="1" applyBorder="1" applyAlignment="1">
      <alignment horizontal="center"/>
    </xf>
    <xf numFmtId="214" fontId="4" fillId="0" borderId="11" xfId="49" applyNumberFormat="1" applyFont="1" applyFill="1" applyBorder="1" applyAlignment="1">
      <alignment horizontal="center"/>
    </xf>
    <xf numFmtId="214" fontId="4" fillId="0" borderId="11" xfId="49" applyNumberFormat="1" applyFont="1" applyFill="1" applyBorder="1" applyAlignment="1">
      <alignment/>
    </xf>
    <xf numFmtId="214" fontId="6" fillId="33" borderId="12" xfId="49" applyNumberFormat="1" applyFont="1" applyFill="1" applyBorder="1" applyAlignment="1">
      <alignment/>
    </xf>
    <xf numFmtId="43" fontId="0" fillId="0" borderId="0" xfId="49" applyNumberFormat="1" applyFont="1" applyAlignment="1">
      <alignment/>
    </xf>
    <xf numFmtId="10" fontId="0" fillId="0" borderId="0" xfId="59" applyNumberFormat="1" applyFont="1" applyAlignment="1">
      <alignment/>
    </xf>
    <xf numFmtId="0" fontId="0" fillId="35" borderId="10" xfId="0" applyFill="1" applyBorder="1" applyAlignment="1">
      <alignment/>
    </xf>
    <xf numFmtId="215" fontId="0" fillId="0" borderId="10" xfId="59" applyNumberFormat="1" applyFont="1" applyBorder="1" applyAlignment="1">
      <alignment/>
    </xf>
    <xf numFmtId="8" fontId="0" fillId="0" borderId="10" xfId="0" applyNumberFormat="1" applyBorder="1" applyAlignment="1">
      <alignment/>
    </xf>
    <xf numFmtId="8" fontId="0" fillId="0" borderId="17" xfId="0" applyNumberFormat="1" applyBorder="1" applyAlignment="1">
      <alignment/>
    </xf>
    <xf numFmtId="44" fontId="53" fillId="0" borderId="0" xfId="54" applyNumberFormat="1" applyFont="1" applyBorder="1" applyAlignment="1">
      <alignment/>
    </xf>
    <xf numFmtId="188" fontId="6" fillId="0" borderId="0" xfId="0" applyNumberFormat="1" applyFont="1" applyAlignment="1">
      <alignment horizontal="center"/>
    </xf>
    <xf numFmtId="186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19" xfId="0" applyNumberFormat="1" applyFont="1" applyBorder="1" applyAlignment="1">
      <alignment/>
    </xf>
    <xf numFmtId="0" fontId="6" fillId="0" borderId="19" xfId="0" applyFont="1" applyFill="1" applyBorder="1" applyAlignment="1">
      <alignment horizontal="center"/>
    </xf>
    <xf numFmtId="214" fontId="4" fillId="0" borderId="0" xfId="54" applyNumberFormat="1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35" fillId="0" borderId="0" xfId="57">
      <alignment/>
      <protection/>
    </xf>
    <xf numFmtId="0" fontId="51" fillId="36" borderId="20" xfId="57" applyFont="1" applyFill="1" applyBorder="1" applyAlignment="1">
      <alignment horizontal="left"/>
      <protection/>
    </xf>
    <xf numFmtId="0" fontId="51" fillId="36" borderId="21" xfId="57" applyFont="1" applyFill="1" applyBorder="1">
      <alignment/>
      <protection/>
    </xf>
    <xf numFmtId="0" fontId="51" fillId="36" borderId="22" xfId="57" applyFont="1" applyFill="1" applyBorder="1">
      <alignment/>
      <protection/>
    </xf>
    <xf numFmtId="0" fontId="51" fillId="0" borderId="23" xfId="57" applyFont="1" applyBorder="1" applyAlignment="1">
      <alignment horizontal="left"/>
      <protection/>
    </xf>
    <xf numFmtId="0" fontId="35" fillId="0" borderId="0" xfId="57" applyBorder="1">
      <alignment/>
      <protection/>
    </xf>
    <xf numFmtId="0" fontId="35" fillId="0" borderId="24" xfId="57" applyBorder="1">
      <alignment/>
      <protection/>
    </xf>
    <xf numFmtId="0" fontId="35" fillId="0" borderId="23" xfId="57" applyBorder="1" applyAlignment="1">
      <alignment horizontal="left"/>
      <protection/>
    </xf>
    <xf numFmtId="0" fontId="51" fillId="0" borderId="0" xfId="57" applyFont="1" applyBorder="1">
      <alignment/>
      <protection/>
    </xf>
    <xf numFmtId="43" fontId="35" fillId="0" borderId="24" xfId="51" applyFont="1" applyBorder="1" applyAlignment="1">
      <alignment horizontal="center"/>
    </xf>
    <xf numFmtId="0" fontId="35" fillId="0" borderId="0" xfId="57" applyFill="1" applyBorder="1">
      <alignment/>
      <protection/>
    </xf>
    <xf numFmtId="0" fontId="35" fillId="0" borderId="25" xfId="57" applyBorder="1">
      <alignment/>
      <protection/>
    </xf>
    <xf numFmtId="0" fontId="51" fillId="0" borderId="26" xfId="57" applyFont="1" applyBorder="1">
      <alignment/>
      <protection/>
    </xf>
    <xf numFmtId="0" fontId="35" fillId="0" borderId="27" xfId="57" applyBorder="1">
      <alignment/>
      <protection/>
    </xf>
    <xf numFmtId="43" fontId="51" fillId="0" borderId="28" xfId="51" applyFont="1" applyBorder="1" applyAlignment="1">
      <alignment/>
    </xf>
    <xf numFmtId="182" fontId="6" fillId="15" borderId="10" xfId="0" applyNumberFormat="1" applyFont="1" applyFill="1" applyBorder="1" applyAlignment="1">
      <alignment/>
    </xf>
    <xf numFmtId="9" fontId="6" fillId="15" borderId="10" xfId="59" applyNumberFormat="1" applyFont="1" applyFill="1" applyBorder="1" applyAlignment="1">
      <alignment horizontal="center"/>
    </xf>
    <xf numFmtId="10" fontId="6" fillId="15" borderId="10" xfId="59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wrapText="1"/>
    </xf>
    <xf numFmtId="214" fontId="4" fillId="0" borderId="10" xfId="0" applyNumberFormat="1" applyFont="1" applyFill="1" applyBorder="1" applyAlignment="1">
      <alignment wrapText="1"/>
    </xf>
    <xf numFmtId="214" fontId="4" fillId="34" borderId="10" xfId="49" applyNumberFormat="1" applyFont="1" applyFill="1" applyBorder="1" applyAlignment="1">
      <alignment horizontal="right"/>
    </xf>
    <xf numFmtId="214" fontId="4" fillId="34" borderId="11" xfId="49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wrapText="1"/>
    </xf>
    <xf numFmtId="188" fontId="4" fillId="34" borderId="29" xfId="0" applyNumberFormat="1" applyFont="1" applyFill="1" applyBorder="1" applyAlignment="1">
      <alignment wrapText="1"/>
    </xf>
    <xf numFmtId="188" fontId="6" fillId="0" borderId="30" xfId="0" applyNumberFormat="1" applyFont="1" applyFill="1" applyBorder="1" applyAlignment="1">
      <alignment wrapText="1"/>
    </xf>
    <xf numFmtId="188" fontId="6" fillId="0" borderId="1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7" fontId="4" fillId="0" borderId="31" xfId="0" applyNumberFormat="1" applyFont="1" applyFill="1" applyBorder="1" applyAlignment="1">
      <alignment wrapText="1"/>
    </xf>
    <xf numFmtId="188" fontId="4" fillId="0" borderId="32" xfId="0" applyNumberFormat="1" applyFont="1" applyFill="1" applyBorder="1" applyAlignment="1">
      <alignment wrapText="1"/>
    </xf>
    <xf numFmtId="188" fontId="4" fillId="0" borderId="33" xfId="0" applyNumberFormat="1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177" fontId="6" fillId="0" borderId="35" xfId="0" applyNumberFormat="1" applyFont="1" applyFill="1" applyBorder="1" applyAlignment="1">
      <alignment wrapText="1"/>
    </xf>
    <xf numFmtId="179" fontId="4" fillId="0" borderId="36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182" fontId="4" fillId="0" borderId="34" xfId="0" applyNumberFormat="1" applyFont="1" applyFill="1" applyBorder="1" applyAlignment="1">
      <alignment/>
    </xf>
    <xf numFmtId="214" fontId="4" fillId="0" borderId="37" xfId="0" applyNumberFormat="1" applyFont="1" applyFill="1" applyBorder="1" applyAlignment="1">
      <alignment/>
    </xf>
    <xf numFmtId="214" fontId="7" fillId="0" borderId="38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82" fontId="5" fillId="0" borderId="36" xfId="0" applyNumberFormat="1" applyFont="1" applyFill="1" applyBorder="1" applyAlignment="1">
      <alignment/>
    </xf>
    <xf numFmtId="10" fontId="4" fillId="0" borderId="32" xfId="59" applyNumberFormat="1" applyFont="1" applyFill="1" applyBorder="1" applyAlignment="1">
      <alignment/>
    </xf>
    <xf numFmtId="182" fontId="5" fillId="0" borderId="37" xfId="0" applyNumberFormat="1" applyFont="1" applyFill="1" applyBorder="1" applyAlignment="1">
      <alignment horizontal="center"/>
    </xf>
    <xf numFmtId="10" fontId="4" fillId="0" borderId="33" xfId="59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214" fontId="4" fillId="0" borderId="38" xfId="0" applyNumberFormat="1" applyFont="1" applyFill="1" applyBorder="1" applyAlignment="1">
      <alignment/>
    </xf>
    <xf numFmtId="186" fontId="5" fillId="0" borderId="39" xfId="49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3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188" fontId="6" fillId="33" borderId="12" xfId="0" applyNumberFormat="1" applyFont="1" applyFill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11" xfId="0" applyBorder="1" applyAlignment="1">
      <alignment horizontal="center"/>
    </xf>
    <xf numFmtId="175" fontId="0" fillId="0" borderId="11" xfId="49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42" xfId="0" applyFont="1" applyBorder="1" applyAlignment="1">
      <alignment/>
    </xf>
    <xf numFmtId="214" fontId="4" fillId="0" borderId="11" xfId="54" applyNumberFormat="1" applyFont="1" applyBorder="1" applyAlignment="1">
      <alignment/>
    </xf>
    <xf numFmtId="9" fontId="4" fillId="0" borderId="10" xfId="59" applyFont="1" applyBorder="1" applyAlignment="1">
      <alignment/>
    </xf>
    <xf numFmtId="0" fontId="5" fillId="34" borderId="43" xfId="0" applyFont="1" applyFill="1" applyBorder="1" applyAlignment="1">
      <alignment wrapText="1"/>
    </xf>
    <xf numFmtId="175" fontId="4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right"/>
    </xf>
    <xf numFmtId="214" fontId="6" fillId="33" borderId="12" xfId="54" applyNumberFormat="1" applyFont="1" applyFill="1" applyBorder="1" applyAlignment="1">
      <alignment horizontal="center"/>
    </xf>
    <xf numFmtId="9" fontId="6" fillId="33" borderId="12" xfId="59" applyFont="1" applyFill="1" applyBorder="1" applyAlignment="1">
      <alignment horizontal="center" vertical="center" wrapText="1"/>
    </xf>
    <xf numFmtId="9" fontId="4" fillId="0" borderId="11" xfId="59" applyFont="1" applyBorder="1" applyAlignment="1">
      <alignment/>
    </xf>
    <xf numFmtId="0" fontId="6" fillId="17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212" fontId="4" fillId="34" borderId="10" xfId="59" applyNumberFormat="1" applyFont="1" applyFill="1" applyBorder="1" applyAlignment="1">
      <alignment horizontal="center"/>
    </xf>
    <xf numFmtId="182" fontId="6" fillId="7" borderId="10" xfId="0" applyNumberFormat="1" applyFont="1" applyFill="1" applyBorder="1" applyAlignment="1">
      <alignment/>
    </xf>
    <xf numFmtId="188" fontId="6" fillId="7" borderId="10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191" fontId="9" fillId="3" borderId="16" xfId="52" applyNumberFormat="1" applyFont="1" applyFill="1" applyBorder="1" applyAlignment="1">
      <alignment horizontal="center" wrapText="1"/>
    </xf>
    <xf numFmtId="191" fontId="9" fillId="3" borderId="10" xfId="52" applyNumberFormat="1" applyFont="1" applyFill="1" applyBorder="1" applyAlignment="1">
      <alignment horizontal="center" wrapText="1"/>
    </xf>
    <xf numFmtId="191" fontId="9" fillId="3" borderId="17" xfId="0" applyNumberFormat="1" applyFont="1" applyFill="1" applyBorder="1" applyAlignment="1">
      <alignment horizontal="center" wrapText="1"/>
    </xf>
    <xf numFmtId="0" fontId="15" fillId="33" borderId="31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15" fillId="33" borderId="44" xfId="0" applyFont="1" applyFill="1" applyBorder="1" applyAlignment="1">
      <alignment horizontal="center" wrapText="1"/>
    </xf>
    <xf numFmtId="0" fontId="15" fillId="33" borderId="3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10" fontId="4" fillId="0" borderId="10" xfId="59" applyNumberFormat="1" applyFont="1" applyFill="1" applyBorder="1" applyAlignment="1">
      <alignment horizontal="center"/>
    </xf>
    <xf numFmtId="182" fontId="6" fillId="13" borderId="10" xfId="0" applyNumberFormat="1" applyFont="1" applyFill="1" applyBorder="1" applyAlignment="1">
      <alignment/>
    </xf>
    <xf numFmtId="10" fontId="6" fillId="13" borderId="10" xfId="59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82" fontId="12" fillId="0" borderId="46" xfId="0" applyNumberFormat="1" applyFont="1" applyFill="1" applyBorder="1" applyAlignment="1">
      <alignment vertical="top"/>
    </xf>
    <xf numFmtId="175" fontId="4" fillId="0" borderId="0" xfId="49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1" fillId="0" borderId="0" xfId="57" applyFont="1" applyAlignment="1">
      <alignment horizontal="center"/>
      <protection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0" fontId="14" fillId="34" borderId="4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10" fillId="0" borderId="3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left"/>
    </xf>
    <xf numFmtId="182" fontId="4" fillId="0" borderId="17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2" fontId="12" fillId="0" borderId="47" xfId="0" applyNumberFormat="1" applyFont="1" applyFill="1" applyBorder="1" applyAlignment="1">
      <alignment horizontal="center" vertical="top"/>
    </xf>
    <xf numFmtId="182" fontId="12" fillId="0" borderId="48" xfId="0" applyNumberFormat="1" applyFont="1" applyFill="1" applyBorder="1" applyAlignment="1">
      <alignment horizontal="center" vertical="top"/>
    </xf>
    <xf numFmtId="182" fontId="13" fillId="0" borderId="48" xfId="0" applyNumberFormat="1" applyFont="1" applyFill="1" applyBorder="1" applyAlignment="1">
      <alignment horizontal="center" vertical="top"/>
    </xf>
    <xf numFmtId="0" fontId="6" fillId="34" borderId="43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13. Caso Picapiedra I" xfId="52"/>
    <cellStyle name="Millares_6. Antecedentes Econ. del Estudio Técnico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142875</xdr:rowOff>
    </xdr:from>
    <xdr:to>
      <xdr:col>8</xdr:col>
      <xdr:colOff>190500</xdr:colOff>
      <xdr:row>26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771775" y="142875"/>
          <a:ext cx="3495675" cy="4229100"/>
          <a:chOff x="397" y="27"/>
          <a:chExt cx="367" cy="44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424" y="50"/>
            <a:ext cx="339" cy="4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89" y="172"/>
            <a:ext cx="174" cy="2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24" y="394"/>
            <a:ext cx="86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425" y="27"/>
            <a:ext cx="33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 Metros de Ancho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97" y="51"/>
            <a:ext cx="24" cy="4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25 Metros de Profundidad</a:t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589" y="52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8" name="Rectangle 8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9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7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589" y="66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2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24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27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Rectangle 28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29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30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31"/>
          <xdr:cNvGrpSpPr>
            <a:grpSpLocks/>
          </xdr:cNvGrpSpPr>
        </xdr:nvGrpSpPr>
        <xdr:grpSpPr>
          <a:xfrm rot="16200000">
            <a:off x="427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3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4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Rectangle 35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36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37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39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41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42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43"/>
          <xdr:cNvGrpSpPr>
            <a:grpSpLocks/>
          </xdr:cNvGrpSpPr>
        </xdr:nvGrpSpPr>
        <xdr:grpSpPr>
          <a:xfrm>
            <a:off x="589" y="93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44" name="Rectangle 44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Rectangle 45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Rectangle 46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47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Rectangle 48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Rectangle 49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Rectangle 50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51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Rectangle 52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Rectangle 53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Rectangle 54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55"/>
          <xdr:cNvGrpSpPr>
            <a:grpSpLocks/>
          </xdr:cNvGrpSpPr>
        </xdr:nvGrpSpPr>
        <xdr:grpSpPr>
          <a:xfrm>
            <a:off x="589" y="106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56" name="Rectangle 56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Rectangle 57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Rectangle 58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59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Rectangle 60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Rectangle 61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Rectangle 62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Rectangle 63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Rectangle 64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Rectangle 65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Rectangle 66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" name="Group 67"/>
          <xdr:cNvGrpSpPr>
            <a:grpSpLocks/>
          </xdr:cNvGrpSpPr>
        </xdr:nvGrpSpPr>
        <xdr:grpSpPr>
          <a:xfrm>
            <a:off x="589" y="119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68" name="Rectangle 68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Rectangle 69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Rectangle 70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Rectangle 71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Rectangle 72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Rectangle 73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Rectangle 74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Rectangle 75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Rectangle 76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Rectangle 77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Rectangle 78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79"/>
          <xdr:cNvGrpSpPr>
            <a:grpSpLocks/>
          </xdr:cNvGrpSpPr>
        </xdr:nvGrpSpPr>
        <xdr:grpSpPr>
          <a:xfrm rot="16200000">
            <a:off x="443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80" name="Rectangle 80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Rectangle 81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Rectangle 82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Rectangle 83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Rectangle 84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Rectangle 85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Rectangle 86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Rectangle 87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Rectangle 88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Rectangle 89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Rectangle 90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91"/>
          <xdr:cNvGrpSpPr>
            <a:grpSpLocks/>
          </xdr:cNvGrpSpPr>
        </xdr:nvGrpSpPr>
        <xdr:grpSpPr>
          <a:xfrm>
            <a:off x="589" y="145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92" name="Rectangle 92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Rectangle 93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95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Rectangle 96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Rectangle 97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Rectangle 98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Rectangle 99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Rectangle 100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Rectangle 101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Rectangle 102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3" name="Group 103"/>
          <xdr:cNvGrpSpPr>
            <a:grpSpLocks/>
          </xdr:cNvGrpSpPr>
        </xdr:nvGrpSpPr>
        <xdr:grpSpPr>
          <a:xfrm>
            <a:off x="589" y="158"/>
            <a:ext cx="172" cy="11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04" name="Rectangle 104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Rectangle 105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Rectangle 106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Rectangle 107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Rectangle 108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Rectangle 109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Rectangle 110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Rectangle 111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Rectangle 112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Rectangle 113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Rectangle 114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5" name="Group 115"/>
          <xdr:cNvGrpSpPr>
            <a:grpSpLocks/>
          </xdr:cNvGrpSpPr>
        </xdr:nvGrpSpPr>
        <xdr:grpSpPr>
          <a:xfrm rot="16200000">
            <a:off x="429" y="243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16" name="Rectangle 116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Rectangle 117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18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Rectangle 119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Rectangle 120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Rectangle 121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Rectangle 122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Rectangle 123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Rectangle 124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Rectangle 125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Rectangle 126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7" name="Group 127"/>
          <xdr:cNvGrpSpPr>
            <a:grpSpLocks/>
          </xdr:cNvGrpSpPr>
        </xdr:nvGrpSpPr>
        <xdr:grpSpPr>
          <a:xfrm rot="16200000">
            <a:off x="475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28" name="Rectangle 128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Rectangle 129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Rectangle 130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Rectangle 131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Rectangle 132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Rectangle 133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Rectangle 134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Rectangle 135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Rectangle 136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Rectangle 137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Rectangle 138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" name="Group 139"/>
          <xdr:cNvGrpSpPr>
            <a:grpSpLocks/>
          </xdr:cNvGrpSpPr>
        </xdr:nvGrpSpPr>
        <xdr:grpSpPr>
          <a:xfrm rot="16200000">
            <a:off x="490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40" name="Rectangle 140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Rectangle 141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Rectangle 142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Rectangle 143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Rectangle 144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Rectangle 145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Rectangle 146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Rectangle 147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Rectangle 148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Rectangle 149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Rectangle 150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" name="Group 151"/>
          <xdr:cNvGrpSpPr>
            <a:grpSpLocks/>
          </xdr:cNvGrpSpPr>
        </xdr:nvGrpSpPr>
        <xdr:grpSpPr>
          <a:xfrm rot="16200000">
            <a:off x="505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52" name="Rectangle 152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Rectangle 153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Rectangle 154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Rectangle 155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Rectangle 156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Rectangle 157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Rectangle 158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Rectangle 159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Rectangle 160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Rectangle 161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Rectangle 162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3" name="Group 163"/>
          <xdr:cNvGrpSpPr>
            <a:grpSpLocks/>
          </xdr:cNvGrpSpPr>
        </xdr:nvGrpSpPr>
        <xdr:grpSpPr>
          <a:xfrm rot="16200000">
            <a:off x="443" y="243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64" name="Rectangle 164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Rectangle 165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Rectangle 166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Rectangle 167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Rectangle 168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Rectangle 169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Rectangle 170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Rectangle 171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Rectangle 172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Rectangle 173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Rectangle 174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5" name="Group 175"/>
          <xdr:cNvGrpSpPr>
            <a:grpSpLocks/>
          </xdr:cNvGrpSpPr>
        </xdr:nvGrpSpPr>
        <xdr:grpSpPr>
          <a:xfrm rot="16200000">
            <a:off x="535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76" name="Rectangle 176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Rectangle 177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Rectangle 178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Rectangle 179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Rectangle 180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Rectangle 181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Rectangle 182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Rectangle 183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Rectangle 184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Rectangle 185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Rectangle 186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7" name="Group 187"/>
          <xdr:cNvGrpSpPr>
            <a:grpSpLocks/>
          </xdr:cNvGrpSpPr>
        </xdr:nvGrpSpPr>
        <xdr:grpSpPr>
          <a:xfrm rot="16200000">
            <a:off x="549" y="55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188" name="Rectangle 188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Rectangle 189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Rectangle 190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Rectangle 191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Rectangle 192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Rectangle 193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Rectangle 194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Rectangle 195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Rectangle 196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Rectangle 197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Rectangle 198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9" name="Group 199"/>
          <xdr:cNvGrpSpPr>
            <a:grpSpLocks/>
          </xdr:cNvGrpSpPr>
        </xdr:nvGrpSpPr>
        <xdr:grpSpPr>
          <a:xfrm rot="16200000">
            <a:off x="476" y="244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00" name="Rectangle 200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Rectangle 201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Rectangle 202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Rectangle 203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Rectangle 204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Rectangle 205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Rectangle 206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Rectangle 207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Rectangle 208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Rectangle 209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Rectangle 210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1" name="Group 211"/>
          <xdr:cNvGrpSpPr>
            <a:grpSpLocks/>
          </xdr:cNvGrpSpPr>
        </xdr:nvGrpSpPr>
        <xdr:grpSpPr>
          <a:xfrm rot="16200000">
            <a:off x="490" y="244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12" name="Rectangle 212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Rectangle 213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Rectangle 214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Rectangle 215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Rectangle 216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Rectangle 217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Rectangle 218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Rectangle 219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Rectangle 220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Rectangle 221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Rectangle 222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3" name="Group 223"/>
          <xdr:cNvGrpSpPr>
            <a:grpSpLocks/>
          </xdr:cNvGrpSpPr>
        </xdr:nvGrpSpPr>
        <xdr:grpSpPr>
          <a:xfrm rot="16200000">
            <a:off x="505" y="244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24" name="Rectangle 224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Rectangle 225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Rectangle 226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Rectangle 227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Rectangle 228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Rectangle 229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Rectangle 230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Rectangle 231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Rectangle 232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Rectangle 233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Rectangle 234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5" name="Group 235"/>
          <xdr:cNvGrpSpPr>
            <a:grpSpLocks/>
          </xdr:cNvGrpSpPr>
        </xdr:nvGrpSpPr>
        <xdr:grpSpPr>
          <a:xfrm rot="16200000">
            <a:off x="535" y="244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36" name="Rectangle 236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Rectangle 237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Rectangle 238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Rectangle 239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Rectangle 240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Rectangle 241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Rectangle 242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Rectangle 243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Rectangle 244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Rectangle 245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Rectangle 246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7" name="Group 247"/>
          <xdr:cNvGrpSpPr>
            <a:grpSpLocks/>
          </xdr:cNvGrpSpPr>
        </xdr:nvGrpSpPr>
        <xdr:grpSpPr>
          <a:xfrm rot="16200000">
            <a:off x="549" y="244"/>
            <a:ext cx="11" cy="172"/>
            <a:chOff x="589" y="52"/>
            <a:chExt cx="172" cy="11"/>
          </a:xfrm>
          <a:solidFill>
            <a:srgbClr val="FFFFFF"/>
          </a:solidFill>
        </xdr:grpSpPr>
        <xdr:sp>
          <xdr:nvSpPr>
            <xdr:cNvPr id="248" name="Rectangle 248"/>
            <xdr:cNvSpPr>
              <a:spLocks/>
            </xdr:cNvSpPr>
          </xdr:nvSpPr>
          <xdr:spPr>
            <a:xfrm rot="16200000">
              <a:off x="748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Rectangle 249"/>
            <xdr:cNvSpPr>
              <a:spLocks/>
            </xdr:cNvSpPr>
          </xdr:nvSpPr>
          <xdr:spPr>
            <a:xfrm rot="16200000">
              <a:off x="73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Rectangle 250"/>
            <xdr:cNvSpPr>
              <a:spLocks/>
            </xdr:cNvSpPr>
          </xdr:nvSpPr>
          <xdr:spPr>
            <a:xfrm rot="16200000">
              <a:off x="71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Rectangle 251"/>
            <xdr:cNvSpPr>
              <a:spLocks/>
            </xdr:cNvSpPr>
          </xdr:nvSpPr>
          <xdr:spPr>
            <a:xfrm rot="16200000">
              <a:off x="70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Rectangle 252"/>
            <xdr:cNvSpPr>
              <a:spLocks/>
            </xdr:cNvSpPr>
          </xdr:nvSpPr>
          <xdr:spPr>
            <a:xfrm rot="16200000">
              <a:off x="68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Rectangle 253"/>
            <xdr:cNvSpPr>
              <a:spLocks/>
            </xdr:cNvSpPr>
          </xdr:nvSpPr>
          <xdr:spPr>
            <a:xfrm rot="16200000">
              <a:off x="66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Rectangle 254"/>
            <xdr:cNvSpPr>
              <a:spLocks/>
            </xdr:cNvSpPr>
          </xdr:nvSpPr>
          <xdr:spPr>
            <a:xfrm rot="16200000">
              <a:off x="653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Rectangle 255"/>
            <xdr:cNvSpPr>
              <a:spLocks/>
            </xdr:cNvSpPr>
          </xdr:nvSpPr>
          <xdr:spPr>
            <a:xfrm rot="16200000">
              <a:off x="637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Rectangle 256"/>
            <xdr:cNvSpPr>
              <a:spLocks/>
            </xdr:cNvSpPr>
          </xdr:nvSpPr>
          <xdr:spPr>
            <a:xfrm rot="16200000">
              <a:off x="621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Rectangle 257"/>
            <xdr:cNvSpPr>
              <a:spLocks/>
            </xdr:cNvSpPr>
          </xdr:nvSpPr>
          <xdr:spPr>
            <a:xfrm rot="16200000">
              <a:off x="605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Rectangle 258"/>
            <xdr:cNvSpPr>
              <a:spLocks/>
            </xdr:cNvSpPr>
          </xdr:nvSpPr>
          <xdr:spPr>
            <a:xfrm rot="16200000">
              <a:off x="589" y="52"/>
              <a:ext cx="13" cy="11"/>
            </a:xfrm>
            <a:prstGeom prst="rect">
              <a:avLst/>
            </a:prstGeom>
            <a:solidFill>
              <a:srgbClr val="00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9" name="Group 259"/>
          <xdr:cNvGrpSpPr>
            <a:grpSpLocks/>
          </xdr:cNvGrpSpPr>
        </xdr:nvGrpSpPr>
        <xdr:grpSpPr>
          <a:xfrm>
            <a:off x="747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60" name="Rectangle 260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Rectangle 261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Rectangle 262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Rectangle 263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Rectangle 264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Rectangle 265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6" name="Group 266"/>
          <xdr:cNvGrpSpPr>
            <a:grpSpLocks/>
          </xdr:cNvGrpSpPr>
        </xdr:nvGrpSpPr>
        <xdr:grpSpPr>
          <a:xfrm>
            <a:off x="717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67" name="Rectangle 267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Rectangle 268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Rectangle 269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Rectangle 270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Rectangle 271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Rectangle 272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" name="Group 273"/>
          <xdr:cNvGrpSpPr>
            <a:grpSpLocks/>
          </xdr:cNvGrpSpPr>
        </xdr:nvGrpSpPr>
        <xdr:grpSpPr>
          <a:xfrm>
            <a:off x="684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74" name="Rectangle 274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Rectangle 275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Rectangle 276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Rectangle 277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Rectangle 278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Rectangle 279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0" name="Group 280"/>
          <xdr:cNvGrpSpPr>
            <a:grpSpLocks/>
          </xdr:cNvGrpSpPr>
        </xdr:nvGrpSpPr>
        <xdr:grpSpPr>
          <a:xfrm>
            <a:off x="651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81" name="Rectangle 281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Rectangle 282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Rectangle 283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Rectangle 284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Rectangle 285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Rectangle 286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7" name="Group 287"/>
          <xdr:cNvGrpSpPr>
            <a:grpSpLocks/>
          </xdr:cNvGrpSpPr>
        </xdr:nvGrpSpPr>
        <xdr:grpSpPr>
          <a:xfrm>
            <a:off x="621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88" name="Rectangle 288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Rectangle 289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Rectangle 290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Rectangle 291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Rectangle 292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Rectangle 293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4" name="Group 294"/>
          <xdr:cNvGrpSpPr>
            <a:grpSpLocks/>
          </xdr:cNvGrpSpPr>
        </xdr:nvGrpSpPr>
        <xdr:grpSpPr>
          <a:xfrm>
            <a:off x="594" y="182"/>
            <a:ext cx="14" cy="203"/>
            <a:chOff x="747" y="175"/>
            <a:chExt cx="14" cy="203"/>
          </a:xfrm>
          <a:solidFill>
            <a:srgbClr val="FFFFFF"/>
          </a:solidFill>
        </xdr:grpSpPr>
        <xdr:sp>
          <xdr:nvSpPr>
            <xdr:cNvPr id="295" name="Rectangle 295"/>
            <xdr:cNvSpPr>
              <a:spLocks/>
            </xdr:cNvSpPr>
          </xdr:nvSpPr>
          <xdr:spPr>
            <a:xfrm>
              <a:off x="747" y="17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Rectangle 296"/>
            <xdr:cNvSpPr>
              <a:spLocks/>
            </xdr:cNvSpPr>
          </xdr:nvSpPr>
          <xdr:spPr>
            <a:xfrm>
              <a:off x="747" y="209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Rectangle 297"/>
            <xdr:cNvSpPr>
              <a:spLocks/>
            </xdr:cNvSpPr>
          </xdr:nvSpPr>
          <xdr:spPr>
            <a:xfrm>
              <a:off x="747" y="243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Rectangle 298"/>
            <xdr:cNvSpPr>
              <a:spLocks/>
            </xdr:cNvSpPr>
          </xdr:nvSpPr>
          <xdr:spPr>
            <a:xfrm>
              <a:off x="747" y="277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Rectangle 299"/>
            <xdr:cNvSpPr>
              <a:spLocks/>
            </xdr:cNvSpPr>
          </xdr:nvSpPr>
          <xdr:spPr>
            <a:xfrm>
              <a:off x="747" y="311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Rectangle 300"/>
            <xdr:cNvSpPr>
              <a:spLocks/>
            </xdr:cNvSpPr>
          </xdr:nvSpPr>
          <xdr:spPr>
            <a:xfrm>
              <a:off x="747" y="345"/>
              <a:ext cx="14" cy="33"/>
            </a:xfrm>
            <a:prstGeom prst="rect">
              <a:avLst/>
            </a:prstGeom>
            <a:solidFill>
              <a:srgbClr val="66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1" name="sink1"/>
          <xdr:cNvSpPr>
            <a:spLocks/>
          </xdr:cNvSpPr>
        </xdr:nvSpPr>
        <xdr:spPr>
          <a:xfrm rot="5400000">
            <a:off x="735" y="435"/>
            <a:ext cx="30" cy="25"/>
          </a:xfrm>
          <a:custGeom>
            <a:pathLst>
              <a:path h="21600" w="21600">
                <a:moveTo>
                  <a:pt x="10595" y="21600"/>
                </a:moveTo>
                <a:lnTo>
                  <a:pt x="21600" y="21600"/>
                </a:lnTo>
                <a:lnTo>
                  <a:pt x="21600" y="10800"/>
                </a:lnTo>
                <a:lnTo>
                  <a:pt x="21600" y="0"/>
                </a:lnTo>
                <a:lnTo>
                  <a:pt x="10709" y="0"/>
                </a:lnTo>
                <a:lnTo>
                  <a:pt x="0" y="0"/>
                </a:lnTo>
                <a:lnTo>
                  <a:pt x="0" y="10545"/>
                </a:lnTo>
                <a:lnTo>
                  <a:pt x="0" y="21600"/>
                </a:lnTo>
                <a:lnTo>
                  <a:pt x="10595" y="21600"/>
                </a:lnTo>
                <a:close/>
              </a:path>
              <a:path h="21600" w="21600">
                <a:moveTo>
                  <a:pt x="9478" y="6945"/>
                </a:moveTo>
                <a:lnTo>
                  <a:pt x="8157" y="7200"/>
                </a:lnTo>
                <a:lnTo>
                  <a:pt x="6835" y="7625"/>
                </a:lnTo>
                <a:lnTo>
                  <a:pt x="5787" y="8249"/>
                </a:lnTo>
                <a:lnTo>
                  <a:pt x="4762" y="9014"/>
                </a:lnTo>
                <a:lnTo>
                  <a:pt x="4375" y="9524"/>
                </a:lnTo>
                <a:lnTo>
                  <a:pt x="3987" y="10006"/>
                </a:lnTo>
                <a:lnTo>
                  <a:pt x="3646" y="10431"/>
                </a:lnTo>
                <a:lnTo>
                  <a:pt x="3349" y="10913"/>
                </a:lnTo>
                <a:lnTo>
                  <a:pt x="3144" y="11537"/>
                </a:lnTo>
                <a:lnTo>
                  <a:pt x="2962" y="12076"/>
                </a:lnTo>
                <a:lnTo>
                  <a:pt x="2848" y="12557"/>
                </a:lnTo>
                <a:lnTo>
                  <a:pt x="2848" y="13124"/>
                </a:lnTo>
                <a:lnTo>
                  <a:pt x="2962" y="13861"/>
                </a:lnTo>
                <a:lnTo>
                  <a:pt x="3053" y="14400"/>
                </a:lnTo>
                <a:lnTo>
                  <a:pt x="3258" y="14995"/>
                </a:lnTo>
                <a:lnTo>
                  <a:pt x="3532" y="15619"/>
                </a:lnTo>
                <a:lnTo>
                  <a:pt x="3828" y="16157"/>
                </a:lnTo>
                <a:lnTo>
                  <a:pt x="4170" y="16781"/>
                </a:lnTo>
                <a:lnTo>
                  <a:pt x="4671" y="17263"/>
                </a:lnTo>
                <a:lnTo>
                  <a:pt x="5104" y="17688"/>
                </a:lnTo>
                <a:lnTo>
                  <a:pt x="5696" y="18057"/>
                </a:lnTo>
                <a:lnTo>
                  <a:pt x="6334" y="18425"/>
                </a:lnTo>
                <a:lnTo>
                  <a:pt x="6927" y="18794"/>
                </a:lnTo>
                <a:lnTo>
                  <a:pt x="7656" y="18964"/>
                </a:lnTo>
                <a:lnTo>
                  <a:pt x="8339" y="19219"/>
                </a:lnTo>
                <a:lnTo>
                  <a:pt x="9091" y="19332"/>
                </a:lnTo>
                <a:lnTo>
                  <a:pt x="9866" y="19474"/>
                </a:lnTo>
                <a:lnTo>
                  <a:pt x="10709" y="19474"/>
                </a:lnTo>
                <a:lnTo>
                  <a:pt x="11438" y="19474"/>
                </a:lnTo>
                <a:lnTo>
                  <a:pt x="12213" y="19332"/>
                </a:lnTo>
                <a:lnTo>
                  <a:pt x="12965" y="19219"/>
                </a:lnTo>
                <a:lnTo>
                  <a:pt x="13739" y="18964"/>
                </a:lnTo>
                <a:lnTo>
                  <a:pt x="14377" y="18794"/>
                </a:lnTo>
                <a:lnTo>
                  <a:pt x="15061" y="18425"/>
                </a:lnTo>
                <a:lnTo>
                  <a:pt x="15608" y="18057"/>
                </a:lnTo>
                <a:lnTo>
                  <a:pt x="16200" y="17688"/>
                </a:lnTo>
                <a:lnTo>
                  <a:pt x="16724" y="17263"/>
                </a:lnTo>
                <a:lnTo>
                  <a:pt x="17134" y="16781"/>
                </a:lnTo>
                <a:lnTo>
                  <a:pt x="17613" y="16157"/>
                </a:lnTo>
                <a:lnTo>
                  <a:pt x="17863" y="15619"/>
                </a:lnTo>
                <a:lnTo>
                  <a:pt x="18159" y="14995"/>
                </a:lnTo>
                <a:lnTo>
                  <a:pt x="18342" y="14400"/>
                </a:lnTo>
                <a:lnTo>
                  <a:pt x="18456" y="13861"/>
                </a:lnTo>
                <a:lnTo>
                  <a:pt x="18547" y="13124"/>
                </a:lnTo>
                <a:lnTo>
                  <a:pt x="18456" y="12557"/>
                </a:lnTo>
                <a:lnTo>
                  <a:pt x="18342" y="12076"/>
                </a:lnTo>
                <a:lnTo>
                  <a:pt x="18251" y="11537"/>
                </a:lnTo>
                <a:lnTo>
                  <a:pt x="17954" y="10913"/>
                </a:lnTo>
                <a:lnTo>
                  <a:pt x="17704" y="10431"/>
                </a:lnTo>
                <a:lnTo>
                  <a:pt x="17430" y="10006"/>
                </a:lnTo>
                <a:lnTo>
                  <a:pt x="17020" y="9524"/>
                </a:lnTo>
                <a:lnTo>
                  <a:pt x="16633" y="9014"/>
                </a:lnTo>
                <a:lnTo>
                  <a:pt x="15699" y="8362"/>
                </a:lnTo>
                <a:lnTo>
                  <a:pt x="14582" y="7625"/>
                </a:lnTo>
                <a:lnTo>
                  <a:pt x="13352" y="7200"/>
                </a:lnTo>
                <a:lnTo>
                  <a:pt x="12030" y="6945"/>
                </a:lnTo>
                <a:moveTo>
                  <a:pt x="12030" y="6945"/>
                </a:moveTo>
                <a:lnTo>
                  <a:pt x="10800" y="12557"/>
                </a:lnTo>
                <a:lnTo>
                  <a:pt x="11096" y="12444"/>
                </a:lnTo>
                <a:lnTo>
                  <a:pt x="11301" y="12444"/>
                </a:lnTo>
                <a:lnTo>
                  <a:pt x="11438" y="12331"/>
                </a:lnTo>
                <a:lnTo>
                  <a:pt x="11643" y="12076"/>
                </a:lnTo>
                <a:lnTo>
                  <a:pt x="11825" y="11820"/>
                </a:lnTo>
                <a:lnTo>
                  <a:pt x="11939" y="11594"/>
                </a:lnTo>
                <a:lnTo>
                  <a:pt x="11939" y="11282"/>
                </a:lnTo>
                <a:lnTo>
                  <a:pt x="12030" y="11055"/>
                </a:lnTo>
                <a:lnTo>
                  <a:pt x="12030" y="3912"/>
                </a:lnTo>
                <a:lnTo>
                  <a:pt x="11939" y="3543"/>
                </a:lnTo>
                <a:lnTo>
                  <a:pt x="11939" y="3288"/>
                </a:lnTo>
                <a:lnTo>
                  <a:pt x="11825" y="3061"/>
                </a:lnTo>
                <a:lnTo>
                  <a:pt x="11643" y="2806"/>
                </a:lnTo>
                <a:lnTo>
                  <a:pt x="11438" y="2636"/>
                </a:lnTo>
                <a:lnTo>
                  <a:pt x="11301" y="2494"/>
                </a:lnTo>
                <a:lnTo>
                  <a:pt x="11096" y="2381"/>
                </a:lnTo>
                <a:lnTo>
                  <a:pt x="10800" y="2381"/>
                </a:lnTo>
                <a:lnTo>
                  <a:pt x="10595" y="2381"/>
                </a:lnTo>
                <a:lnTo>
                  <a:pt x="10299" y="2494"/>
                </a:lnTo>
                <a:lnTo>
                  <a:pt x="10162" y="2636"/>
                </a:lnTo>
                <a:lnTo>
                  <a:pt x="9957" y="2806"/>
                </a:lnTo>
                <a:lnTo>
                  <a:pt x="9775" y="3061"/>
                </a:lnTo>
                <a:lnTo>
                  <a:pt x="9661" y="3288"/>
                </a:lnTo>
                <a:lnTo>
                  <a:pt x="9661" y="3543"/>
                </a:lnTo>
                <a:lnTo>
                  <a:pt x="9570" y="3912"/>
                </a:lnTo>
                <a:lnTo>
                  <a:pt x="9570" y="11055"/>
                </a:lnTo>
                <a:lnTo>
                  <a:pt x="9661" y="11282"/>
                </a:lnTo>
                <a:lnTo>
                  <a:pt x="9661" y="11594"/>
                </a:lnTo>
                <a:lnTo>
                  <a:pt x="9775" y="11820"/>
                </a:lnTo>
                <a:lnTo>
                  <a:pt x="9957" y="12076"/>
                </a:lnTo>
                <a:lnTo>
                  <a:pt x="10162" y="12331"/>
                </a:lnTo>
                <a:lnTo>
                  <a:pt x="10299" y="12444"/>
                </a:lnTo>
                <a:lnTo>
                  <a:pt x="10595" y="12444"/>
                </a:lnTo>
                <a:moveTo>
                  <a:pt x="10595" y="12444"/>
                </a:moveTo>
                <a:lnTo>
                  <a:pt x="10800" y="12557"/>
                </a:lnTo>
                <a:lnTo>
                  <a:pt x="6289" y="6463"/>
                </a:lnTo>
                <a:lnTo>
                  <a:pt x="6539" y="6350"/>
                </a:lnTo>
                <a:lnTo>
                  <a:pt x="6722" y="6350"/>
                </a:lnTo>
                <a:lnTo>
                  <a:pt x="7018" y="6094"/>
                </a:lnTo>
                <a:lnTo>
                  <a:pt x="7223" y="5981"/>
                </a:lnTo>
                <a:lnTo>
                  <a:pt x="7405" y="5669"/>
                </a:lnTo>
                <a:lnTo>
                  <a:pt x="7519" y="5414"/>
                </a:lnTo>
                <a:lnTo>
                  <a:pt x="7610" y="5074"/>
                </a:lnTo>
                <a:lnTo>
                  <a:pt x="7610" y="4706"/>
                </a:lnTo>
                <a:lnTo>
                  <a:pt x="7610" y="4337"/>
                </a:lnTo>
                <a:lnTo>
                  <a:pt x="7519" y="4139"/>
                </a:lnTo>
                <a:lnTo>
                  <a:pt x="7405" y="3770"/>
                </a:lnTo>
                <a:lnTo>
                  <a:pt x="7223" y="3543"/>
                </a:lnTo>
                <a:lnTo>
                  <a:pt x="7018" y="3288"/>
                </a:lnTo>
                <a:lnTo>
                  <a:pt x="6722" y="3175"/>
                </a:lnTo>
                <a:lnTo>
                  <a:pt x="6539" y="3061"/>
                </a:lnTo>
                <a:lnTo>
                  <a:pt x="6289" y="3061"/>
                </a:lnTo>
                <a:lnTo>
                  <a:pt x="5992" y="3061"/>
                </a:lnTo>
                <a:lnTo>
                  <a:pt x="5696" y="3175"/>
                </a:lnTo>
                <a:lnTo>
                  <a:pt x="5514" y="3288"/>
                </a:lnTo>
                <a:lnTo>
                  <a:pt x="5309" y="3543"/>
                </a:lnTo>
                <a:lnTo>
                  <a:pt x="5104" y="3770"/>
                </a:lnTo>
                <a:lnTo>
                  <a:pt x="4967" y="4139"/>
                </a:lnTo>
                <a:lnTo>
                  <a:pt x="4967" y="4337"/>
                </a:lnTo>
                <a:lnTo>
                  <a:pt x="4876" y="4706"/>
                </a:lnTo>
                <a:lnTo>
                  <a:pt x="4967" y="5074"/>
                </a:lnTo>
                <a:lnTo>
                  <a:pt x="4967" y="5414"/>
                </a:lnTo>
                <a:lnTo>
                  <a:pt x="5104" y="5669"/>
                </a:lnTo>
                <a:lnTo>
                  <a:pt x="5309" y="5981"/>
                </a:lnTo>
                <a:lnTo>
                  <a:pt x="5514" y="6094"/>
                </a:lnTo>
                <a:lnTo>
                  <a:pt x="5696" y="6350"/>
                </a:lnTo>
                <a:moveTo>
                  <a:pt x="5696" y="6350"/>
                </a:moveTo>
                <a:lnTo>
                  <a:pt x="5992" y="6350"/>
                </a:lnTo>
                <a:lnTo>
                  <a:pt x="6289" y="6463"/>
                </a:lnTo>
                <a:lnTo>
                  <a:pt x="15311" y="6463"/>
                </a:lnTo>
                <a:lnTo>
                  <a:pt x="15061" y="6350"/>
                </a:lnTo>
                <a:lnTo>
                  <a:pt x="14878" y="6350"/>
                </a:lnTo>
                <a:lnTo>
                  <a:pt x="14582" y="6094"/>
                </a:lnTo>
                <a:lnTo>
                  <a:pt x="14377" y="5981"/>
                </a:lnTo>
                <a:lnTo>
                  <a:pt x="14195" y="5669"/>
                </a:lnTo>
                <a:lnTo>
                  <a:pt x="14081" y="5414"/>
                </a:lnTo>
                <a:lnTo>
                  <a:pt x="13990" y="5074"/>
                </a:lnTo>
                <a:lnTo>
                  <a:pt x="13990" y="4706"/>
                </a:lnTo>
                <a:lnTo>
                  <a:pt x="13990" y="4337"/>
                </a:lnTo>
                <a:lnTo>
                  <a:pt x="14081" y="4139"/>
                </a:lnTo>
                <a:lnTo>
                  <a:pt x="14195" y="3770"/>
                </a:lnTo>
                <a:lnTo>
                  <a:pt x="14377" y="3543"/>
                </a:lnTo>
                <a:lnTo>
                  <a:pt x="14582" y="3288"/>
                </a:lnTo>
                <a:lnTo>
                  <a:pt x="14878" y="3175"/>
                </a:lnTo>
                <a:lnTo>
                  <a:pt x="15061" y="3061"/>
                </a:lnTo>
                <a:lnTo>
                  <a:pt x="15311" y="3061"/>
                </a:lnTo>
                <a:lnTo>
                  <a:pt x="15608" y="3061"/>
                </a:lnTo>
                <a:lnTo>
                  <a:pt x="15904" y="3175"/>
                </a:lnTo>
                <a:lnTo>
                  <a:pt x="16086" y="3288"/>
                </a:lnTo>
                <a:lnTo>
                  <a:pt x="16382" y="3543"/>
                </a:lnTo>
                <a:lnTo>
                  <a:pt x="16496" y="3770"/>
                </a:lnTo>
                <a:lnTo>
                  <a:pt x="16633" y="4139"/>
                </a:lnTo>
                <a:lnTo>
                  <a:pt x="16633" y="4337"/>
                </a:lnTo>
                <a:lnTo>
                  <a:pt x="16724" y="4706"/>
                </a:lnTo>
                <a:lnTo>
                  <a:pt x="16633" y="5074"/>
                </a:lnTo>
                <a:lnTo>
                  <a:pt x="16633" y="5414"/>
                </a:lnTo>
                <a:lnTo>
                  <a:pt x="16496" y="5669"/>
                </a:lnTo>
                <a:lnTo>
                  <a:pt x="16382" y="5981"/>
                </a:lnTo>
                <a:lnTo>
                  <a:pt x="16086" y="6094"/>
                </a:lnTo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oilet"/>
          <xdr:cNvSpPr>
            <a:spLocks/>
          </xdr:cNvSpPr>
        </xdr:nvSpPr>
        <xdr:spPr>
          <a:xfrm>
            <a:off x="723" y="397"/>
            <a:ext cx="21" cy="28"/>
          </a:xfrm>
          <a:custGeom>
            <a:pathLst>
              <a:path h="21600" w="21600">
                <a:moveTo>
                  <a:pt x="21600" y="7298"/>
                </a:moveTo>
                <a:lnTo>
                  <a:pt x="21600" y="0"/>
                </a:lnTo>
                <a:lnTo>
                  <a:pt x="10679" y="0"/>
                </a:lnTo>
                <a:lnTo>
                  <a:pt x="0" y="0"/>
                </a:lnTo>
                <a:lnTo>
                  <a:pt x="0" y="7298"/>
                </a:lnTo>
                <a:lnTo>
                  <a:pt x="6033" y="7298"/>
                </a:lnTo>
                <a:lnTo>
                  <a:pt x="6206" y="7616"/>
                </a:lnTo>
                <a:lnTo>
                  <a:pt x="6310" y="7935"/>
                </a:lnTo>
                <a:lnTo>
                  <a:pt x="6345" y="8302"/>
                </a:lnTo>
                <a:lnTo>
                  <a:pt x="6310" y="8620"/>
                </a:lnTo>
                <a:lnTo>
                  <a:pt x="6206" y="8963"/>
                </a:lnTo>
                <a:lnTo>
                  <a:pt x="6102" y="9331"/>
                </a:lnTo>
                <a:lnTo>
                  <a:pt x="5894" y="9722"/>
                </a:lnTo>
                <a:lnTo>
                  <a:pt x="5513" y="10163"/>
                </a:lnTo>
                <a:lnTo>
                  <a:pt x="4577" y="11339"/>
                </a:lnTo>
                <a:lnTo>
                  <a:pt x="3848" y="12539"/>
                </a:lnTo>
                <a:lnTo>
                  <a:pt x="3363" y="13641"/>
                </a:lnTo>
                <a:lnTo>
                  <a:pt x="3086" y="14718"/>
                </a:lnTo>
                <a:lnTo>
                  <a:pt x="3051" y="15649"/>
                </a:lnTo>
                <a:lnTo>
                  <a:pt x="3086" y="16580"/>
                </a:lnTo>
                <a:lnTo>
                  <a:pt x="3467" y="17510"/>
                </a:lnTo>
                <a:lnTo>
                  <a:pt x="3952" y="18294"/>
                </a:lnTo>
                <a:lnTo>
                  <a:pt x="4577" y="19029"/>
                </a:lnTo>
                <a:lnTo>
                  <a:pt x="5270" y="19616"/>
                </a:lnTo>
                <a:lnTo>
                  <a:pt x="6137" y="20229"/>
                </a:lnTo>
                <a:lnTo>
                  <a:pt x="6969" y="20718"/>
                </a:lnTo>
                <a:lnTo>
                  <a:pt x="7905" y="21061"/>
                </a:lnTo>
                <a:lnTo>
                  <a:pt x="8876" y="21331"/>
                </a:lnTo>
                <a:lnTo>
                  <a:pt x="9812" y="21600"/>
                </a:lnTo>
                <a:lnTo>
                  <a:pt x="10817" y="21600"/>
                </a:lnTo>
                <a:lnTo>
                  <a:pt x="11753" y="21600"/>
                </a:lnTo>
                <a:lnTo>
                  <a:pt x="12690" y="21331"/>
                </a:lnTo>
                <a:lnTo>
                  <a:pt x="13695" y="21061"/>
                </a:lnTo>
                <a:lnTo>
                  <a:pt x="14492" y="20718"/>
                </a:lnTo>
                <a:lnTo>
                  <a:pt x="15359" y="20229"/>
                </a:lnTo>
                <a:lnTo>
                  <a:pt x="16157" y="19616"/>
                </a:lnTo>
                <a:lnTo>
                  <a:pt x="16781" y="19029"/>
                </a:lnTo>
                <a:lnTo>
                  <a:pt x="17335" y="18294"/>
                </a:lnTo>
                <a:lnTo>
                  <a:pt x="17717" y="17510"/>
                </a:lnTo>
                <a:lnTo>
                  <a:pt x="18098" y="16580"/>
                </a:lnTo>
                <a:lnTo>
                  <a:pt x="18237" y="15649"/>
                </a:lnTo>
                <a:lnTo>
                  <a:pt x="18098" y="14718"/>
                </a:lnTo>
                <a:lnTo>
                  <a:pt x="17856" y="13641"/>
                </a:lnTo>
                <a:lnTo>
                  <a:pt x="17231" y="12539"/>
                </a:lnTo>
                <a:lnTo>
                  <a:pt x="16538" y="11339"/>
                </a:lnTo>
                <a:lnTo>
                  <a:pt x="15533" y="10163"/>
                </a:lnTo>
                <a:lnTo>
                  <a:pt x="15221" y="9722"/>
                </a:lnTo>
                <a:lnTo>
                  <a:pt x="14978" y="9404"/>
                </a:lnTo>
                <a:lnTo>
                  <a:pt x="14804" y="9012"/>
                </a:lnTo>
                <a:lnTo>
                  <a:pt x="14735" y="8620"/>
                </a:lnTo>
                <a:lnTo>
                  <a:pt x="14700" y="8302"/>
                </a:lnTo>
                <a:lnTo>
                  <a:pt x="14735" y="7959"/>
                </a:lnTo>
                <a:lnTo>
                  <a:pt x="14874" y="7616"/>
                </a:lnTo>
                <a:lnTo>
                  <a:pt x="14978" y="7298"/>
                </a:lnTo>
                <a:lnTo>
                  <a:pt x="21600" y="7298"/>
                </a:lnTo>
                <a:close/>
              </a:path>
              <a:path h="21600" w="21600">
                <a:moveTo>
                  <a:pt x="21600" y="7298"/>
                </a:moveTo>
                <a:lnTo>
                  <a:pt x="6033" y="7298"/>
                </a:lnTo>
                <a:lnTo>
                  <a:pt x="11164" y="7298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chair"/>
          <xdr:cNvSpPr>
            <a:spLocks/>
          </xdr:cNvSpPr>
        </xdr:nvSpPr>
        <xdr:spPr>
          <a:xfrm rot="16200000">
            <a:off x="627" y="400"/>
            <a:ext cx="14" cy="21"/>
          </a:xfrm>
          <a:custGeom>
            <a:pathLst>
              <a:path h="21600" w="21600">
                <a:moveTo>
                  <a:pt x="12960" y="3927"/>
                </a:moveTo>
                <a:lnTo>
                  <a:pt x="14760" y="3927"/>
                </a:lnTo>
                <a:cubicBezTo>
                  <a:pt x="17640" y="4713"/>
                  <a:pt x="18000" y="3535"/>
                  <a:pt x="18000" y="2356"/>
                </a:cubicBezTo>
                <a:cubicBezTo>
                  <a:pt x="18000" y="785"/>
                  <a:pt x="15840" y="0"/>
                  <a:pt x="10800" y="0"/>
                </a:cubicBezTo>
                <a:cubicBezTo>
                  <a:pt x="6120" y="0"/>
                  <a:pt x="3600" y="785"/>
                  <a:pt x="3600" y="2356"/>
                </a:cubicBezTo>
                <a:cubicBezTo>
                  <a:pt x="3600" y="3535"/>
                  <a:pt x="4320" y="4713"/>
                  <a:pt x="6840" y="3927"/>
                </a:cubicBezTo>
                <a:lnTo>
                  <a:pt x="8640" y="3927"/>
                </a:lnTo>
                <a:lnTo>
                  <a:pt x="8640" y="5891"/>
                </a:lnTo>
                <a:lnTo>
                  <a:pt x="6840" y="5891"/>
                </a:lnTo>
                <a:cubicBezTo>
                  <a:pt x="5400" y="5891"/>
                  <a:pt x="4320" y="7069"/>
                  <a:pt x="4320" y="8640"/>
                </a:cubicBezTo>
                <a:lnTo>
                  <a:pt x="4320" y="10996"/>
                </a:lnTo>
                <a:lnTo>
                  <a:pt x="2880" y="10996"/>
                </a:lnTo>
                <a:lnTo>
                  <a:pt x="2880" y="8640"/>
                </a:lnTo>
                <a:cubicBezTo>
                  <a:pt x="2880" y="7855"/>
                  <a:pt x="2520" y="7069"/>
                  <a:pt x="1440" y="7069"/>
                </a:cubicBezTo>
                <a:cubicBezTo>
                  <a:pt x="720" y="7069"/>
                  <a:pt x="0" y="7855"/>
                  <a:pt x="0" y="8640"/>
                </a:cubicBezTo>
                <a:lnTo>
                  <a:pt x="0" y="10604"/>
                </a:lnTo>
                <a:lnTo>
                  <a:pt x="0" y="17280"/>
                </a:lnTo>
                <a:cubicBezTo>
                  <a:pt x="0" y="18065"/>
                  <a:pt x="720" y="18851"/>
                  <a:pt x="1440" y="18851"/>
                </a:cubicBezTo>
                <a:cubicBezTo>
                  <a:pt x="2520" y="18851"/>
                  <a:pt x="2880" y="18065"/>
                  <a:pt x="2880" y="17280"/>
                </a:cubicBezTo>
                <a:lnTo>
                  <a:pt x="2880" y="14531"/>
                </a:lnTo>
                <a:lnTo>
                  <a:pt x="4320" y="14531"/>
                </a:lnTo>
                <a:lnTo>
                  <a:pt x="4320" y="15709"/>
                </a:lnTo>
                <a:cubicBezTo>
                  <a:pt x="4320" y="18458"/>
                  <a:pt x="6840" y="21600"/>
                  <a:pt x="10800" y="21600"/>
                </a:cubicBezTo>
                <a:cubicBezTo>
                  <a:pt x="15120" y="21600"/>
                  <a:pt x="17280" y="18458"/>
                  <a:pt x="17280" y="15709"/>
                </a:cubicBezTo>
                <a:lnTo>
                  <a:pt x="17280" y="14531"/>
                </a:lnTo>
                <a:lnTo>
                  <a:pt x="18720" y="14531"/>
                </a:lnTo>
                <a:lnTo>
                  <a:pt x="18720" y="17280"/>
                </a:lnTo>
                <a:cubicBezTo>
                  <a:pt x="18720" y="18065"/>
                  <a:pt x="19440" y="18851"/>
                  <a:pt x="20160" y="18851"/>
                </a:cubicBezTo>
                <a:cubicBezTo>
                  <a:pt x="20880" y="18851"/>
                  <a:pt x="21600" y="18065"/>
                  <a:pt x="21600" y="17280"/>
                </a:cubicBezTo>
                <a:lnTo>
                  <a:pt x="21600" y="10604"/>
                </a:lnTo>
                <a:lnTo>
                  <a:pt x="21600" y="8640"/>
                </a:lnTo>
                <a:cubicBezTo>
                  <a:pt x="21600" y="7855"/>
                  <a:pt x="20880" y="7069"/>
                  <a:pt x="20160" y="7069"/>
                </a:cubicBezTo>
                <a:cubicBezTo>
                  <a:pt x="19440" y="7069"/>
                  <a:pt x="18720" y="7855"/>
                  <a:pt x="18720" y="8640"/>
                </a:cubicBezTo>
                <a:lnTo>
                  <a:pt x="18720" y="10996"/>
                </a:lnTo>
                <a:lnTo>
                  <a:pt x="17280" y="10996"/>
                </a:lnTo>
                <a:lnTo>
                  <a:pt x="17280" y="8640"/>
                </a:lnTo>
                <a:cubicBezTo>
                  <a:pt x="17280" y="7069"/>
                  <a:pt x="16200" y="5891"/>
                  <a:pt x="14760" y="5891"/>
                </a:cubicBezTo>
                <a:lnTo>
                  <a:pt x="12960" y="5891"/>
                </a:lnTo>
                <a:close/>
                <a:moveTo>
                  <a:pt x="12960" y="5891"/>
                </a:moveTo>
                <a:moveTo>
                  <a:pt x="12960" y="5891"/>
                </a:moveTo>
                <a:moveTo>
                  <a:pt x="12960" y="5891"/>
                </a:moveTo>
                <a:lnTo>
                  <a:pt x="12960" y="3927"/>
                </a:lnTo>
                <a:moveTo>
                  <a:pt x="12960" y="3927"/>
                </a:moveTo>
                <a:lnTo>
                  <a:pt x="2880" y="10996"/>
                </a:lnTo>
                <a:moveTo>
                  <a:pt x="2880" y="10996"/>
                </a:moveTo>
                <a:moveTo>
                  <a:pt x="2880" y="10996"/>
                </a:moveTo>
                <a:lnTo>
                  <a:pt x="4320" y="10996"/>
                </a:lnTo>
                <a:moveTo>
                  <a:pt x="4320" y="10996"/>
                </a:moveTo>
                <a:lnTo>
                  <a:pt x="4320" y="14531"/>
                </a:lnTo>
                <a:moveTo>
                  <a:pt x="4320" y="14531"/>
                </a:moveTo>
                <a:lnTo>
                  <a:pt x="2880" y="14531"/>
                </a:lnTo>
                <a:moveTo>
                  <a:pt x="2880" y="14531"/>
                </a:moveTo>
                <a:lnTo>
                  <a:pt x="2880" y="10996"/>
                </a:lnTo>
              </a:path>
            </a:pathLst>
          </a:custGeom>
          <a:solidFill>
            <a:srgbClr val="CC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4" name="Picture 30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057364">
            <a:off x="708" y="449"/>
            <a:ext cx="22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5" name="Picture 30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674" y="410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6" name="Picture 3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057364">
            <a:off x="621" y="449"/>
            <a:ext cx="22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7" name="Picture 30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16200000">
            <a:off x="626" y="402"/>
            <a:ext cx="38" cy="3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08" name="Group 308"/>
          <xdr:cNvGrpSpPr>
            <a:grpSpLocks/>
          </xdr:cNvGrpSpPr>
        </xdr:nvGrpSpPr>
        <xdr:grpSpPr>
          <a:xfrm>
            <a:off x="432" y="426"/>
            <a:ext cx="77" cy="41"/>
            <a:chOff x="859" y="410"/>
            <a:chExt cx="106" cy="52"/>
          </a:xfrm>
          <a:solidFill>
            <a:srgbClr val="FFFFFF"/>
          </a:solidFill>
        </xdr:grpSpPr>
        <xdr:sp>
          <xdr:nvSpPr>
            <xdr:cNvPr id="309" name="Rectangle 309"/>
            <xdr:cNvSpPr>
              <a:spLocks/>
            </xdr:cNvSpPr>
          </xdr:nvSpPr>
          <xdr:spPr>
            <a:xfrm>
              <a:off x="859" y="410"/>
              <a:ext cx="81" cy="43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VME</a:t>
              </a:r>
            </a:p>
          </xdr:txBody>
        </xdr:sp>
        <xdr:sp>
          <xdr:nvSpPr>
            <xdr:cNvPr id="310" name="Rectangle 310"/>
            <xdr:cNvSpPr>
              <a:spLocks/>
            </xdr:cNvSpPr>
          </xdr:nvSpPr>
          <xdr:spPr>
            <a:xfrm>
              <a:off x="940" y="429"/>
              <a:ext cx="25" cy="24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Oval 311"/>
            <xdr:cNvSpPr>
              <a:spLocks/>
            </xdr:cNvSpPr>
          </xdr:nvSpPr>
          <xdr:spPr>
            <a:xfrm>
              <a:off x="885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Oval 312"/>
            <xdr:cNvSpPr>
              <a:spLocks/>
            </xdr:cNvSpPr>
          </xdr:nvSpPr>
          <xdr:spPr>
            <a:xfrm>
              <a:off x="948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Freeform 313"/>
            <xdr:cNvSpPr>
              <a:spLocks/>
            </xdr:cNvSpPr>
          </xdr:nvSpPr>
          <xdr:spPr>
            <a:xfrm>
              <a:off x="940" y="414"/>
              <a:ext cx="25" cy="15"/>
            </a:xfrm>
            <a:custGeom>
              <a:pathLst>
                <a:path h="15" w="25">
                  <a:moveTo>
                    <a:pt x="0" y="0"/>
                  </a:moveTo>
                  <a:lnTo>
                    <a:pt x="15" y="0"/>
                  </a:lnTo>
                  <a:lnTo>
                    <a:pt x="25" y="15"/>
                  </a:lnTo>
                </a:path>
              </a:pathLst>
            </a:cu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4" name="Group 314"/>
          <xdr:cNvGrpSpPr>
            <a:grpSpLocks/>
          </xdr:cNvGrpSpPr>
        </xdr:nvGrpSpPr>
        <xdr:grpSpPr>
          <a:xfrm flipH="1">
            <a:off x="534" y="426"/>
            <a:ext cx="77" cy="41"/>
            <a:chOff x="859" y="410"/>
            <a:chExt cx="106" cy="52"/>
          </a:xfrm>
          <a:solidFill>
            <a:srgbClr val="FFFFFF"/>
          </a:solidFill>
        </xdr:grpSpPr>
        <xdr:sp>
          <xdr:nvSpPr>
            <xdr:cNvPr id="315" name="Rectangle 315"/>
            <xdr:cNvSpPr>
              <a:spLocks/>
            </xdr:cNvSpPr>
          </xdr:nvSpPr>
          <xdr:spPr>
            <a:xfrm>
              <a:off x="859" y="410"/>
              <a:ext cx="81" cy="43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VME</a:t>
              </a:r>
            </a:p>
          </xdr:txBody>
        </xdr:sp>
        <xdr:sp>
          <xdr:nvSpPr>
            <xdr:cNvPr id="316" name="Rectangle 316"/>
            <xdr:cNvSpPr>
              <a:spLocks/>
            </xdr:cNvSpPr>
          </xdr:nvSpPr>
          <xdr:spPr>
            <a:xfrm>
              <a:off x="940" y="429"/>
              <a:ext cx="25" cy="24"/>
            </a:xfrm>
            <a:prstGeom prst="rect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Oval 317"/>
            <xdr:cNvSpPr>
              <a:spLocks/>
            </xdr:cNvSpPr>
          </xdr:nvSpPr>
          <xdr:spPr>
            <a:xfrm>
              <a:off x="885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Oval 318"/>
            <xdr:cNvSpPr>
              <a:spLocks/>
            </xdr:cNvSpPr>
          </xdr:nvSpPr>
          <xdr:spPr>
            <a:xfrm>
              <a:off x="948" y="448"/>
              <a:ext cx="15" cy="14"/>
            </a:xfrm>
            <a:prstGeom prst="ellipse">
              <a:avLst/>
            </a:pr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Freeform 319"/>
            <xdr:cNvSpPr>
              <a:spLocks/>
            </xdr:cNvSpPr>
          </xdr:nvSpPr>
          <xdr:spPr>
            <a:xfrm>
              <a:off x="940" y="414"/>
              <a:ext cx="25" cy="15"/>
            </a:xfrm>
            <a:custGeom>
              <a:pathLst>
                <a:path h="15" w="25">
                  <a:moveTo>
                    <a:pt x="0" y="0"/>
                  </a:moveTo>
                  <a:lnTo>
                    <a:pt x="15" y="0"/>
                  </a:lnTo>
                  <a:lnTo>
                    <a:pt x="25" y="15"/>
                  </a:lnTo>
                </a:path>
              </a:pathLst>
            </a:custGeom>
            <a:solidFill>
              <a:srgbClr val="FFCC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4:G27"/>
  <sheetViews>
    <sheetView zoomScalePageLayoutView="0" workbookViewId="0" topLeftCell="A1">
      <selection activeCell="H10" sqref="H10:J17"/>
    </sheetView>
  </sheetViews>
  <sheetFormatPr defaultColWidth="11.421875" defaultRowHeight="12.75"/>
  <cols>
    <col min="1" max="1" width="5.421875" style="2" customWidth="1"/>
    <col min="2" max="2" width="21.7109375" style="2" customWidth="1"/>
    <col min="3" max="3" width="9.8515625" style="2" customWidth="1"/>
    <col min="4" max="4" width="14.57421875" style="2" customWidth="1"/>
    <col min="5" max="5" width="13.28125" style="2" customWidth="1"/>
    <col min="6" max="6" width="8.8515625" style="2" customWidth="1"/>
    <col min="7" max="16384" width="11.421875" style="2" customWidth="1"/>
  </cols>
  <sheetData>
    <row r="4" spans="2:6" ht="12.75">
      <c r="B4" s="279" t="s">
        <v>130</v>
      </c>
      <c r="C4" s="279"/>
      <c r="D4" s="279"/>
      <c r="E4" s="279"/>
      <c r="F4" s="279"/>
    </row>
    <row r="5" spans="2:6" ht="25.5">
      <c r="B5" s="38" t="s">
        <v>113</v>
      </c>
      <c r="C5" s="38" t="s">
        <v>4</v>
      </c>
      <c r="D5" s="38" t="s">
        <v>114</v>
      </c>
      <c r="E5" s="38" t="s">
        <v>115</v>
      </c>
      <c r="F5" s="38" t="s">
        <v>116</v>
      </c>
    </row>
    <row r="6" spans="2:6" ht="12.75">
      <c r="B6" s="1" t="s">
        <v>157</v>
      </c>
      <c r="C6" s="1">
        <v>1</v>
      </c>
      <c r="D6" s="103">
        <v>7000</v>
      </c>
      <c r="E6" s="104">
        <f>+D6*C6</f>
        <v>7000</v>
      </c>
      <c r="F6" s="1">
        <v>15</v>
      </c>
    </row>
    <row r="7" spans="2:6" ht="12.75">
      <c r="B7" s="1" t="s">
        <v>158</v>
      </c>
      <c r="C7" s="1">
        <v>2</v>
      </c>
      <c r="D7" s="103">
        <v>1000</v>
      </c>
      <c r="E7" s="104">
        <f>+D7*C7</f>
        <v>2000</v>
      </c>
      <c r="F7" s="1">
        <v>10</v>
      </c>
    </row>
    <row r="8" spans="2:6" ht="12.75">
      <c r="B8" s="1" t="s">
        <v>159</v>
      </c>
      <c r="C8" s="1">
        <v>10</v>
      </c>
      <c r="D8" s="103">
        <v>3000</v>
      </c>
      <c r="E8" s="104">
        <f>+D8*C8</f>
        <v>30000</v>
      </c>
      <c r="F8" s="1">
        <v>10</v>
      </c>
    </row>
    <row r="9" spans="2:6" ht="13.5" thickBot="1">
      <c r="B9" s="31"/>
      <c r="C9" s="99"/>
      <c r="D9" s="62"/>
      <c r="E9" s="63"/>
      <c r="F9" s="35"/>
    </row>
    <row r="10" spans="2:6" ht="13.5" thickTop="1">
      <c r="B10" s="51"/>
      <c r="C10" s="51"/>
      <c r="D10" s="248" t="s">
        <v>117</v>
      </c>
      <c r="E10" s="249">
        <f>SUM(E6:E9)</f>
        <v>39000</v>
      </c>
      <c r="F10" s="61"/>
    </row>
    <row r="15" spans="2:7" ht="12.75">
      <c r="B15" s="109"/>
      <c r="C15" s="109"/>
      <c r="D15" s="109"/>
      <c r="E15" s="109"/>
      <c r="F15" s="109"/>
      <c r="G15" s="109"/>
    </row>
    <row r="16" spans="2:7" ht="12.75">
      <c r="B16" s="109"/>
      <c r="C16" s="109"/>
      <c r="D16" s="109"/>
      <c r="E16" s="109"/>
      <c r="F16" s="109"/>
      <c r="G16" s="109"/>
    </row>
    <row r="17" spans="2:7" ht="12.75">
      <c r="B17" s="109"/>
      <c r="C17" s="109"/>
      <c r="D17" s="109"/>
      <c r="E17" s="109"/>
      <c r="F17" s="109"/>
      <c r="G17" s="109"/>
    </row>
    <row r="18" spans="2:7" ht="12.75">
      <c r="B18" s="109"/>
      <c r="C18" s="109"/>
      <c r="D18" s="109"/>
      <c r="E18" s="109"/>
      <c r="F18" s="109"/>
      <c r="G18" s="109"/>
    </row>
    <row r="19" spans="2:7" ht="12.75">
      <c r="B19" s="109"/>
      <c r="C19" s="109"/>
      <c r="D19" s="109"/>
      <c r="E19" s="109"/>
      <c r="F19" s="109"/>
      <c r="G19" s="109"/>
    </row>
    <row r="20" spans="2:7" ht="12.75">
      <c r="B20" s="109"/>
      <c r="C20" s="109"/>
      <c r="D20" s="109"/>
      <c r="E20" s="109"/>
      <c r="F20" s="109"/>
      <c r="G20" s="109"/>
    </row>
    <row r="21" spans="2:7" ht="12.75">
      <c r="B21" s="109"/>
      <c r="C21" s="109"/>
      <c r="D21" s="109"/>
      <c r="E21" s="109"/>
      <c r="F21" s="109"/>
      <c r="G21" s="109"/>
    </row>
    <row r="22" spans="2:7" ht="12.75">
      <c r="B22" s="109"/>
      <c r="C22" s="109"/>
      <c r="D22" s="109"/>
      <c r="E22" s="109"/>
      <c r="F22" s="109"/>
      <c r="G22" s="109"/>
    </row>
    <row r="23" spans="2:7" ht="12.75">
      <c r="B23" s="109"/>
      <c r="C23" s="109"/>
      <c r="D23" s="109"/>
      <c r="E23" s="109"/>
      <c r="F23" s="109"/>
      <c r="G23" s="109"/>
    </row>
    <row r="24" spans="2:7" ht="12.75">
      <c r="B24" s="109"/>
      <c r="C24" s="109"/>
      <c r="D24" s="109"/>
      <c r="E24" s="109"/>
      <c r="F24" s="109"/>
      <c r="G24" s="109"/>
    </row>
    <row r="25" spans="2:7" ht="12.75">
      <c r="B25" s="109"/>
      <c r="C25" s="109"/>
      <c r="D25" s="109"/>
      <c r="E25" s="109"/>
      <c r="F25" s="109"/>
      <c r="G25" s="109"/>
    </row>
    <row r="26" spans="2:7" ht="12.75">
      <c r="B26" s="109"/>
      <c r="C26" s="109"/>
      <c r="D26" s="109"/>
      <c r="E26" s="109"/>
      <c r="F26" s="109"/>
      <c r="G26" s="109"/>
    </row>
    <row r="27" spans="2:7" ht="12.75">
      <c r="B27" s="109"/>
      <c r="C27" s="109"/>
      <c r="D27" s="109"/>
      <c r="E27" s="109"/>
      <c r="F27" s="109"/>
      <c r="G27" s="109"/>
    </row>
  </sheetData>
  <sheetProtection/>
  <mergeCells count="1">
    <mergeCell ref="B4:F4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3:F18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421875" style="2" customWidth="1"/>
    <col min="2" max="2" width="27.140625" style="2" bestFit="1" customWidth="1"/>
    <col min="3" max="3" width="16.57421875" style="2" bestFit="1" customWidth="1"/>
    <col min="4" max="4" width="11.8515625" style="2" customWidth="1"/>
    <col min="5" max="16384" width="11.421875" style="2" customWidth="1"/>
  </cols>
  <sheetData>
    <row r="3" ht="12.75">
      <c r="B3" s="239"/>
    </row>
    <row r="4" spans="1:5" ht="14.25">
      <c r="A4" s="237"/>
      <c r="B4" s="300" t="s">
        <v>266</v>
      </c>
      <c r="C4" s="301"/>
      <c r="D4" s="302"/>
      <c r="E4" s="221"/>
    </row>
    <row r="5" spans="2:4" ht="14.25">
      <c r="B5" s="303" t="s">
        <v>142</v>
      </c>
      <c r="C5" s="303"/>
      <c r="D5" s="303"/>
    </row>
    <row r="6" spans="2:4" ht="14.25">
      <c r="B6" s="70" t="s">
        <v>267</v>
      </c>
      <c r="C6" s="70" t="s">
        <v>4</v>
      </c>
      <c r="D6" s="70" t="s">
        <v>268</v>
      </c>
    </row>
    <row r="7" spans="2:4" ht="12.75">
      <c r="B7" s="31" t="s">
        <v>145</v>
      </c>
      <c r="C7" s="81">
        <v>30000</v>
      </c>
      <c r="D7" s="112">
        <v>100</v>
      </c>
    </row>
    <row r="8" spans="2:4" ht="12.75">
      <c r="B8" s="31" t="s">
        <v>146</v>
      </c>
      <c r="C8" s="35">
        <v>1</v>
      </c>
      <c r="D8" s="112">
        <v>1300</v>
      </c>
    </row>
    <row r="9" spans="2:4" ht="12.75">
      <c r="B9" s="31" t="s">
        <v>188</v>
      </c>
      <c r="C9" s="35">
        <v>4000</v>
      </c>
      <c r="D9" s="112">
        <v>40</v>
      </c>
    </row>
    <row r="10" spans="2:4" ht="12.75">
      <c r="B10" s="31" t="s">
        <v>261</v>
      </c>
      <c r="C10" s="35">
        <v>1</v>
      </c>
      <c r="D10" s="112">
        <v>800</v>
      </c>
    </row>
    <row r="11" spans="2:4" ht="13.5" thickBot="1">
      <c r="B11" s="31" t="s">
        <v>147</v>
      </c>
      <c r="C11" s="35">
        <v>1</v>
      </c>
      <c r="D11" s="127">
        <v>500</v>
      </c>
    </row>
    <row r="12" spans="2:6" ht="15" thickTop="1">
      <c r="B12" s="71" t="s">
        <v>46</v>
      </c>
      <c r="C12" s="51"/>
      <c r="D12" s="114">
        <f>SUM(D7:D11)</f>
        <v>2740</v>
      </c>
      <c r="F12" s="25">
        <f>+D12/D18</f>
        <v>0.43217665615141954</v>
      </c>
    </row>
    <row r="13" ht="7.5" customHeight="1"/>
    <row r="14" spans="2:4" ht="14.25">
      <c r="B14" s="303" t="s">
        <v>148</v>
      </c>
      <c r="C14" s="303"/>
      <c r="D14" s="303"/>
    </row>
    <row r="15" spans="2:4" ht="14.25">
      <c r="B15" s="70" t="s">
        <v>143</v>
      </c>
      <c r="C15" s="70" t="s">
        <v>95</v>
      </c>
      <c r="D15" s="70" t="s">
        <v>144</v>
      </c>
    </row>
    <row r="16" spans="2:4" ht="13.5" thickBot="1">
      <c r="B16" s="31" t="s">
        <v>189</v>
      </c>
      <c r="C16" s="35">
        <v>5</v>
      </c>
      <c r="D16" s="100">
        <f>+C16*(12*60)</f>
        <v>3600</v>
      </c>
    </row>
    <row r="17" spans="2:6" ht="15.75" thickBot="1" thickTop="1">
      <c r="B17" s="71" t="s">
        <v>46</v>
      </c>
      <c r="C17" s="72"/>
      <c r="D17" s="128">
        <f>SUM(D16)</f>
        <v>3600</v>
      </c>
      <c r="F17" s="25">
        <f>1-F12</f>
        <v>0.5678233438485805</v>
      </c>
    </row>
    <row r="18" spans="2:5" ht="13.5" thickTop="1">
      <c r="B18" s="31" t="s">
        <v>149</v>
      </c>
      <c r="C18" s="31"/>
      <c r="D18" s="129">
        <f>+D12+D16</f>
        <v>6340</v>
      </c>
      <c r="E18" s="73"/>
    </row>
  </sheetData>
  <sheetProtection/>
  <mergeCells count="3">
    <mergeCell ref="B4:D4"/>
    <mergeCell ref="B5:D5"/>
    <mergeCell ref="B14:D14"/>
  </mergeCell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8"/>
  <sheetViews>
    <sheetView zoomScale="75" zoomScaleNormal="75" zoomScalePageLayoutView="0" workbookViewId="0" topLeftCell="J1">
      <selection activeCell="R26" sqref="R26:AA30"/>
    </sheetView>
  </sheetViews>
  <sheetFormatPr defaultColWidth="11.421875" defaultRowHeight="12.75"/>
  <cols>
    <col min="1" max="1" width="23.28125" style="2" customWidth="1"/>
    <col min="2" max="2" width="11.57421875" style="2" bestFit="1" customWidth="1"/>
    <col min="3" max="14" width="11.421875" style="2" customWidth="1"/>
    <col min="15" max="15" width="10.57421875" style="21" bestFit="1" customWidth="1"/>
    <col min="16" max="16" width="10.57421875" style="21" customWidth="1"/>
    <col min="17" max="17" width="11.421875" style="2" customWidth="1"/>
    <col min="18" max="18" width="12.28125" style="2" bestFit="1" customWidth="1"/>
    <col min="19" max="19" width="11.421875" style="2" customWidth="1"/>
    <col min="20" max="16384" width="11.421875" style="2" customWidth="1"/>
  </cols>
  <sheetData>
    <row r="1" spans="4:13" ht="12.75">
      <c r="D1" s="74">
        <v>0.03428571428571429</v>
      </c>
      <c r="E1" s="74">
        <v>0.05714285714285714</v>
      </c>
      <c r="F1" s="74">
        <v>0.11428571428571428</v>
      </c>
      <c r="G1" s="74">
        <v>0.12571428571428572</v>
      </c>
      <c r="H1" s="74">
        <v>0.2057142857142857</v>
      </c>
      <c r="I1" s="74">
        <v>0.2057142857142857</v>
      </c>
      <c r="J1" s="74">
        <v>0.11428571428571428</v>
      </c>
      <c r="K1" s="74">
        <v>0.09142857142857143</v>
      </c>
      <c r="L1" s="74">
        <v>0.03428571428571429</v>
      </c>
      <c r="M1" s="74">
        <v>0.017142857142857144</v>
      </c>
    </row>
    <row r="2" ht="18">
      <c r="E2" s="76" t="s">
        <v>155</v>
      </c>
    </row>
    <row r="3" spans="1:17" ht="15">
      <c r="A3" s="60"/>
      <c r="P3" s="183"/>
      <c r="Q3" s="78"/>
    </row>
    <row r="4" spans="1:17" ht="15">
      <c r="A4" s="60"/>
      <c r="B4" s="2" t="s">
        <v>197</v>
      </c>
      <c r="P4" s="183"/>
      <c r="Q4" s="78"/>
    </row>
    <row r="5" spans="3:27" ht="12.75"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3" t="s">
        <v>52</v>
      </c>
      <c r="I5" s="23" t="s">
        <v>53</v>
      </c>
      <c r="J5" s="23" t="s">
        <v>54</v>
      </c>
      <c r="K5" s="23" t="s">
        <v>55</v>
      </c>
      <c r="L5" s="23" t="s">
        <v>56</v>
      </c>
      <c r="M5" s="23" t="s">
        <v>57</v>
      </c>
      <c r="N5" s="23" t="s">
        <v>58</v>
      </c>
      <c r="O5" s="168" t="s">
        <v>46</v>
      </c>
      <c r="P5" s="185"/>
      <c r="Q5" s="78"/>
      <c r="R5" s="2" t="s">
        <v>209</v>
      </c>
      <c r="S5" s="2" t="s">
        <v>210</v>
      </c>
      <c r="T5" s="2" t="s">
        <v>211</v>
      </c>
      <c r="U5" s="2" t="s">
        <v>212</v>
      </c>
      <c r="V5" s="2" t="s">
        <v>213</v>
      </c>
      <c r="W5" s="2" t="s">
        <v>214</v>
      </c>
      <c r="X5" s="2" t="s">
        <v>215</v>
      </c>
      <c r="Y5" s="2" t="s">
        <v>216</v>
      </c>
      <c r="Z5" s="2" t="s">
        <v>217</v>
      </c>
      <c r="AA5" s="2" t="s">
        <v>218</v>
      </c>
    </row>
    <row r="6" spans="1:17" ht="12.75">
      <c r="A6" s="16" t="s">
        <v>110</v>
      </c>
      <c r="B6" s="16">
        <v>0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168"/>
      <c r="P6" s="185"/>
      <c r="Q6" s="78"/>
    </row>
    <row r="7" spans="1:27" ht="12.75">
      <c r="A7" s="10" t="s">
        <v>95</v>
      </c>
      <c r="B7" s="11"/>
      <c r="C7" s="134">
        <v>10000</v>
      </c>
      <c r="D7" s="134">
        <f>+C7*1.02</f>
        <v>10200</v>
      </c>
      <c r="E7" s="134">
        <f aca="true" t="shared" si="0" ref="E7:N7">+D7*1.02</f>
        <v>10404</v>
      </c>
      <c r="F7" s="134">
        <f t="shared" si="0"/>
        <v>10612.08</v>
      </c>
      <c r="G7" s="134">
        <f t="shared" si="0"/>
        <v>10824.3216</v>
      </c>
      <c r="H7" s="134">
        <f t="shared" si="0"/>
        <v>11040.808031999999</v>
      </c>
      <c r="I7" s="134">
        <f t="shared" si="0"/>
        <v>11261.62419264</v>
      </c>
      <c r="J7" s="134">
        <f t="shared" si="0"/>
        <v>11486.8566764928</v>
      </c>
      <c r="K7" s="134">
        <f t="shared" si="0"/>
        <v>11716.593810022656</v>
      </c>
      <c r="L7" s="134">
        <f t="shared" si="0"/>
        <v>11950.925686223109</v>
      </c>
      <c r="M7" s="134">
        <f t="shared" si="0"/>
        <v>12189.944199947571</v>
      </c>
      <c r="N7" s="134">
        <f t="shared" si="0"/>
        <v>12433.743083946523</v>
      </c>
      <c r="O7" s="182">
        <f aca="true" t="shared" si="1" ref="O7:O12">SUM(C7:N7)</f>
        <v>134120.89728127263</v>
      </c>
      <c r="P7" s="184"/>
      <c r="Q7" s="146" t="s">
        <v>95</v>
      </c>
      <c r="R7" s="131">
        <f>+SUM(R8:R12)</f>
        <v>134120.8972812727</v>
      </c>
      <c r="S7" s="131">
        <f aca="true" t="shared" si="2" ref="S7:AA7">+SUM(S8:S12)</f>
        <v>138144.52419971084</v>
      </c>
      <c r="T7" s="131">
        <f t="shared" si="2"/>
        <v>142288.85992570219</v>
      </c>
      <c r="U7" s="131">
        <f t="shared" si="2"/>
        <v>146557.52572347323</v>
      </c>
      <c r="V7" s="131">
        <f t="shared" si="2"/>
        <v>150954.25149517742</v>
      </c>
      <c r="W7" s="131">
        <f t="shared" si="2"/>
        <v>155482.87904003277</v>
      </c>
      <c r="X7" s="131">
        <f t="shared" si="2"/>
        <v>160147.36541123377</v>
      </c>
      <c r="Y7" s="131">
        <f t="shared" si="2"/>
        <v>164951.78637357077</v>
      </c>
      <c r="Z7" s="131">
        <f t="shared" si="2"/>
        <v>169900.3399647779</v>
      </c>
      <c r="AA7" s="131">
        <f t="shared" si="2"/>
        <v>174997.35016372125</v>
      </c>
    </row>
    <row r="8" spans="1:27" ht="12.75">
      <c r="A8" s="19" t="s">
        <v>192</v>
      </c>
      <c r="B8" s="52">
        <v>0.17</v>
      </c>
      <c r="C8" s="134">
        <f>+C7*$B$8</f>
        <v>1700.0000000000002</v>
      </c>
      <c r="D8" s="134">
        <f aca="true" t="shared" si="3" ref="D8:N8">+D7*$B$8</f>
        <v>1734.0000000000002</v>
      </c>
      <c r="E8" s="134">
        <f t="shared" si="3"/>
        <v>1768.68</v>
      </c>
      <c r="F8" s="134">
        <f t="shared" si="3"/>
        <v>1804.0536000000002</v>
      </c>
      <c r="G8" s="134">
        <f t="shared" si="3"/>
        <v>1840.134672</v>
      </c>
      <c r="H8" s="134">
        <f t="shared" si="3"/>
        <v>1876.93736544</v>
      </c>
      <c r="I8" s="134">
        <f t="shared" si="3"/>
        <v>1914.4761127488</v>
      </c>
      <c r="J8" s="134">
        <f t="shared" si="3"/>
        <v>1952.7656350037762</v>
      </c>
      <c r="K8" s="134">
        <f t="shared" si="3"/>
        <v>1991.8209477038517</v>
      </c>
      <c r="L8" s="134">
        <f t="shared" si="3"/>
        <v>2031.6573666579286</v>
      </c>
      <c r="M8" s="134">
        <f t="shared" si="3"/>
        <v>2072.290513991087</v>
      </c>
      <c r="N8" s="134">
        <f t="shared" si="3"/>
        <v>2113.736324270909</v>
      </c>
      <c r="O8" s="182">
        <f t="shared" si="1"/>
        <v>22800.55253781635</v>
      </c>
      <c r="P8" s="184"/>
      <c r="Q8" s="78" t="s">
        <v>192</v>
      </c>
      <c r="R8" s="79">
        <f>+O8</f>
        <v>22800.55253781635</v>
      </c>
      <c r="S8" s="143">
        <f>+R8*1.03</f>
        <v>23484.56911395084</v>
      </c>
      <c r="T8" s="143">
        <f aca="true" t="shared" si="4" ref="T8:AA8">+S8*1.03</f>
        <v>24189.10618736937</v>
      </c>
      <c r="U8" s="143">
        <f t="shared" si="4"/>
        <v>24914.77937299045</v>
      </c>
      <c r="V8" s="143">
        <f t="shared" si="4"/>
        <v>25662.222754180166</v>
      </c>
      <c r="W8" s="143">
        <f t="shared" si="4"/>
        <v>26432.08943680557</v>
      </c>
      <c r="X8" s="143">
        <f t="shared" si="4"/>
        <v>27225.05211990974</v>
      </c>
      <c r="Y8" s="143">
        <f t="shared" si="4"/>
        <v>28041.80368350703</v>
      </c>
      <c r="Z8" s="143">
        <f t="shared" si="4"/>
        <v>28883.057794012242</v>
      </c>
      <c r="AA8" s="143">
        <f t="shared" si="4"/>
        <v>29749.54952783261</v>
      </c>
    </row>
    <row r="9" spans="1:27" ht="12.75">
      <c r="A9" s="19" t="s">
        <v>193</v>
      </c>
      <c r="B9" s="53">
        <v>0.17</v>
      </c>
      <c r="C9" s="134">
        <f>+$B$9*C7</f>
        <v>1700.0000000000002</v>
      </c>
      <c r="D9" s="134">
        <f aca="true" t="shared" si="5" ref="D9:N9">+$B$9*D7</f>
        <v>1734.0000000000002</v>
      </c>
      <c r="E9" s="134">
        <f t="shared" si="5"/>
        <v>1768.68</v>
      </c>
      <c r="F9" s="134">
        <f t="shared" si="5"/>
        <v>1804.0536000000002</v>
      </c>
      <c r="G9" s="134">
        <f t="shared" si="5"/>
        <v>1840.134672</v>
      </c>
      <c r="H9" s="134">
        <f t="shared" si="5"/>
        <v>1876.93736544</v>
      </c>
      <c r="I9" s="134">
        <f t="shared" si="5"/>
        <v>1914.4761127488</v>
      </c>
      <c r="J9" s="134">
        <f t="shared" si="5"/>
        <v>1952.7656350037762</v>
      </c>
      <c r="K9" s="134">
        <f t="shared" si="5"/>
        <v>1991.8209477038517</v>
      </c>
      <c r="L9" s="134">
        <f t="shared" si="5"/>
        <v>2031.6573666579286</v>
      </c>
      <c r="M9" s="134">
        <f t="shared" si="5"/>
        <v>2072.290513991087</v>
      </c>
      <c r="N9" s="134">
        <f t="shared" si="5"/>
        <v>2113.736324270909</v>
      </c>
      <c r="O9" s="182">
        <f t="shared" si="1"/>
        <v>22800.55253781635</v>
      </c>
      <c r="P9" s="184"/>
      <c r="Q9" s="78" t="s">
        <v>193</v>
      </c>
      <c r="R9" s="79">
        <f>+O9</f>
        <v>22800.55253781635</v>
      </c>
      <c r="S9" s="143">
        <f aca="true" t="shared" si="6" ref="S9:AA12">+R9*1.03</f>
        <v>23484.56911395084</v>
      </c>
      <c r="T9" s="143">
        <f t="shared" si="6"/>
        <v>24189.10618736937</v>
      </c>
      <c r="U9" s="143">
        <f t="shared" si="6"/>
        <v>24914.77937299045</v>
      </c>
      <c r="V9" s="143">
        <f t="shared" si="6"/>
        <v>25662.222754180166</v>
      </c>
      <c r="W9" s="143">
        <f t="shared" si="6"/>
        <v>26432.08943680557</v>
      </c>
      <c r="X9" s="143">
        <f t="shared" si="6"/>
        <v>27225.05211990974</v>
      </c>
      <c r="Y9" s="143">
        <f t="shared" si="6"/>
        <v>28041.80368350703</v>
      </c>
      <c r="Z9" s="143">
        <f t="shared" si="6"/>
        <v>28883.057794012242</v>
      </c>
      <c r="AA9" s="143">
        <f t="shared" si="6"/>
        <v>29749.54952783261</v>
      </c>
    </row>
    <row r="10" spans="1:27" ht="12.75">
      <c r="A10" s="19" t="s">
        <v>194</v>
      </c>
      <c r="B10" s="54">
        <v>0.22</v>
      </c>
      <c r="C10" s="134">
        <f>+$B$10*C7</f>
        <v>2200</v>
      </c>
      <c r="D10" s="134">
        <f aca="true" t="shared" si="7" ref="D10:N10">+$B$10*D7</f>
        <v>2244</v>
      </c>
      <c r="E10" s="134">
        <f t="shared" si="7"/>
        <v>2288.88</v>
      </c>
      <c r="F10" s="134">
        <f t="shared" si="7"/>
        <v>2334.6576</v>
      </c>
      <c r="G10" s="134">
        <f t="shared" si="7"/>
        <v>2381.350752</v>
      </c>
      <c r="H10" s="134">
        <f t="shared" si="7"/>
        <v>2428.97776704</v>
      </c>
      <c r="I10" s="134">
        <f t="shared" si="7"/>
        <v>2477.5573223808</v>
      </c>
      <c r="J10" s="134">
        <f t="shared" si="7"/>
        <v>2527.108468828416</v>
      </c>
      <c r="K10" s="134">
        <f t="shared" si="7"/>
        <v>2577.6506382049843</v>
      </c>
      <c r="L10" s="134">
        <f t="shared" si="7"/>
        <v>2629.203650969084</v>
      </c>
      <c r="M10" s="134">
        <f t="shared" si="7"/>
        <v>2681.7877239884656</v>
      </c>
      <c r="N10" s="134">
        <f t="shared" si="7"/>
        <v>2735.4234784682353</v>
      </c>
      <c r="O10" s="182">
        <f t="shared" si="1"/>
        <v>29506.597401879986</v>
      </c>
      <c r="P10" s="184"/>
      <c r="Q10" s="78" t="s">
        <v>194</v>
      </c>
      <c r="R10" s="79">
        <f>+O10</f>
        <v>29506.597401879986</v>
      </c>
      <c r="S10" s="143">
        <f t="shared" si="6"/>
        <v>30391.795323936385</v>
      </c>
      <c r="T10" s="143">
        <f t="shared" si="6"/>
        <v>31303.54918365448</v>
      </c>
      <c r="U10" s="143">
        <f t="shared" si="6"/>
        <v>32242.655659164113</v>
      </c>
      <c r="V10" s="143">
        <f t="shared" si="6"/>
        <v>33209.935328939035</v>
      </c>
      <c r="W10" s="143">
        <f t="shared" si="6"/>
        <v>34206.23338880721</v>
      </c>
      <c r="X10" s="143">
        <f t="shared" si="6"/>
        <v>35232.42039047143</v>
      </c>
      <c r="Y10" s="143">
        <f t="shared" si="6"/>
        <v>36289.39300218558</v>
      </c>
      <c r="Z10" s="143">
        <f t="shared" si="6"/>
        <v>37378.074792251144</v>
      </c>
      <c r="AA10" s="143">
        <f t="shared" si="6"/>
        <v>38499.417036018676</v>
      </c>
    </row>
    <row r="11" spans="1:27" ht="12.75">
      <c r="A11" s="19" t="s">
        <v>195</v>
      </c>
      <c r="B11" s="54">
        <v>0.26</v>
      </c>
      <c r="C11" s="134">
        <f>+C7*$B$11</f>
        <v>2600</v>
      </c>
      <c r="D11" s="134">
        <f aca="true" t="shared" si="8" ref="D11:N11">+D7*$B$11</f>
        <v>2652</v>
      </c>
      <c r="E11" s="134">
        <f t="shared" si="8"/>
        <v>2705.04</v>
      </c>
      <c r="F11" s="134">
        <f t="shared" si="8"/>
        <v>2759.1408</v>
      </c>
      <c r="G11" s="134">
        <f t="shared" si="8"/>
        <v>2814.323616</v>
      </c>
      <c r="H11" s="134">
        <f t="shared" si="8"/>
        <v>2870.6100883199997</v>
      </c>
      <c r="I11" s="134">
        <f t="shared" si="8"/>
        <v>2928.0222900864</v>
      </c>
      <c r="J11" s="134">
        <f t="shared" si="8"/>
        <v>2986.582735888128</v>
      </c>
      <c r="K11" s="134">
        <f t="shared" si="8"/>
        <v>3046.314390605891</v>
      </c>
      <c r="L11" s="134">
        <f t="shared" si="8"/>
        <v>3107.2406784180084</v>
      </c>
      <c r="M11" s="134">
        <f t="shared" si="8"/>
        <v>3169.385491986369</v>
      </c>
      <c r="N11" s="134">
        <f t="shared" si="8"/>
        <v>3232.7732018260963</v>
      </c>
      <c r="O11" s="182">
        <f t="shared" si="1"/>
        <v>34871.433293130896</v>
      </c>
      <c r="P11" s="184"/>
      <c r="Q11" s="78" t="s">
        <v>195</v>
      </c>
      <c r="R11" s="79">
        <f>+O11</f>
        <v>34871.433293130896</v>
      </c>
      <c r="S11" s="143">
        <f t="shared" si="6"/>
        <v>35917.57629192482</v>
      </c>
      <c r="T11" s="143">
        <f t="shared" si="6"/>
        <v>36995.10358068257</v>
      </c>
      <c r="U11" s="143">
        <f t="shared" si="6"/>
        <v>38104.95668810305</v>
      </c>
      <c r="V11" s="143">
        <f t="shared" si="6"/>
        <v>39248.10538874614</v>
      </c>
      <c r="W11" s="143">
        <f t="shared" si="6"/>
        <v>40425.54855040852</v>
      </c>
      <c r="X11" s="143">
        <f t="shared" si="6"/>
        <v>41638.31500692078</v>
      </c>
      <c r="Y11" s="143">
        <f t="shared" si="6"/>
        <v>42887.4644571284</v>
      </c>
      <c r="Z11" s="143">
        <f t="shared" si="6"/>
        <v>44174.088390842255</v>
      </c>
      <c r="AA11" s="143">
        <f t="shared" si="6"/>
        <v>45499.311042567526</v>
      </c>
    </row>
    <row r="12" spans="1:27" ht="12.75">
      <c r="A12" s="19" t="s">
        <v>196</v>
      </c>
      <c r="B12" s="54">
        <v>0.18</v>
      </c>
      <c r="C12" s="134">
        <f>+C7*$B$12</f>
        <v>1800</v>
      </c>
      <c r="D12" s="134">
        <f aca="true" t="shared" si="9" ref="D12:N12">+D7*$B$12</f>
        <v>1836</v>
      </c>
      <c r="E12" s="134">
        <f t="shared" si="9"/>
        <v>1872.72</v>
      </c>
      <c r="F12" s="134">
        <f t="shared" si="9"/>
        <v>1910.1743999999999</v>
      </c>
      <c r="G12" s="134">
        <f t="shared" si="9"/>
        <v>1948.3778879999998</v>
      </c>
      <c r="H12" s="134">
        <f t="shared" si="9"/>
        <v>1987.3454457599998</v>
      </c>
      <c r="I12" s="134">
        <f t="shared" si="9"/>
        <v>2027.0923546751999</v>
      </c>
      <c r="J12" s="134">
        <f t="shared" si="9"/>
        <v>2067.634201768704</v>
      </c>
      <c r="K12" s="134">
        <f t="shared" si="9"/>
        <v>2108.986885804078</v>
      </c>
      <c r="L12" s="134">
        <f t="shared" si="9"/>
        <v>2151.1666235201596</v>
      </c>
      <c r="M12" s="134">
        <f t="shared" si="9"/>
        <v>2194.189955990563</v>
      </c>
      <c r="N12" s="134">
        <f t="shared" si="9"/>
        <v>2238.073755110374</v>
      </c>
      <c r="O12" s="182">
        <f t="shared" si="1"/>
        <v>24141.761510629076</v>
      </c>
      <c r="P12" s="184"/>
      <c r="Q12" s="78" t="s">
        <v>196</v>
      </c>
      <c r="R12" s="79">
        <f>+O12</f>
        <v>24141.761510629076</v>
      </c>
      <c r="S12" s="143">
        <f t="shared" si="6"/>
        <v>24866.014355947947</v>
      </c>
      <c r="T12" s="143">
        <f t="shared" si="6"/>
        <v>25611.994786626386</v>
      </c>
      <c r="U12" s="143">
        <f t="shared" si="6"/>
        <v>26380.354630225178</v>
      </c>
      <c r="V12" s="143">
        <f t="shared" si="6"/>
        <v>27171.765269131934</v>
      </c>
      <c r="W12" s="143">
        <f t="shared" si="6"/>
        <v>27986.918227205893</v>
      </c>
      <c r="X12" s="143">
        <f t="shared" si="6"/>
        <v>28826.52577402207</v>
      </c>
      <c r="Y12" s="143">
        <f t="shared" si="6"/>
        <v>29691.321547242733</v>
      </c>
      <c r="Z12" s="143">
        <f t="shared" si="6"/>
        <v>30582.061193660014</v>
      </c>
      <c r="AA12" s="143">
        <f t="shared" si="6"/>
        <v>31499.523029469816</v>
      </c>
    </row>
    <row r="13" spans="1:17" ht="12.75">
      <c r="A13" s="78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31"/>
      <c r="P13" s="131"/>
      <c r="Q13" s="78"/>
    </row>
    <row r="14" spans="15:17" ht="12.75">
      <c r="O14" s="2"/>
      <c r="P14" s="78"/>
      <c r="Q14" s="78"/>
    </row>
    <row r="15" spans="1:16" ht="12.75">
      <c r="A15" s="16" t="s">
        <v>110</v>
      </c>
      <c r="B15" s="16">
        <v>0</v>
      </c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6">
        <v>12</v>
      </c>
      <c r="O15" s="2"/>
      <c r="P15" s="78"/>
    </row>
    <row r="16" spans="1:17" ht="12.75">
      <c r="A16" s="10" t="s">
        <v>96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"/>
      <c r="P16" s="78"/>
      <c r="Q16" s="146" t="s">
        <v>96</v>
      </c>
    </row>
    <row r="17" spans="1:27" ht="12.75">
      <c r="A17" s="10" t="s">
        <v>192</v>
      </c>
      <c r="B17" s="11"/>
      <c r="C17" s="132">
        <v>1</v>
      </c>
      <c r="D17" s="132">
        <v>1</v>
      </c>
      <c r="E17" s="132">
        <v>1</v>
      </c>
      <c r="F17" s="132">
        <v>1</v>
      </c>
      <c r="G17" s="132">
        <v>1</v>
      </c>
      <c r="H17" s="132">
        <v>1</v>
      </c>
      <c r="I17" s="132">
        <v>1</v>
      </c>
      <c r="J17" s="132">
        <v>1</v>
      </c>
      <c r="K17" s="132">
        <v>1</v>
      </c>
      <c r="L17" s="132">
        <v>1</v>
      </c>
      <c r="M17" s="132">
        <v>1</v>
      </c>
      <c r="N17" s="132">
        <v>1</v>
      </c>
      <c r="O17" s="2"/>
      <c r="P17" s="78"/>
      <c r="Q17" s="78" t="s">
        <v>192</v>
      </c>
      <c r="R17" s="186">
        <v>1</v>
      </c>
      <c r="S17" s="186">
        <v>1</v>
      </c>
      <c r="T17" s="186">
        <v>1</v>
      </c>
      <c r="U17" s="186">
        <v>1.25</v>
      </c>
      <c r="V17" s="186">
        <v>1.25</v>
      </c>
      <c r="W17" s="186">
        <v>1.25</v>
      </c>
      <c r="X17" s="186">
        <v>1.5</v>
      </c>
      <c r="Y17" s="186">
        <v>1.5</v>
      </c>
      <c r="Z17" s="186">
        <v>1.5</v>
      </c>
      <c r="AA17" s="186">
        <v>1.5</v>
      </c>
    </row>
    <row r="18" spans="1:27" ht="12.75">
      <c r="A18" s="10" t="s">
        <v>193</v>
      </c>
      <c r="B18" s="11"/>
      <c r="C18" s="132">
        <v>1</v>
      </c>
      <c r="D18" s="132">
        <v>1</v>
      </c>
      <c r="E18" s="132">
        <v>1</v>
      </c>
      <c r="F18" s="132">
        <v>1</v>
      </c>
      <c r="G18" s="132">
        <v>1</v>
      </c>
      <c r="H18" s="132">
        <v>1</v>
      </c>
      <c r="I18" s="132">
        <v>1</v>
      </c>
      <c r="J18" s="132">
        <v>1</v>
      </c>
      <c r="K18" s="132">
        <v>1</v>
      </c>
      <c r="L18" s="132">
        <v>1</v>
      </c>
      <c r="M18" s="132">
        <v>1</v>
      </c>
      <c r="N18" s="132">
        <v>1</v>
      </c>
      <c r="O18" s="2"/>
      <c r="P18" s="78"/>
      <c r="Q18" s="78" t="s">
        <v>193</v>
      </c>
      <c r="R18" s="186">
        <v>1</v>
      </c>
      <c r="S18" s="186">
        <v>1</v>
      </c>
      <c r="T18" s="186">
        <v>1</v>
      </c>
      <c r="U18" s="186">
        <v>1.25</v>
      </c>
      <c r="V18" s="186">
        <v>1.25</v>
      </c>
      <c r="W18" s="186">
        <v>1.25</v>
      </c>
      <c r="X18" s="186">
        <v>1.5</v>
      </c>
      <c r="Y18" s="186">
        <v>1.5</v>
      </c>
      <c r="Z18" s="186">
        <v>1.5</v>
      </c>
      <c r="AA18" s="186">
        <v>1.5</v>
      </c>
    </row>
    <row r="19" spans="1:27" ht="12.75">
      <c r="A19" s="19" t="s">
        <v>194</v>
      </c>
      <c r="B19" s="26"/>
      <c r="C19" s="133">
        <v>1</v>
      </c>
      <c r="D19" s="133">
        <v>1</v>
      </c>
      <c r="E19" s="133">
        <v>1</v>
      </c>
      <c r="F19" s="133">
        <v>1</v>
      </c>
      <c r="G19" s="133">
        <v>1</v>
      </c>
      <c r="H19" s="133">
        <v>1</v>
      </c>
      <c r="I19" s="133">
        <v>1</v>
      </c>
      <c r="J19" s="133">
        <v>1</v>
      </c>
      <c r="K19" s="133">
        <v>1</v>
      </c>
      <c r="L19" s="133">
        <v>1</v>
      </c>
      <c r="M19" s="133">
        <v>1</v>
      </c>
      <c r="N19" s="133">
        <v>1</v>
      </c>
      <c r="O19" s="2"/>
      <c r="P19" s="78"/>
      <c r="Q19" s="78" t="s">
        <v>194</v>
      </c>
      <c r="R19" s="186">
        <v>1</v>
      </c>
      <c r="S19" s="186">
        <v>1</v>
      </c>
      <c r="T19" s="186">
        <v>1</v>
      </c>
      <c r="U19" s="186">
        <v>1.25</v>
      </c>
      <c r="V19" s="186">
        <v>1.25</v>
      </c>
      <c r="W19" s="186">
        <v>1.25</v>
      </c>
      <c r="X19" s="186">
        <v>1.5</v>
      </c>
      <c r="Y19" s="186">
        <v>1.5</v>
      </c>
      <c r="Z19" s="186">
        <v>1.5</v>
      </c>
      <c r="AA19" s="186">
        <v>1.5</v>
      </c>
    </row>
    <row r="20" spans="1:27" ht="12.75">
      <c r="A20" s="19" t="s">
        <v>195</v>
      </c>
      <c r="B20" s="26"/>
      <c r="C20" s="133">
        <v>1</v>
      </c>
      <c r="D20" s="133">
        <v>1</v>
      </c>
      <c r="E20" s="133">
        <v>1</v>
      </c>
      <c r="F20" s="133">
        <v>1</v>
      </c>
      <c r="G20" s="133">
        <v>1</v>
      </c>
      <c r="H20" s="133">
        <v>1</v>
      </c>
      <c r="I20" s="133">
        <v>1</v>
      </c>
      <c r="J20" s="133">
        <v>1</v>
      </c>
      <c r="K20" s="133">
        <v>1</v>
      </c>
      <c r="L20" s="133">
        <v>1</v>
      </c>
      <c r="M20" s="133">
        <v>1</v>
      </c>
      <c r="N20" s="133">
        <v>1</v>
      </c>
      <c r="O20" s="2"/>
      <c r="P20" s="2"/>
      <c r="Q20" s="78" t="s">
        <v>195</v>
      </c>
      <c r="R20" s="186">
        <v>1</v>
      </c>
      <c r="S20" s="186">
        <v>1</v>
      </c>
      <c r="T20" s="186">
        <v>1</v>
      </c>
      <c r="U20" s="186">
        <v>1.25</v>
      </c>
      <c r="V20" s="186">
        <v>1.25</v>
      </c>
      <c r="W20" s="186">
        <v>1.25</v>
      </c>
      <c r="X20" s="186">
        <v>1.5</v>
      </c>
      <c r="Y20" s="186">
        <v>1.5</v>
      </c>
      <c r="Z20" s="186">
        <v>1.5</v>
      </c>
      <c r="AA20" s="186">
        <v>1.5</v>
      </c>
    </row>
    <row r="21" spans="1:27" ht="12.75">
      <c r="A21" s="19" t="s">
        <v>196</v>
      </c>
      <c r="B21" s="26"/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3">
        <v>1</v>
      </c>
      <c r="J21" s="133">
        <v>1</v>
      </c>
      <c r="K21" s="133">
        <v>1</v>
      </c>
      <c r="L21" s="133">
        <v>1</v>
      </c>
      <c r="M21" s="133">
        <v>1</v>
      </c>
      <c r="N21" s="133">
        <v>1</v>
      </c>
      <c r="O21" s="2"/>
      <c r="P21" s="2"/>
      <c r="Q21" s="78" t="s">
        <v>196</v>
      </c>
      <c r="R21" s="186">
        <v>1</v>
      </c>
      <c r="S21" s="186">
        <v>1</v>
      </c>
      <c r="T21" s="186">
        <v>1</v>
      </c>
      <c r="U21" s="186">
        <v>1.25</v>
      </c>
      <c r="V21" s="186">
        <v>1.25</v>
      </c>
      <c r="W21" s="186">
        <v>1.25</v>
      </c>
      <c r="X21" s="186">
        <v>1.5</v>
      </c>
      <c r="Y21" s="186">
        <v>1.5</v>
      </c>
      <c r="Z21" s="186">
        <v>1.5</v>
      </c>
      <c r="AA21" s="186">
        <v>1.5</v>
      </c>
    </row>
    <row r="22" spans="2:20" ht="12.75">
      <c r="B22" s="20"/>
      <c r="C22" s="25"/>
      <c r="O22" s="2"/>
      <c r="P22" s="2"/>
      <c r="T22" s="186"/>
    </row>
    <row r="24" spans="1:16" ht="12.75">
      <c r="A24" s="16" t="s">
        <v>110</v>
      </c>
      <c r="B24" s="16">
        <v>0</v>
      </c>
      <c r="C24" s="16">
        <v>1</v>
      </c>
      <c r="D24" s="16">
        <v>2</v>
      </c>
      <c r="E24" s="16">
        <v>3</v>
      </c>
      <c r="F24" s="16">
        <v>4</v>
      </c>
      <c r="G24" s="16">
        <v>5</v>
      </c>
      <c r="H24" s="16">
        <v>6</v>
      </c>
      <c r="I24" s="16">
        <v>7</v>
      </c>
      <c r="J24" s="16">
        <v>8</v>
      </c>
      <c r="K24" s="16">
        <v>9</v>
      </c>
      <c r="L24" s="16">
        <v>10</v>
      </c>
      <c r="M24" s="16">
        <v>11</v>
      </c>
      <c r="N24" s="16">
        <v>12</v>
      </c>
      <c r="O24" s="22" t="s">
        <v>46</v>
      </c>
      <c r="P24" s="4"/>
    </row>
    <row r="25" spans="1:17" ht="12.75">
      <c r="A25" s="10" t="s">
        <v>67</v>
      </c>
      <c r="B25" s="11"/>
      <c r="C25" s="133">
        <f>SUM(C26:C30)</f>
        <v>10000</v>
      </c>
      <c r="D25" s="133">
        <f aca="true" t="shared" si="10" ref="D25:N25">SUM(D26:D30)</f>
        <v>10200</v>
      </c>
      <c r="E25" s="133">
        <f t="shared" si="10"/>
        <v>10403.999999999998</v>
      </c>
      <c r="F25" s="133">
        <f t="shared" si="10"/>
        <v>10612.080000000002</v>
      </c>
      <c r="G25" s="133">
        <f t="shared" si="10"/>
        <v>10824.3216</v>
      </c>
      <c r="H25" s="133">
        <f t="shared" si="10"/>
        <v>11040.808031999999</v>
      </c>
      <c r="I25" s="133">
        <f t="shared" si="10"/>
        <v>11261.624192640002</v>
      </c>
      <c r="J25" s="133">
        <f t="shared" si="10"/>
        <v>11486.8566764928</v>
      </c>
      <c r="K25" s="133">
        <f t="shared" si="10"/>
        <v>11716.593810022656</v>
      </c>
      <c r="L25" s="133">
        <f t="shared" si="10"/>
        <v>11950.925686223109</v>
      </c>
      <c r="M25" s="133">
        <f t="shared" si="10"/>
        <v>12189.944199947573</v>
      </c>
      <c r="N25" s="133">
        <f t="shared" si="10"/>
        <v>12433.743083946523</v>
      </c>
      <c r="O25" s="130">
        <f aca="true" t="shared" si="11" ref="O25:O30">SUM(C25:N25)</f>
        <v>134120.89728127263</v>
      </c>
      <c r="P25" s="131"/>
      <c r="Q25" s="146" t="s">
        <v>243</v>
      </c>
    </row>
    <row r="26" spans="1:27" ht="12.75">
      <c r="A26" s="10" t="s">
        <v>192</v>
      </c>
      <c r="B26" s="11"/>
      <c r="C26" s="132">
        <f>+C8*C17</f>
        <v>1700.0000000000002</v>
      </c>
      <c r="D26" s="132">
        <f aca="true" t="shared" si="12" ref="D26:N26">+D8*D17</f>
        <v>1734.0000000000002</v>
      </c>
      <c r="E26" s="132">
        <f t="shared" si="12"/>
        <v>1768.68</v>
      </c>
      <c r="F26" s="132">
        <f t="shared" si="12"/>
        <v>1804.0536000000002</v>
      </c>
      <c r="G26" s="132">
        <f t="shared" si="12"/>
        <v>1840.134672</v>
      </c>
      <c r="H26" s="132">
        <f t="shared" si="12"/>
        <v>1876.93736544</v>
      </c>
      <c r="I26" s="132">
        <f t="shared" si="12"/>
        <v>1914.4761127488</v>
      </c>
      <c r="J26" s="132">
        <f t="shared" si="12"/>
        <v>1952.7656350037762</v>
      </c>
      <c r="K26" s="132">
        <f t="shared" si="12"/>
        <v>1991.8209477038517</v>
      </c>
      <c r="L26" s="132">
        <f t="shared" si="12"/>
        <v>2031.6573666579286</v>
      </c>
      <c r="M26" s="132">
        <f t="shared" si="12"/>
        <v>2072.290513991087</v>
      </c>
      <c r="N26" s="132">
        <f t="shared" si="12"/>
        <v>2113.736324270909</v>
      </c>
      <c r="O26" s="130">
        <f t="shared" si="11"/>
        <v>22800.55253781635</v>
      </c>
      <c r="P26" s="131"/>
      <c r="Q26" s="78" t="s">
        <v>192</v>
      </c>
      <c r="R26" s="159">
        <f>+R8*R17</f>
        <v>22800.55253781635</v>
      </c>
      <c r="S26" s="159">
        <f aca="true" t="shared" si="13" ref="S26:AA26">+S8*S17</f>
        <v>23484.56911395084</v>
      </c>
      <c r="T26" s="159">
        <f t="shared" si="13"/>
        <v>24189.10618736937</v>
      </c>
      <c r="U26" s="159">
        <f t="shared" si="13"/>
        <v>31143.474216238064</v>
      </c>
      <c r="V26" s="159">
        <f t="shared" si="13"/>
        <v>32077.778442725208</v>
      </c>
      <c r="W26" s="159">
        <f t="shared" si="13"/>
        <v>33040.11179600696</v>
      </c>
      <c r="X26" s="159">
        <f t="shared" si="13"/>
        <v>40837.578179864606</v>
      </c>
      <c r="Y26" s="159">
        <f t="shared" si="13"/>
        <v>42062.70552526055</v>
      </c>
      <c r="Z26" s="159">
        <f t="shared" si="13"/>
        <v>43324.58669101836</v>
      </c>
      <c r="AA26" s="159">
        <f t="shared" si="13"/>
        <v>44624.32429174891</v>
      </c>
    </row>
    <row r="27" spans="1:27" ht="12.75">
      <c r="A27" s="10" t="s">
        <v>193</v>
      </c>
      <c r="B27" s="11"/>
      <c r="C27" s="132">
        <f aca="true" t="shared" si="14" ref="C27:N30">+C9*C18</f>
        <v>1700.0000000000002</v>
      </c>
      <c r="D27" s="132">
        <f t="shared" si="14"/>
        <v>1734.0000000000002</v>
      </c>
      <c r="E27" s="132">
        <f t="shared" si="14"/>
        <v>1768.68</v>
      </c>
      <c r="F27" s="132">
        <f t="shared" si="14"/>
        <v>1804.0536000000002</v>
      </c>
      <c r="G27" s="132">
        <f t="shared" si="14"/>
        <v>1840.134672</v>
      </c>
      <c r="H27" s="132">
        <f t="shared" si="14"/>
        <v>1876.93736544</v>
      </c>
      <c r="I27" s="132">
        <f t="shared" si="14"/>
        <v>1914.4761127488</v>
      </c>
      <c r="J27" s="132">
        <f t="shared" si="14"/>
        <v>1952.7656350037762</v>
      </c>
      <c r="K27" s="132">
        <f t="shared" si="14"/>
        <v>1991.8209477038517</v>
      </c>
      <c r="L27" s="132">
        <f t="shared" si="14"/>
        <v>2031.6573666579286</v>
      </c>
      <c r="M27" s="132">
        <f t="shared" si="14"/>
        <v>2072.290513991087</v>
      </c>
      <c r="N27" s="132">
        <f t="shared" si="14"/>
        <v>2113.736324270909</v>
      </c>
      <c r="O27" s="130">
        <f t="shared" si="11"/>
        <v>22800.55253781635</v>
      </c>
      <c r="P27" s="131"/>
      <c r="Q27" s="78" t="s">
        <v>193</v>
      </c>
      <c r="R27" s="159">
        <f aca="true" t="shared" si="15" ref="R27:AA30">+R9*R18</f>
        <v>22800.55253781635</v>
      </c>
      <c r="S27" s="159">
        <f t="shared" si="15"/>
        <v>23484.56911395084</v>
      </c>
      <c r="T27" s="159">
        <f t="shared" si="15"/>
        <v>24189.10618736937</v>
      </c>
      <c r="U27" s="159">
        <f t="shared" si="15"/>
        <v>31143.474216238064</v>
      </c>
      <c r="V27" s="159">
        <f t="shared" si="15"/>
        <v>32077.778442725208</v>
      </c>
      <c r="W27" s="159">
        <f t="shared" si="15"/>
        <v>33040.11179600696</v>
      </c>
      <c r="X27" s="159">
        <f t="shared" si="15"/>
        <v>40837.578179864606</v>
      </c>
      <c r="Y27" s="159">
        <f t="shared" si="15"/>
        <v>42062.70552526055</v>
      </c>
      <c r="Z27" s="159">
        <f t="shared" si="15"/>
        <v>43324.58669101836</v>
      </c>
      <c r="AA27" s="159">
        <f t="shared" si="15"/>
        <v>44624.32429174891</v>
      </c>
    </row>
    <row r="28" spans="1:27" ht="12.75">
      <c r="A28" s="19" t="s">
        <v>194</v>
      </c>
      <c r="B28" s="26"/>
      <c r="C28" s="132">
        <f t="shared" si="14"/>
        <v>2200</v>
      </c>
      <c r="D28" s="132">
        <f t="shared" si="14"/>
        <v>2244</v>
      </c>
      <c r="E28" s="132">
        <f t="shared" si="14"/>
        <v>2288.88</v>
      </c>
      <c r="F28" s="132">
        <f t="shared" si="14"/>
        <v>2334.6576</v>
      </c>
      <c r="G28" s="132">
        <f t="shared" si="14"/>
        <v>2381.350752</v>
      </c>
      <c r="H28" s="132">
        <f t="shared" si="14"/>
        <v>2428.97776704</v>
      </c>
      <c r="I28" s="132">
        <f t="shared" si="14"/>
        <v>2477.5573223808</v>
      </c>
      <c r="J28" s="132">
        <f t="shared" si="14"/>
        <v>2527.108468828416</v>
      </c>
      <c r="K28" s="132">
        <f t="shared" si="14"/>
        <v>2577.6506382049843</v>
      </c>
      <c r="L28" s="132">
        <f t="shared" si="14"/>
        <v>2629.203650969084</v>
      </c>
      <c r="M28" s="132">
        <f t="shared" si="14"/>
        <v>2681.7877239884656</v>
      </c>
      <c r="N28" s="132">
        <f t="shared" si="14"/>
        <v>2735.4234784682353</v>
      </c>
      <c r="O28" s="130">
        <f t="shared" si="11"/>
        <v>29506.597401879986</v>
      </c>
      <c r="P28" s="131"/>
      <c r="Q28" s="78" t="s">
        <v>194</v>
      </c>
      <c r="R28" s="159">
        <f t="shared" si="15"/>
        <v>29506.597401879986</v>
      </c>
      <c r="S28" s="159">
        <f t="shared" si="15"/>
        <v>30391.795323936385</v>
      </c>
      <c r="T28" s="159">
        <f t="shared" si="15"/>
        <v>31303.54918365448</v>
      </c>
      <c r="U28" s="159">
        <f t="shared" si="15"/>
        <v>40303.319573955145</v>
      </c>
      <c r="V28" s="159">
        <f t="shared" si="15"/>
        <v>41512.41916117379</v>
      </c>
      <c r="W28" s="159">
        <f t="shared" si="15"/>
        <v>42757.791736009014</v>
      </c>
      <c r="X28" s="159">
        <f t="shared" si="15"/>
        <v>52848.63058570714</v>
      </c>
      <c r="Y28" s="159">
        <f t="shared" si="15"/>
        <v>54434.08950327837</v>
      </c>
      <c r="Z28" s="159">
        <f t="shared" si="15"/>
        <v>56067.11218837672</v>
      </c>
      <c r="AA28" s="159">
        <f t="shared" si="15"/>
        <v>57749.12555402801</v>
      </c>
    </row>
    <row r="29" spans="1:27" ht="12.75">
      <c r="A29" s="19" t="s">
        <v>195</v>
      </c>
      <c r="B29" s="26"/>
      <c r="C29" s="132">
        <f t="shared" si="14"/>
        <v>2600</v>
      </c>
      <c r="D29" s="132">
        <f t="shared" si="14"/>
        <v>2652</v>
      </c>
      <c r="E29" s="132">
        <f t="shared" si="14"/>
        <v>2705.04</v>
      </c>
      <c r="F29" s="132">
        <f t="shared" si="14"/>
        <v>2759.1408</v>
      </c>
      <c r="G29" s="132">
        <f t="shared" si="14"/>
        <v>2814.323616</v>
      </c>
      <c r="H29" s="132">
        <f t="shared" si="14"/>
        <v>2870.6100883199997</v>
      </c>
      <c r="I29" s="132">
        <f t="shared" si="14"/>
        <v>2928.0222900864</v>
      </c>
      <c r="J29" s="132">
        <f t="shared" si="14"/>
        <v>2986.582735888128</v>
      </c>
      <c r="K29" s="132">
        <f t="shared" si="14"/>
        <v>3046.314390605891</v>
      </c>
      <c r="L29" s="132">
        <f t="shared" si="14"/>
        <v>3107.2406784180084</v>
      </c>
      <c r="M29" s="132">
        <f t="shared" si="14"/>
        <v>3169.385491986369</v>
      </c>
      <c r="N29" s="132">
        <f t="shared" si="14"/>
        <v>3232.7732018260963</v>
      </c>
      <c r="O29" s="130">
        <f t="shared" si="11"/>
        <v>34871.433293130896</v>
      </c>
      <c r="P29" s="131"/>
      <c r="Q29" s="78" t="s">
        <v>195</v>
      </c>
      <c r="R29" s="159">
        <f t="shared" si="15"/>
        <v>34871.433293130896</v>
      </c>
      <c r="S29" s="159">
        <f t="shared" si="15"/>
        <v>35917.57629192482</v>
      </c>
      <c r="T29" s="159">
        <f t="shared" si="15"/>
        <v>36995.10358068257</v>
      </c>
      <c r="U29" s="159">
        <f t="shared" si="15"/>
        <v>47631.195860128806</v>
      </c>
      <c r="V29" s="159">
        <f t="shared" si="15"/>
        <v>49060.13173593267</v>
      </c>
      <c r="W29" s="159">
        <f t="shared" si="15"/>
        <v>50531.93568801065</v>
      </c>
      <c r="X29" s="159">
        <f t="shared" si="15"/>
        <v>62457.472510381165</v>
      </c>
      <c r="Y29" s="159">
        <f t="shared" si="15"/>
        <v>64331.1966856926</v>
      </c>
      <c r="Z29" s="159">
        <f t="shared" si="15"/>
        <v>66261.13258626338</v>
      </c>
      <c r="AA29" s="159">
        <f t="shared" si="15"/>
        <v>68248.96656385128</v>
      </c>
    </row>
    <row r="30" spans="1:27" ht="12.75">
      <c r="A30" s="19" t="s">
        <v>196</v>
      </c>
      <c r="B30" s="26"/>
      <c r="C30" s="132">
        <f t="shared" si="14"/>
        <v>1800</v>
      </c>
      <c r="D30" s="132">
        <f t="shared" si="14"/>
        <v>1836</v>
      </c>
      <c r="E30" s="132">
        <f t="shared" si="14"/>
        <v>1872.72</v>
      </c>
      <c r="F30" s="132">
        <f t="shared" si="14"/>
        <v>1910.1743999999999</v>
      </c>
      <c r="G30" s="132">
        <f t="shared" si="14"/>
        <v>1948.3778879999998</v>
      </c>
      <c r="H30" s="132">
        <f t="shared" si="14"/>
        <v>1987.3454457599998</v>
      </c>
      <c r="I30" s="132">
        <f t="shared" si="14"/>
        <v>2027.0923546751999</v>
      </c>
      <c r="J30" s="132">
        <f t="shared" si="14"/>
        <v>2067.634201768704</v>
      </c>
      <c r="K30" s="132">
        <f t="shared" si="14"/>
        <v>2108.986885804078</v>
      </c>
      <c r="L30" s="132">
        <f t="shared" si="14"/>
        <v>2151.1666235201596</v>
      </c>
      <c r="M30" s="132">
        <f t="shared" si="14"/>
        <v>2194.189955990563</v>
      </c>
      <c r="N30" s="132">
        <f t="shared" si="14"/>
        <v>2238.073755110374</v>
      </c>
      <c r="O30" s="130">
        <f t="shared" si="11"/>
        <v>24141.761510629076</v>
      </c>
      <c r="P30" s="131"/>
      <c r="Q30" s="78" t="s">
        <v>196</v>
      </c>
      <c r="R30" s="159">
        <f t="shared" si="15"/>
        <v>24141.761510629076</v>
      </c>
      <c r="S30" s="159">
        <f t="shared" si="15"/>
        <v>24866.014355947947</v>
      </c>
      <c r="T30" s="159">
        <f t="shared" si="15"/>
        <v>25611.994786626386</v>
      </c>
      <c r="U30" s="159">
        <f t="shared" si="15"/>
        <v>32975.44328778147</v>
      </c>
      <c r="V30" s="159">
        <f t="shared" si="15"/>
        <v>33964.70658641492</v>
      </c>
      <c r="W30" s="159">
        <f t="shared" si="15"/>
        <v>34983.647784007364</v>
      </c>
      <c r="X30" s="159">
        <f t="shared" si="15"/>
        <v>43239.788661033104</v>
      </c>
      <c r="Y30" s="159">
        <f t="shared" si="15"/>
        <v>44536.9823208641</v>
      </c>
      <c r="Z30" s="159">
        <f t="shared" si="15"/>
        <v>45873.09179049002</v>
      </c>
      <c r="AA30" s="159">
        <f t="shared" si="15"/>
        <v>47249.284544204726</v>
      </c>
    </row>
    <row r="31" spans="1:16" ht="12.75">
      <c r="A31" s="78"/>
      <c r="B31" s="77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1"/>
      <c r="P31" s="131"/>
    </row>
    <row r="33" spans="1:14" ht="12.75">
      <c r="A33" s="16" t="s">
        <v>110</v>
      </c>
      <c r="B33" s="16">
        <v>0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</row>
    <row r="34" spans="1:14" ht="12.75">
      <c r="A34" s="10" t="s">
        <v>97</v>
      </c>
      <c r="B34" s="11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12.75">
      <c r="A35" s="10" t="s">
        <v>192</v>
      </c>
      <c r="B35" s="11"/>
      <c r="C35" s="132">
        <v>0.45</v>
      </c>
      <c r="D35" s="132">
        <v>0.45</v>
      </c>
      <c r="E35" s="132">
        <v>0.45</v>
      </c>
      <c r="F35" s="132">
        <v>0.45</v>
      </c>
      <c r="G35" s="132">
        <v>0.45</v>
      </c>
      <c r="H35" s="132">
        <v>0.45</v>
      </c>
      <c r="I35" s="132">
        <v>0.45</v>
      </c>
      <c r="J35" s="132">
        <v>0.45</v>
      </c>
      <c r="K35" s="132">
        <v>0.45</v>
      </c>
      <c r="L35" s="132">
        <v>0.45</v>
      </c>
      <c r="M35" s="132">
        <v>0.45</v>
      </c>
      <c r="N35" s="132">
        <v>0.45</v>
      </c>
    </row>
    <row r="36" spans="1:14" ht="12.75">
      <c r="A36" s="10" t="s">
        <v>193</v>
      </c>
      <c r="B36" s="11"/>
      <c r="C36" s="132">
        <v>0.54</v>
      </c>
      <c r="D36" s="132">
        <v>0.54</v>
      </c>
      <c r="E36" s="132">
        <v>0.54</v>
      </c>
      <c r="F36" s="132">
        <v>0.54</v>
      </c>
      <c r="G36" s="132">
        <v>0.54</v>
      </c>
      <c r="H36" s="132">
        <v>0.54</v>
      </c>
      <c r="I36" s="132">
        <v>0.54</v>
      </c>
      <c r="J36" s="132">
        <v>0.54</v>
      </c>
      <c r="K36" s="132">
        <v>0.54</v>
      </c>
      <c r="L36" s="132">
        <v>0.54</v>
      </c>
      <c r="M36" s="132">
        <v>0.54</v>
      </c>
      <c r="N36" s="132">
        <v>0.54</v>
      </c>
    </row>
    <row r="37" spans="1:14" ht="12.75">
      <c r="A37" s="19" t="s">
        <v>194</v>
      </c>
      <c r="B37" s="26"/>
      <c r="C37" s="133">
        <v>0.45</v>
      </c>
      <c r="D37" s="133">
        <v>0.45</v>
      </c>
      <c r="E37" s="133">
        <v>0.45</v>
      </c>
      <c r="F37" s="133">
        <v>0.45</v>
      </c>
      <c r="G37" s="133">
        <v>0.45</v>
      </c>
      <c r="H37" s="133">
        <v>0.45</v>
      </c>
      <c r="I37" s="133">
        <v>0.45</v>
      </c>
      <c r="J37" s="133">
        <v>0.45</v>
      </c>
      <c r="K37" s="133">
        <v>0.45</v>
      </c>
      <c r="L37" s="133">
        <v>0.45</v>
      </c>
      <c r="M37" s="133">
        <v>0.45</v>
      </c>
      <c r="N37" s="133">
        <v>0.45</v>
      </c>
    </row>
    <row r="38" spans="1:14" ht="12.75">
      <c r="A38" s="19" t="s">
        <v>195</v>
      </c>
      <c r="B38" s="26"/>
      <c r="C38" s="133">
        <v>0.24</v>
      </c>
      <c r="D38" s="133">
        <v>0.24</v>
      </c>
      <c r="E38" s="133">
        <v>0.24</v>
      </c>
      <c r="F38" s="133">
        <v>0.24</v>
      </c>
      <c r="G38" s="133">
        <v>0.24</v>
      </c>
      <c r="H38" s="133">
        <v>0.24</v>
      </c>
      <c r="I38" s="133">
        <v>0.24</v>
      </c>
      <c r="J38" s="133">
        <v>0.24</v>
      </c>
      <c r="K38" s="133">
        <v>0.24</v>
      </c>
      <c r="L38" s="133">
        <v>0.24</v>
      </c>
      <c r="M38" s="133">
        <v>0.24</v>
      </c>
      <c r="N38" s="133">
        <v>0.24</v>
      </c>
    </row>
    <row r="39" spans="1:14" ht="12.75">
      <c r="A39" s="19" t="s">
        <v>196</v>
      </c>
      <c r="B39" s="26"/>
      <c r="C39" s="133">
        <v>0.25</v>
      </c>
      <c r="D39" s="133">
        <v>0.25</v>
      </c>
      <c r="E39" s="133">
        <v>0.25</v>
      </c>
      <c r="F39" s="133">
        <v>0.25</v>
      </c>
      <c r="G39" s="133">
        <v>0.25</v>
      </c>
      <c r="H39" s="133">
        <v>0.25</v>
      </c>
      <c r="I39" s="133">
        <v>0.25</v>
      </c>
      <c r="J39" s="133">
        <v>0.25</v>
      </c>
      <c r="K39" s="133">
        <v>0.25</v>
      </c>
      <c r="L39" s="133">
        <v>0.25</v>
      </c>
      <c r="M39" s="133">
        <v>0.25</v>
      </c>
      <c r="N39" s="133">
        <v>0.25</v>
      </c>
    </row>
    <row r="40" ht="12.75">
      <c r="B40" s="75"/>
    </row>
    <row r="42" spans="1:14" ht="12.75">
      <c r="A42" s="16" t="s">
        <v>110</v>
      </c>
      <c r="B42" s="16">
        <v>0</v>
      </c>
      <c r="C42" s="16">
        <v>1</v>
      </c>
      <c r="D42" s="16">
        <v>2</v>
      </c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  <c r="N42" s="16">
        <v>12</v>
      </c>
    </row>
    <row r="43" spans="1:14" ht="12.75">
      <c r="A43" s="304" t="s">
        <v>199</v>
      </c>
      <c r="B43" s="305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12.75">
      <c r="A44" s="10" t="s">
        <v>192</v>
      </c>
      <c r="B44" s="11"/>
      <c r="C44" s="132">
        <f>+C8*C35</f>
        <v>765.0000000000001</v>
      </c>
      <c r="D44" s="132">
        <f aca="true" t="shared" si="16" ref="D44:N44">+D8*D35</f>
        <v>780.3000000000001</v>
      </c>
      <c r="E44" s="132">
        <f t="shared" si="16"/>
        <v>795.9060000000001</v>
      </c>
      <c r="F44" s="132">
        <f t="shared" si="16"/>
        <v>811.8241200000001</v>
      </c>
      <c r="G44" s="132">
        <f t="shared" si="16"/>
        <v>828.0606024</v>
      </c>
      <c r="H44" s="132">
        <f t="shared" si="16"/>
        <v>844.621814448</v>
      </c>
      <c r="I44" s="132">
        <f t="shared" si="16"/>
        <v>861.51425073696</v>
      </c>
      <c r="J44" s="132">
        <f t="shared" si="16"/>
        <v>878.7445357516993</v>
      </c>
      <c r="K44" s="132">
        <f t="shared" si="16"/>
        <v>896.3194264667333</v>
      </c>
      <c r="L44" s="132">
        <f t="shared" si="16"/>
        <v>914.2458149960679</v>
      </c>
      <c r="M44" s="132">
        <f t="shared" si="16"/>
        <v>932.5307312959893</v>
      </c>
      <c r="N44" s="132">
        <f t="shared" si="16"/>
        <v>951.181345921909</v>
      </c>
    </row>
    <row r="45" spans="1:14" ht="12.75">
      <c r="A45" s="10" t="s">
        <v>193</v>
      </c>
      <c r="B45" s="11"/>
      <c r="C45" s="132">
        <f aca="true" t="shared" si="17" ref="C45:N48">+C9*C36</f>
        <v>918.0000000000002</v>
      </c>
      <c r="D45" s="132">
        <f t="shared" si="17"/>
        <v>936.3600000000002</v>
      </c>
      <c r="E45" s="132">
        <f t="shared" si="17"/>
        <v>955.0872</v>
      </c>
      <c r="F45" s="132">
        <f t="shared" si="17"/>
        <v>974.1889440000002</v>
      </c>
      <c r="G45" s="132">
        <f t="shared" si="17"/>
        <v>993.67272288</v>
      </c>
      <c r="H45" s="132">
        <f t="shared" si="17"/>
        <v>1013.5461773376</v>
      </c>
      <c r="I45" s="132">
        <f t="shared" si="17"/>
        <v>1033.8171008843522</v>
      </c>
      <c r="J45" s="132">
        <f t="shared" si="17"/>
        <v>1054.4934429020393</v>
      </c>
      <c r="K45" s="132">
        <f t="shared" si="17"/>
        <v>1075.58331176008</v>
      </c>
      <c r="L45" s="132">
        <f t="shared" si="17"/>
        <v>1097.0949779952816</v>
      </c>
      <c r="M45" s="132">
        <f t="shared" si="17"/>
        <v>1119.0368775551872</v>
      </c>
      <c r="N45" s="132">
        <f t="shared" si="17"/>
        <v>1141.417615106291</v>
      </c>
    </row>
    <row r="46" spans="1:14" ht="12.75">
      <c r="A46" s="19" t="s">
        <v>194</v>
      </c>
      <c r="B46" s="26"/>
      <c r="C46" s="132">
        <f t="shared" si="17"/>
        <v>990</v>
      </c>
      <c r="D46" s="132">
        <f t="shared" si="17"/>
        <v>1009.8000000000001</v>
      </c>
      <c r="E46" s="132">
        <f t="shared" si="17"/>
        <v>1029.996</v>
      </c>
      <c r="F46" s="132">
        <f t="shared" si="17"/>
        <v>1050.59592</v>
      </c>
      <c r="G46" s="132">
        <f t="shared" si="17"/>
        <v>1071.6078384</v>
      </c>
      <c r="H46" s="132">
        <f t="shared" si="17"/>
        <v>1093.039995168</v>
      </c>
      <c r="I46" s="132">
        <f t="shared" si="17"/>
        <v>1114.90079507136</v>
      </c>
      <c r="J46" s="132">
        <f t="shared" si="17"/>
        <v>1137.1988109727872</v>
      </c>
      <c r="K46" s="132">
        <f t="shared" si="17"/>
        <v>1159.942787192243</v>
      </c>
      <c r="L46" s="132">
        <f t="shared" si="17"/>
        <v>1183.1416429360877</v>
      </c>
      <c r="M46" s="132">
        <f t="shared" si="17"/>
        <v>1206.8044757948096</v>
      </c>
      <c r="N46" s="132">
        <f t="shared" si="17"/>
        <v>1230.940565310706</v>
      </c>
    </row>
    <row r="47" spans="1:14" ht="12.75">
      <c r="A47" s="19" t="s">
        <v>195</v>
      </c>
      <c r="B47" s="26"/>
      <c r="C47" s="132">
        <f t="shared" si="17"/>
        <v>624</v>
      </c>
      <c r="D47" s="132">
        <f t="shared" si="17"/>
        <v>636.48</v>
      </c>
      <c r="E47" s="132">
        <f t="shared" si="17"/>
        <v>649.2096</v>
      </c>
      <c r="F47" s="132">
        <f t="shared" si="17"/>
        <v>662.193792</v>
      </c>
      <c r="G47" s="132">
        <f t="shared" si="17"/>
        <v>675.43766784</v>
      </c>
      <c r="H47" s="132">
        <f t="shared" si="17"/>
        <v>688.9464211967999</v>
      </c>
      <c r="I47" s="132">
        <f t="shared" si="17"/>
        <v>702.725349620736</v>
      </c>
      <c r="J47" s="132">
        <f t="shared" si="17"/>
        <v>716.7798566131506</v>
      </c>
      <c r="K47" s="132">
        <f t="shared" si="17"/>
        <v>731.1154537454138</v>
      </c>
      <c r="L47" s="132">
        <f t="shared" si="17"/>
        <v>745.737762820322</v>
      </c>
      <c r="M47" s="132">
        <f t="shared" si="17"/>
        <v>760.6525180767285</v>
      </c>
      <c r="N47" s="132">
        <f t="shared" si="17"/>
        <v>775.865568438263</v>
      </c>
    </row>
    <row r="48" spans="1:14" ht="12.75">
      <c r="A48" s="19" t="s">
        <v>196</v>
      </c>
      <c r="B48" s="26"/>
      <c r="C48" s="132">
        <f t="shared" si="17"/>
        <v>450</v>
      </c>
      <c r="D48" s="132">
        <f t="shared" si="17"/>
        <v>459</v>
      </c>
      <c r="E48" s="132">
        <f t="shared" si="17"/>
        <v>468.18</v>
      </c>
      <c r="F48" s="132">
        <f t="shared" si="17"/>
        <v>477.54359999999997</v>
      </c>
      <c r="G48" s="132">
        <f t="shared" si="17"/>
        <v>487.09447199999994</v>
      </c>
      <c r="H48" s="132">
        <f t="shared" si="17"/>
        <v>496.83636143999996</v>
      </c>
      <c r="I48" s="132">
        <f t="shared" si="17"/>
        <v>506.77308866879997</v>
      </c>
      <c r="J48" s="132">
        <f t="shared" si="17"/>
        <v>516.908550442176</v>
      </c>
      <c r="K48" s="132">
        <f t="shared" si="17"/>
        <v>527.2467214510195</v>
      </c>
      <c r="L48" s="132">
        <f t="shared" si="17"/>
        <v>537.7916558800399</v>
      </c>
      <c r="M48" s="132">
        <f t="shared" si="17"/>
        <v>548.5474889976407</v>
      </c>
      <c r="N48" s="132">
        <f t="shared" si="17"/>
        <v>559.5184387775935</v>
      </c>
    </row>
  </sheetData>
  <sheetProtection/>
  <mergeCells count="1">
    <mergeCell ref="A43:B43"/>
  </mergeCells>
  <printOptions horizontalCentered="1" verticalCentered="1"/>
  <pageMargins left="0.7874015748031497" right="0.7874015748031497" top="1.09" bottom="0.984251968503937" header="0" footer="0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R30"/>
  <sheetViews>
    <sheetView zoomScalePageLayoutView="0" workbookViewId="0" topLeftCell="A2">
      <selection activeCell="F12" sqref="F12"/>
    </sheetView>
  </sheetViews>
  <sheetFormatPr defaultColWidth="11.421875" defaultRowHeight="12.75"/>
  <cols>
    <col min="1" max="1" width="5.8515625" style="2" customWidth="1"/>
    <col min="2" max="2" width="22.421875" style="2" customWidth="1"/>
    <col min="3" max="3" width="11.57421875" style="2" customWidth="1"/>
    <col min="4" max="4" width="9.421875" style="2" bestFit="1" customWidth="1"/>
    <col min="5" max="5" width="12.7109375" style="2" customWidth="1"/>
    <col min="6" max="6" width="15.28125" style="2" customWidth="1"/>
    <col min="7" max="7" width="12.7109375" style="2" customWidth="1"/>
    <col min="8" max="8" width="10.00390625" style="2" customWidth="1"/>
    <col min="9" max="18" width="9.7109375" style="24" customWidth="1"/>
    <col min="19" max="16384" width="11.421875" style="2" customWidth="1"/>
  </cols>
  <sheetData>
    <row r="2" spans="2:6" ht="15">
      <c r="B2" s="306" t="s">
        <v>26</v>
      </c>
      <c r="C2" s="306"/>
      <c r="D2" s="306"/>
      <c r="F2" s="57"/>
    </row>
    <row r="3" ht="12.75">
      <c r="F3" s="78"/>
    </row>
    <row r="4" spans="2:9" ht="26.25" customHeight="1">
      <c r="B4" s="310" t="s">
        <v>274</v>
      </c>
      <c r="C4" s="311"/>
      <c r="D4" s="311"/>
      <c r="E4" s="311"/>
      <c r="F4" s="311"/>
      <c r="G4" s="311"/>
      <c r="H4" s="312"/>
      <c r="I4" s="255"/>
    </row>
    <row r="5" spans="2:8" ht="32.25" customHeight="1">
      <c r="B5" s="38" t="s">
        <v>28</v>
      </c>
      <c r="C5" s="38" t="s">
        <v>29</v>
      </c>
      <c r="D5" s="38" t="s">
        <v>30</v>
      </c>
      <c r="E5" s="38" t="s">
        <v>31</v>
      </c>
      <c r="F5" s="38" t="s">
        <v>32</v>
      </c>
      <c r="G5" s="38" t="s">
        <v>33</v>
      </c>
      <c r="H5" s="38" t="s">
        <v>229</v>
      </c>
    </row>
    <row r="6" spans="2:8" ht="12.75">
      <c r="B6" s="31" t="s">
        <v>157</v>
      </c>
      <c r="C6" s="62">
        <f>+EQUIPOS!E6</f>
        <v>7000</v>
      </c>
      <c r="D6" s="35">
        <v>10</v>
      </c>
      <c r="E6" s="62">
        <f aca="true" t="shared" si="0" ref="E6:E12">+C6/D6</f>
        <v>700</v>
      </c>
      <c r="F6" s="35">
        <v>10</v>
      </c>
      <c r="G6" s="62">
        <f aca="true" t="shared" si="1" ref="G6:G12">+E6*F6</f>
        <v>7000</v>
      </c>
      <c r="H6" s="62">
        <v>2500</v>
      </c>
    </row>
    <row r="7" spans="2:8" ht="12.75">
      <c r="B7" s="31" t="s">
        <v>158</v>
      </c>
      <c r="C7" s="62">
        <v>2000</v>
      </c>
      <c r="D7" s="35">
        <v>10</v>
      </c>
      <c r="E7" s="62">
        <f t="shared" si="0"/>
        <v>200</v>
      </c>
      <c r="F7" s="35">
        <v>10</v>
      </c>
      <c r="G7" s="62">
        <f t="shared" si="1"/>
        <v>2000</v>
      </c>
      <c r="H7" s="62">
        <v>1000</v>
      </c>
    </row>
    <row r="8" spans="2:8" ht="12.75">
      <c r="B8" s="31" t="s">
        <v>190</v>
      </c>
      <c r="C8" s="62">
        <f>+EQUIPOS!E8</f>
        <v>30000</v>
      </c>
      <c r="D8" s="35">
        <v>10</v>
      </c>
      <c r="E8" s="62">
        <f t="shared" si="0"/>
        <v>3000</v>
      </c>
      <c r="F8" s="35">
        <v>10</v>
      </c>
      <c r="G8" s="62">
        <f t="shared" si="1"/>
        <v>30000</v>
      </c>
      <c r="H8" s="62">
        <v>5000</v>
      </c>
    </row>
    <row r="9" spans="2:8" ht="12.75">
      <c r="B9" s="31" t="s">
        <v>230</v>
      </c>
      <c r="C9" s="62">
        <f>+'Inver.inicial'!C18</f>
        <v>22500</v>
      </c>
      <c r="D9" s="35">
        <v>5</v>
      </c>
      <c r="E9" s="62">
        <f t="shared" si="0"/>
        <v>4500</v>
      </c>
      <c r="F9" s="35">
        <v>5</v>
      </c>
      <c r="G9" s="62">
        <f t="shared" si="1"/>
        <v>22500</v>
      </c>
      <c r="H9" s="62">
        <v>10500</v>
      </c>
    </row>
    <row r="10" spans="2:8" ht="12.75">
      <c r="B10" s="31" t="s">
        <v>0</v>
      </c>
      <c r="C10" s="62">
        <f>+'Inver.inicial'!C19</f>
        <v>1570</v>
      </c>
      <c r="D10" s="35">
        <v>10</v>
      </c>
      <c r="E10" s="62">
        <f t="shared" si="0"/>
        <v>157</v>
      </c>
      <c r="F10" s="35">
        <v>10</v>
      </c>
      <c r="G10" s="62">
        <f t="shared" si="1"/>
        <v>1570</v>
      </c>
      <c r="H10" s="62">
        <f>+C10-G10</f>
        <v>0</v>
      </c>
    </row>
    <row r="11" spans="2:8" ht="12.75">
      <c r="B11" s="31" t="s">
        <v>27</v>
      </c>
      <c r="C11" s="62">
        <f>+'Inver.inicial'!C20</f>
        <v>5350</v>
      </c>
      <c r="D11" s="35">
        <v>3</v>
      </c>
      <c r="E11" s="62">
        <f t="shared" si="0"/>
        <v>1783.3333333333333</v>
      </c>
      <c r="F11" s="35">
        <v>3</v>
      </c>
      <c r="G11" s="62">
        <f t="shared" si="1"/>
        <v>5350</v>
      </c>
      <c r="H11" s="62">
        <f>+C11-G11</f>
        <v>0</v>
      </c>
    </row>
    <row r="12" spans="1:8" ht="13.5" thickBot="1">
      <c r="A12" s="3"/>
      <c r="B12" s="31" t="s">
        <v>2</v>
      </c>
      <c r="C12" s="62">
        <f>+'Inver.inicial'!C21</f>
        <v>1830</v>
      </c>
      <c r="D12" s="35">
        <v>10</v>
      </c>
      <c r="E12" s="63">
        <f t="shared" si="0"/>
        <v>183</v>
      </c>
      <c r="F12" s="35">
        <v>10</v>
      </c>
      <c r="G12" s="62">
        <f t="shared" si="1"/>
        <v>1830</v>
      </c>
      <c r="H12" s="63">
        <f>+C12-G12</f>
        <v>0</v>
      </c>
    </row>
    <row r="13" spans="2:8" ht="13.5" thickTop="1">
      <c r="B13" s="279" t="s">
        <v>26</v>
      </c>
      <c r="C13" s="279"/>
      <c r="D13" s="279"/>
      <c r="E13" s="238">
        <f>SUM(E6:E12)</f>
        <v>10523.333333333334</v>
      </c>
      <c r="F13" s="279" t="s">
        <v>34</v>
      </c>
      <c r="G13" s="279"/>
      <c r="H13" s="59">
        <f>+SUM(H6:H12)</f>
        <v>19000</v>
      </c>
    </row>
    <row r="16" spans="2:6" ht="12.75">
      <c r="B16" s="307" t="s">
        <v>35</v>
      </c>
      <c r="C16" s="307"/>
      <c r="D16" s="307"/>
      <c r="E16" s="307"/>
      <c r="F16" s="15"/>
    </row>
    <row r="17" spans="2:8" ht="21.75" customHeight="1">
      <c r="B17" s="308" t="s">
        <v>273</v>
      </c>
      <c r="C17" s="309"/>
      <c r="D17" s="309"/>
      <c r="E17" s="309"/>
      <c r="F17" s="246"/>
      <c r="G17" s="246"/>
      <c r="H17" s="246"/>
    </row>
    <row r="18" spans="2:18" ht="25.5">
      <c r="B18" s="38" t="s">
        <v>269</v>
      </c>
      <c r="C18" s="38" t="s">
        <v>270</v>
      </c>
      <c r="D18" s="38" t="s">
        <v>271</v>
      </c>
      <c r="E18" s="38" t="s">
        <v>268</v>
      </c>
      <c r="F18" s="38"/>
      <c r="G18" s="38" t="s">
        <v>272</v>
      </c>
      <c r="H18" s="24"/>
      <c r="R18" s="2"/>
    </row>
    <row r="19" spans="2:18" ht="12.75">
      <c r="B19" s="19" t="s">
        <v>192</v>
      </c>
      <c r="C19" s="122">
        <v>0.45</v>
      </c>
      <c r="D19" s="122">
        <f>+E19-C19</f>
        <v>0.55</v>
      </c>
      <c r="E19" s="122">
        <v>1</v>
      </c>
      <c r="F19" s="122"/>
      <c r="G19" s="19"/>
      <c r="H19" s="24"/>
      <c r="R19" s="2"/>
    </row>
    <row r="20" spans="2:18" ht="12.75">
      <c r="B20" s="19" t="s">
        <v>193</v>
      </c>
      <c r="C20" s="122">
        <v>0.54</v>
      </c>
      <c r="D20" s="122">
        <f>+E20-C20</f>
        <v>0.45999999999999996</v>
      </c>
      <c r="E20" s="122">
        <v>1</v>
      </c>
      <c r="F20" s="122"/>
      <c r="G20" s="19"/>
      <c r="H20" s="24"/>
      <c r="R20" s="2"/>
    </row>
    <row r="21" spans="2:18" ht="12.75">
      <c r="B21" s="19" t="s">
        <v>194</v>
      </c>
      <c r="C21" s="122">
        <v>0.45</v>
      </c>
      <c r="D21" s="122">
        <f>+E21-C21</f>
        <v>0.55</v>
      </c>
      <c r="E21" s="122">
        <v>1</v>
      </c>
      <c r="F21" s="122"/>
      <c r="G21" s="19"/>
      <c r="H21" s="24"/>
      <c r="R21" s="2"/>
    </row>
    <row r="22" spans="2:18" ht="12.75">
      <c r="B22" s="19" t="s">
        <v>195</v>
      </c>
      <c r="C22" s="122">
        <v>0.24</v>
      </c>
      <c r="D22" s="122">
        <f>+E22-C22</f>
        <v>0.76</v>
      </c>
      <c r="E22" s="122">
        <v>1</v>
      </c>
      <c r="F22" s="122"/>
      <c r="G22" s="19"/>
      <c r="H22" s="24">
        <v>1</v>
      </c>
      <c r="I22" s="24">
        <v>2</v>
      </c>
      <c r="J22" s="24">
        <v>3</v>
      </c>
      <c r="K22" s="24">
        <v>4</v>
      </c>
      <c r="L22" s="24">
        <v>5</v>
      </c>
      <c r="M22" s="24">
        <v>6</v>
      </c>
      <c r="N22" s="24">
        <v>7</v>
      </c>
      <c r="O22" s="24">
        <v>8</v>
      </c>
      <c r="P22" s="24">
        <v>9</v>
      </c>
      <c r="Q22" s="24">
        <v>10</v>
      </c>
      <c r="R22" s="2"/>
    </row>
    <row r="23" spans="2:18" ht="12.75">
      <c r="B23" s="19" t="s">
        <v>196</v>
      </c>
      <c r="C23" s="122">
        <v>0.25</v>
      </c>
      <c r="D23" s="122">
        <f>+E23-C23</f>
        <v>0.75</v>
      </c>
      <c r="E23" s="122">
        <v>1</v>
      </c>
      <c r="F23" s="122"/>
      <c r="G23" s="19"/>
      <c r="H23" s="144">
        <f>+E6</f>
        <v>700</v>
      </c>
      <c r="I23" s="144">
        <f aca="true" t="shared" si="2" ref="I23:J29">+H23</f>
        <v>700</v>
      </c>
      <c r="J23" s="144">
        <f aca="true" t="shared" si="3" ref="J23:Q23">+I23</f>
        <v>700</v>
      </c>
      <c r="K23" s="144">
        <f t="shared" si="3"/>
        <v>700</v>
      </c>
      <c r="L23" s="144">
        <f t="shared" si="3"/>
        <v>700</v>
      </c>
      <c r="M23" s="144">
        <f t="shared" si="3"/>
        <v>700</v>
      </c>
      <c r="N23" s="144">
        <f t="shared" si="3"/>
        <v>700</v>
      </c>
      <c r="O23" s="144">
        <f t="shared" si="3"/>
        <v>700</v>
      </c>
      <c r="P23" s="144">
        <f t="shared" si="3"/>
        <v>700</v>
      </c>
      <c r="Q23" s="144">
        <f t="shared" si="3"/>
        <v>700</v>
      </c>
      <c r="R23" s="2"/>
    </row>
    <row r="24" spans="9:18" ht="12.75">
      <c r="I24" s="144">
        <f>+E7</f>
        <v>200</v>
      </c>
      <c r="J24" s="24">
        <f t="shared" si="2"/>
        <v>200</v>
      </c>
      <c r="K24" s="24">
        <f aca="true" t="shared" si="4" ref="K24:R24">+J24</f>
        <v>200</v>
      </c>
      <c r="L24" s="24">
        <f t="shared" si="4"/>
        <v>200</v>
      </c>
      <c r="M24" s="24">
        <f t="shared" si="4"/>
        <v>200</v>
      </c>
      <c r="N24" s="24">
        <f t="shared" si="4"/>
        <v>200</v>
      </c>
      <c r="O24" s="24">
        <f t="shared" si="4"/>
        <v>200</v>
      </c>
      <c r="P24" s="24">
        <f t="shared" si="4"/>
        <v>200</v>
      </c>
      <c r="Q24" s="24">
        <f t="shared" si="4"/>
        <v>200</v>
      </c>
      <c r="R24" s="24">
        <f t="shared" si="4"/>
        <v>200</v>
      </c>
    </row>
    <row r="25" spans="9:18" ht="12.75">
      <c r="I25" s="144">
        <f>+E8</f>
        <v>3000</v>
      </c>
      <c r="J25" s="24">
        <f t="shared" si="2"/>
        <v>3000</v>
      </c>
      <c r="K25" s="24">
        <f aca="true" t="shared" si="5" ref="K25:R25">+J25</f>
        <v>3000</v>
      </c>
      <c r="L25" s="24">
        <f t="shared" si="5"/>
        <v>3000</v>
      </c>
      <c r="M25" s="24">
        <f t="shared" si="5"/>
        <v>3000</v>
      </c>
      <c r="N25" s="24">
        <f t="shared" si="5"/>
        <v>3000</v>
      </c>
      <c r="O25" s="24">
        <f t="shared" si="5"/>
        <v>3000</v>
      </c>
      <c r="P25" s="24">
        <f t="shared" si="5"/>
        <v>3000</v>
      </c>
      <c r="Q25" s="24">
        <f t="shared" si="5"/>
        <v>3000</v>
      </c>
      <c r="R25" s="24">
        <f t="shared" si="5"/>
        <v>3000</v>
      </c>
    </row>
    <row r="26" spans="9:13" ht="12.75">
      <c r="I26" s="144">
        <f>+E9</f>
        <v>4500</v>
      </c>
      <c r="J26" s="24">
        <f t="shared" si="2"/>
        <v>4500</v>
      </c>
      <c r="K26" s="24">
        <f aca="true" t="shared" si="6" ref="K26:N27">+J26</f>
        <v>4500</v>
      </c>
      <c r="L26" s="24">
        <f t="shared" si="6"/>
        <v>4500</v>
      </c>
      <c r="M26" s="24">
        <f t="shared" si="6"/>
        <v>4500</v>
      </c>
    </row>
    <row r="27" spans="9:17" ht="12.75">
      <c r="I27" s="144">
        <f>+E10</f>
        <v>157</v>
      </c>
      <c r="J27" s="24">
        <f t="shared" si="2"/>
        <v>157</v>
      </c>
      <c r="K27" s="24">
        <f t="shared" si="6"/>
        <v>157</v>
      </c>
      <c r="L27" s="24">
        <v>1783</v>
      </c>
      <c r="M27" s="24">
        <f>+L27</f>
        <v>1783</v>
      </c>
      <c r="N27" s="24">
        <f t="shared" si="6"/>
        <v>1783</v>
      </c>
      <c r="O27" s="24">
        <v>1783</v>
      </c>
      <c r="P27" s="24">
        <f>+O27</f>
        <v>1783</v>
      </c>
      <c r="Q27" s="24">
        <f>+P27</f>
        <v>1783</v>
      </c>
    </row>
    <row r="28" spans="9:11" ht="12.75">
      <c r="I28" s="144">
        <v>1783</v>
      </c>
      <c r="J28" s="24">
        <f t="shared" si="2"/>
        <v>1783</v>
      </c>
      <c r="K28" s="24">
        <f>+J28</f>
        <v>1783</v>
      </c>
    </row>
    <row r="29" spans="9:18" ht="12.75">
      <c r="I29" s="24">
        <v>183</v>
      </c>
      <c r="J29" s="24">
        <f t="shared" si="2"/>
        <v>183</v>
      </c>
      <c r="K29" s="24">
        <f>+J29</f>
        <v>183</v>
      </c>
      <c r="L29" s="24">
        <f aca="true" t="shared" si="7" ref="L29:R29">+K29</f>
        <v>183</v>
      </c>
      <c r="M29" s="24">
        <f t="shared" si="7"/>
        <v>183</v>
      </c>
      <c r="N29" s="24">
        <f t="shared" si="7"/>
        <v>183</v>
      </c>
      <c r="O29" s="24">
        <f t="shared" si="7"/>
        <v>183</v>
      </c>
      <c r="P29" s="24">
        <f t="shared" si="7"/>
        <v>183</v>
      </c>
      <c r="Q29" s="24">
        <f t="shared" si="7"/>
        <v>183</v>
      </c>
      <c r="R29" s="24">
        <f t="shared" si="7"/>
        <v>183</v>
      </c>
    </row>
    <row r="30" spans="9:18" ht="12.75">
      <c r="I30" s="181">
        <f>+SUM(I23:I29)</f>
        <v>10523</v>
      </c>
      <c r="J30" s="181">
        <f aca="true" t="shared" si="8" ref="J30:R30">+SUM(J23:J29)</f>
        <v>10523</v>
      </c>
      <c r="K30" s="181">
        <f t="shared" si="8"/>
        <v>10523</v>
      </c>
      <c r="L30" s="181">
        <f t="shared" si="8"/>
        <v>10366</v>
      </c>
      <c r="M30" s="181">
        <f t="shared" si="8"/>
        <v>10366</v>
      </c>
      <c r="N30" s="181">
        <f t="shared" si="8"/>
        <v>5866</v>
      </c>
      <c r="O30" s="181">
        <f t="shared" si="8"/>
        <v>5866</v>
      </c>
      <c r="P30" s="181">
        <f t="shared" si="8"/>
        <v>5866</v>
      </c>
      <c r="Q30" s="181">
        <f t="shared" si="8"/>
        <v>5866</v>
      </c>
      <c r="R30" s="181">
        <f t="shared" si="8"/>
        <v>3383</v>
      </c>
    </row>
  </sheetData>
  <sheetProtection/>
  <mergeCells count="6">
    <mergeCell ref="B2:D2"/>
    <mergeCell ref="B16:E16"/>
    <mergeCell ref="B13:D13"/>
    <mergeCell ref="F13:G13"/>
    <mergeCell ref="B17:E17"/>
    <mergeCell ref="B4:H4"/>
  </mergeCells>
  <printOptions/>
  <pageMargins left="0.75" right="0.75" top="1" bottom="1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7"/>
  <sheetViews>
    <sheetView zoomScale="75" zoomScaleNormal="75" zoomScalePageLayoutView="0" workbookViewId="0" topLeftCell="A1">
      <selection activeCell="M23" sqref="A3:M23"/>
    </sheetView>
  </sheetViews>
  <sheetFormatPr defaultColWidth="11.421875" defaultRowHeight="12.75"/>
  <cols>
    <col min="1" max="1" width="25.7109375" style="2" customWidth="1"/>
    <col min="2" max="2" width="10.7109375" style="2" customWidth="1"/>
    <col min="3" max="3" width="11.00390625" style="2" customWidth="1"/>
    <col min="4" max="4" width="11.28125" style="2" customWidth="1"/>
    <col min="5" max="5" width="12.00390625" style="2" customWidth="1"/>
    <col min="6" max="7" width="11.421875" style="2" customWidth="1"/>
    <col min="8" max="8" width="11.00390625" style="2" bestFit="1" customWidth="1"/>
    <col min="9" max="9" width="11.421875" style="2" bestFit="1" customWidth="1"/>
    <col min="10" max="10" width="12.57421875" style="2" bestFit="1" customWidth="1"/>
    <col min="11" max="11" width="11.421875" style="2" bestFit="1" customWidth="1"/>
    <col min="12" max="12" width="12.140625" style="2" bestFit="1" customWidth="1"/>
    <col min="13" max="13" width="11.421875" style="2" bestFit="1" customWidth="1"/>
    <col min="14" max="14" width="16.28125" style="2" bestFit="1" customWidth="1"/>
    <col min="15" max="16384" width="11.421875" style="2" customWidth="1"/>
  </cols>
  <sheetData>
    <row r="1" ht="12.75">
      <c r="I1" s="78"/>
    </row>
    <row r="2" spans="1:15" ht="26.25" customHeight="1">
      <c r="A2" s="313" t="s">
        <v>259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77"/>
      <c r="O2" s="221"/>
    </row>
    <row r="3" spans="1:14" s="3" customFormat="1" ht="12.75">
      <c r="A3" s="44" t="s">
        <v>67</v>
      </c>
      <c r="B3" s="138">
        <v>1</v>
      </c>
      <c r="C3" s="138">
        <v>2</v>
      </c>
      <c r="D3" s="138">
        <v>3</v>
      </c>
      <c r="E3" s="138">
        <v>4</v>
      </c>
      <c r="F3" s="138">
        <v>5</v>
      </c>
      <c r="G3" s="138">
        <v>6</v>
      </c>
      <c r="H3" s="138">
        <v>7</v>
      </c>
      <c r="I3" s="138">
        <v>8</v>
      </c>
      <c r="J3" s="138">
        <v>9</v>
      </c>
      <c r="K3" s="138">
        <v>10</v>
      </c>
      <c r="L3" s="138">
        <v>11</v>
      </c>
      <c r="M3" s="138">
        <v>12</v>
      </c>
      <c r="N3" s="141" t="s">
        <v>90</v>
      </c>
    </row>
    <row r="4" spans="1:14" s="3" customFormat="1" ht="12.75">
      <c r="A4" s="276" t="s">
        <v>67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141"/>
    </row>
    <row r="5" spans="1:14" s="3" customFormat="1" ht="12.75">
      <c r="A5" s="10" t="s">
        <v>192</v>
      </c>
      <c r="B5" s="82">
        <f>+'Dem.Mens.Proy.'!C26</f>
        <v>1700.0000000000002</v>
      </c>
      <c r="C5" s="82">
        <f>+'Dem.Mens.Proy.'!D26</f>
        <v>1734.0000000000002</v>
      </c>
      <c r="D5" s="82">
        <f>+'Dem.Mens.Proy.'!E26</f>
        <v>1768.68</v>
      </c>
      <c r="E5" s="82">
        <f>+'Dem.Mens.Proy.'!F26</f>
        <v>1804.0536000000002</v>
      </c>
      <c r="F5" s="82">
        <f>+'Dem.Mens.Proy.'!G26</f>
        <v>1840.134672</v>
      </c>
      <c r="G5" s="82">
        <f>+'Dem.Mens.Proy.'!H26</f>
        <v>1876.93736544</v>
      </c>
      <c r="H5" s="82">
        <f>+'Dem.Mens.Proy.'!I26</f>
        <v>1914.4761127488</v>
      </c>
      <c r="I5" s="82">
        <f>+'Dem.Mens.Proy.'!J26</f>
        <v>1952.7656350037762</v>
      </c>
      <c r="J5" s="82">
        <f>+'Dem.Mens.Proy.'!K26</f>
        <v>1991.8209477038517</v>
      </c>
      <c r="K5" s="82">
        <f>+'Dem.Mens.Proy.'!L26</f>
        <v>2031.6573666579286</v>
      </c>
      <c r="L5" s="82">
        <f>+'Dem.Mens.Proy.'!M26</f>
        <v>2072.290513991087</v>
      </c>
      <c r="M5" s="82">
        <f>+'Dem.Mens.Proy.'!N26</f>
        <v>2113.736324270909</v>
      </c>
      <c r="N5" s="142">
        <f aca="true" t="shared" si="0" ref="N5:N10">SUM(B5:M5)</f>
        <v>22800.55253781635</v>
      </c>
    </row>
    <row r="6" spans="1:14" s="3" customFormat="1" ht="12.75">
      <c r="A6" s="10" t="s">
        <v>193</v>
      </c>
      <c r="B6" s="82">
        <f>+'Dem.Mens.Proy.'!C27</f>
        <v>1700.0000000000002</v>
      </c>
      <c r="C6" s="82">
        <f>+'Dem.Mens.Proy.'!D27</f>
        <v>1734.0000000000002</v>
      </c>
      <c r="D6" s="82">
        <f>+'Dem.Mens.Proy.'!E27</f>
        <v>1768.68</v>
      </c>
      <c r="E6" s="82">
        <f>+'Dem.Mens.Proy.'!F27</f>
        <v>1804.0536000000002</v>
      </c>
      <c r="F6" s="82">
        <f>+'Dem.Mens.Proy.'!G27</f>
        <v>1840.134672</v>
      </c>
      <c r="G6" s="82">
        <f>+'Dem.Mens.Proy.'!H27</f>
        <v>1876.93736544</v>
      </c>
      <c r="H6" s="82">
        <f>+'Dem.Mens.Proy.'!I27</f>
        <v>1914.4761127488</v>
      </c>
      <c r="I6" s="82">
        <f>+'Dem.Mens.Proy.'!J27</f>
        <v>1952.7656350037762</v>
      </c>
      <c r="J6" s="82">
        <f>+'Dem.Mens.Proy.'!K27</f>
        <v>1991.8209477038517</v>
      </c>
      <c r="K6" s="82">
        <f>+'Dem.Mens.Proy.'!L27</f>
        <v>2031.6573666579286</v>
      </c>
      <c r="L6" s="82">
        <f>+'Dem.Mens.Proy.'!M27</f>
        <v>2072.290513991087</v>
      </c>
      <c r="M6" s="82">
        <f>+'Dem.Mens.Proy.'!N27</f>
        <v>2113.736324270909</v>
      </c>
      <c r="N6" s="142">
        <f t="shared" si="0"/>
        <v>22800.55253781635</v>
      </c>
    </row>
    <row r="7" spans="1:14" s="3" customFormat="1" ht="12.75">
      <c r="A7" s="19" t="s">
        <v>194</v>
      </c>
      <c r="B7" s="82">
        <f>+'Dem.Mens.Proy.'!C28</f>
        <v>2200</v>
      </c>
      <c r="C7" s="82">
        <f>+'Dem.Mens.Proy.'!D28</f>
        <v>2244</v>
      </c>
      <c r="D7" s="82">
        <f>+'Dem.Mens.Proy.'!E28</f>
        <v>2288.88</v>
      </c>
      <c r="E7" s="82">
        <f>+'Dem.Mens.Proy.'!F28</f>
        <v>2334.6576</v>
      </c>
      <c r="F7" s="82">
        <f>+'Dem.Mens.Proy.'!G28</f>
        <v>2381.350752</v>
      </c>
      <c r="G7" s="82">
        <f>+'Dem.Mens.Proy.'!H28</f>
        <v>2428.97776704</v>
      </c>
      <c r="H7" s="82">
        <f>+'Dem.Mens.Proy.'!I28</f>
        <v>2477.5573223808</v>
      </c>
      <c r="I7" s="82">
        <f>+'Dem.Mens.Proy.'!J28</f>
        <v>2527.108468828416</v>
      </c>
      <c r="J7" s="82">
        <f>+'Dem.Mens.Proy.'!K28</f>
        <v>2577.6506382049843</v>
      </c>
      <c r="K7" s="82">
        <f>+'Dem.Mens.Proy.'!L28</f>
        <v>2629.203650969084</v>
      </c>
      <c r="L7" s="82">
        <f>+'Dem.Mens.Proy.'!M28</f>
        <v>2681.7877239884656</v>
      </c>
      <c r="M7" s="82">
        <f>+'Dem.Mens.Proy.'!N28</f>
        <v>2735.4234784682353</v>
      </c>
      <c r="N7" s="142">
        <f t="shared" si="0"/>
        <v>29506.597401879986</v>
      </c>
    </row>
    <row r="8" spans="1:14" s="3" customFormat="1" ht="12.75">
      <c r="A8" s="19" t="s">
        <v>195</v>
      </c>
      <c r="B8" s="82">
        <f>+'Dem.Mens.Proy.'!C29</f>
        <v>2600</v>
      </c>
      <c r="C8" s="82">
        <f>+'Dem.Mens.Proy.'!D29</f>
        <v>2652</v>
      </c>
      <c r="D8" s="82">
        <f>+'Dem.Mens.Proy.'!E29</f>
        <v>2705.04</v>
      </c>
      <c r="E8" s="82">
        <f>+'Dem.Mens.Proy.'!F29</f>
        <v>2759.1408</v>
      </c>
      <c r="F8" s="82">
        <f>+'Dem.Mens.Proy.'!G29</f>
        <v>2814.323616</v>
      </c>
      <c r="G8" s="82">
        <f>+'Dem.Mens.Proy.'!H29</f>
        <v>2870.6100883199997</v>
      </c>
      <c r="H8" s="82">
        <f>+'Dem.Mens.Proy.'!I29</f>
        <v>2928.0222900864</v>
      </c>
      <c r="I8" s="82">
        <f>+'Dem.Mens.Proy.'!J29</f>
        <v>2986.582735888128</v>
      </c>
      <c r="J8" s="82">
        <f>+'Dem.Mens.Proy.'!K29</f>
        <v>3046.314390605891</v>
      </c>
      <c r="K8" s="82">
        <f>+'Dem.Mens.Proy.'!L29</f>
        <v>3107.2406784180084</v>
      </c>
      <c r="L8" s="82">
        <f>+'Dem.Mens.Proy.'!M29</f>
        <v>3169.385491986369</v>
      </c>
      <c r="M8" s="82">
        <f>+'Dem.Mens.Proy.'!N29</f>
        <v>3232.7732018260963</v>
      </c>
      <c r="N8" s="142">
        <f t="shared" si="0"/>
        <v>34871.433293130896</v>
      </c>
    </row>
    <row r="9" spans="1:14" s="3" customFormat="1" ht="12.75">
      <c r="A9" s="19" t="s">
        <v>196</v>
      </c>
      <c r="B9" s="82">
        <f>+'Dem.Mens.Proy.'!C30</f>
        <v>1800</v>
      </c>
      <c r="C9" s="82">
        <f>+'Dem.Mens.Proy.'!D30</f>
        <v>1836</v>
      </c>
      <c r="D9" s="82">
        <f>+'Dem.Mens.Proy.'!E30</f>
        <v>1872.72</v>
      </c>
      <c r="E9" s="82">
        <f>+'Dem.Mens.Proy.'!F30</f>
        <v>1910.1743999999999</v>
      </c>
      <c r="F9" s="82">
        <f>+'Dem.Mens.Proy.'!G30</f>
        <v>1948.3778879999998</v>
      </c>
      <c r="G9" s="82">
        <f>+'Dem.Mens.Proy.'!H30</f>
        <v>1987.3454457599998</v>
      </c>
      <c r="H9" s="82">
        <f>+'Dem.Mens.Proy.'!I30</f>
        <v>2027.0923546751999</v>
      </c>
      <c r="I9" s="82">
        <f>+'Dem.Mens.Proy.'!J30</f>
        <v>2067.634201768704</v>
      </c>
      <c r="J9" s="82">
        <f>+'Dem.Mens.Proy.'!K30</f>
        <v>2108.986885804078</v>
      </c>
      <c r="K9" s="82">
        <f>+'Dem.Mens.Proy.'!L30</f>
        <v>2151.1666235201596</v>
      </c>
      <c r="L9" s="82">
        <f>+'Dem.Mens.Proy.'!M30</f>
        <v>2194.189955990563</v>
      </c>
      <c r="M9" s="82">
        <f>+'Dem.Mens.Proy.'!N30</f>
        <v>2238.073755110374</v>
      </c>
      <c r="N9" s="142">
        <f t="shared" si="0"/>
        <v>24141.761510629076</v>
      </c>
    </row>
    <row r="10" spans="1:14" s="3" customFormat="1" ht="12.75">
      <c r="A10" s="84" t="s">
        <v>59</v>
      </c>
      <c r="B10" s="85">
        <f aca="true" t="shared" si="1" ref="B10:M10">SUM(B5:B9)</f>
        <v>10000</v>
      </c>
      <c r="C10" s="85">
        <f t="shared" si="1"/>
        <v>10200</v>
      </c>
      <c r="D10" s="85">
        <f t="shared" si="1"/>
        <v>10403.999999999998</v>
      </c>
      <c r="E10" s="85">
        <f t="shared" si="1"/>
        <v>10612.080000000002</v>
      </c>
      <c r="F10" s="85">
        <f t="shared" si="1"/>
        <v>10824.3216</v>
      </c>
      <c r="G10" s="85">
        <f t="shared" si="1"/>
        <v>11040.808031999999</v>
      </c>
      <c r="H10" s="85">
        <f t="shared" si="1"/>
        <v>11261.624192640002</v>
      </c>
      <c r="I10" s="85">
        <f t="shared" si="1"/>
        <v>11486.8566764928</v>
      </c>
      <c r="J10" s="85">
        <f t="shared" si="1"/>
        <v>11716.593810022656</v>
      </c>
      <c r="K10" s="85">
        <f t="shared" si="1"/>
        <v>11950.925686223109</v>
      </c>
      <c r="L10" s="85">
        <f t="shared" si="1"/>
        <v>12189.944199947573</v>
      </c>
      <c r="M10" s="85">
        <f t="shared" si="1"/>
        <v>12433.743083946523</v>
      </c>
      <c r="N10" s="142">
        <f t="shared" si="0"/>
        <v>134120.89728127263</v>
      </c>
    </row>
    <row r="11" spans="1:15" s="3" customFormat="1" ht="12.75">
      <c r="A11" s="84" t="s">
        <v>70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55"/>
      <c r="O11" s="218"/>
    </row>
    <row r="12" spans="1:15" s="3" customFormat="1" ht="12.75">
      <c r="A12" s="83" t="s">
        <v>198</v>
      </c>
      <c r="B12" s="136">
        <f>+'Dem.Mens.Proy.'!C44</f>
        <v>765.0000000000001</v>
      </c>
      <c r="C12" s="136">
        <f>+'Dem.Mens.Proy.'!D44</f>
        <v>780.3000000000001</v>
      </c>
      <c r="D12" s="136">
        <f>+'Dem.Mens.Proy.'!E44</f>
        <v>795.9060000000001</v>
      </c>
      <c r="E12" s="136">
        <f>+'Dem.Mens.Proy.'!F44</f>
        <v>811.8241200000001</v>
      </c>
      <c r="F12" s="136">
        <f>+'Dem.Mens.Proy.'!G44</f>
        <v>828.0606024</v>
      </c>
      <c r="G12" s="136">
        <f>+'Dem.Mens.Proy.'!H44</f>
        <v>844.621814448</v>
      </c>
      <c r="H12" s="136">
        <f>+'Dem.Mens.Proy.'!I44</f>
        <v>861.51425073696</v>
      </c>
      <c r="I12" s="136">
        <f>+'Dem.Mens.Proy.'!J44</f>
        <v>878.7445357516993</v>
      </c>
      <c r="J12" s="136">
        <f>+'Dem.Mens.Proy.'!K44</f>
        <v>896.3194264667333</v>
      </c>
      <c r="K12" s="136">
        <f>+'Dem.Mens.Proy.'!L44</f>
        <v>914.2458149960679</v>
      </c>
      <c r="L12" s="136">
        <f>+'Dem.Mens.Proy.'!M44</f>
        <v>932.5307312959893</v>
      </c>
      <c r="M12" s="136">
        <f>+'Dem.Mens.Proy.'!N44</f>
        <v>951.181345921909</v>
      </c>
      <c r="N12" s="217"/>
      <c r="O12" s="218"/>
    </row>
    <row r="13" spans="1:15" s="3" customFormat="1" ht="12.75">
      <c r="A13" s="83" t="s">
        <v>200</v>
      </c>
      <c r="B13" s="136">
        <f>+'Dem.Mens.Proy.'!C45</f>
        <v>918.0000000000002</v>
      </c>
      <c r="C13" s="136">
        <f>+'Dem.Mens.Proy.'!D45</f>
        <v>936.3600000000002</v>
      </c>
      <c r="D13" s="136">
        <f>+'Dem.Mens.Proy.'!E45</f>
        <v>955.0872</v>
      </c>
      <c r="E13" s="136">
        <f>+'Dem.Mens.Proy.'!F45</f>
        <v>974.1889440000002</v>
      </c>
      <c r="F13" s="136">
        <f>+'Dem.Mens.Proy.'!G45</f>
        <v>993.67272288</v>
      </c>
      <c r="G13" s="136">
        <f>+'Dem.Mens.Proy.'!H45</f>
        <v>1013.5461773376</v>
      </c>
      <c r="H13" s="136">
        <f>+'Dem.Mens.Proy.'!I45</f>
        <v>1033.8171008843522</v>
      </c>
      <c r="I13" s="136">
        <f>+'Dem.Mens.Proy.'!J45</f>
        <v>1054.4934429020393</v>
      </c>
      <c r="J13" s="136">
        <f>+'Dem.Mens.Proy.'!K45</f>
        <v>1075.58331176008</v>
      </c>
      <c r="K13" s="136">
        <f>+'Dem.Mens.Proy.'!L45</f>
        <v>1097.0949779952816</v>
      </c>
      <c r="L13" s="136">
        <f>+'Dem.Mens.Proy.'!M45</f>
        <v>1119.0368775551872</v>
      </c>
      <c r="M13" s="136">
        <f>+'Dem.Mens.Proy.'!N45</f>
        <v>1141.417615106291</v>
      </c>
      <c r="N13" s="217"/>
      <c r="O13" s="218"/>
    </row>
    <row r="14" spans="1:15" s="3" customFormat="1" ht="12.75">
      <c r="A14" s="83" t="s">
        <v>201</v>
      </c>
      <c r="B14" s="136">
        <f>+'Dem.Mens.Proy.'!C46</f>
        <v>990</v>
      </c>
      <c r="C14" s="136">
        <f>+'Dem.Mens.Proy.'!D46</f>
        <v>1009.8000000000001</v>
      </c>
      <c r="D14" s="136">
        <f>+'Dem.Mens.Proy.'!E46</f>
        <v>1029.996</v>
      </c>
      <c r="E14" s="136">
        <f>+'Dem.Mens.Proy.'!F46</f>
        <v>1050.59592</v>
      </c>
      <c r="F14" s="136">
        <f>+'Dem.Mens.Proy.'!G46</f>
        <v>1071.6078384</v>
      </c>
      <c r="G14" s="136">
        <f>+'Dem.Mens.Proy.'!H46</f>
        <v>1093.039995168</v>
      </c>
      <c r="H14" s="136">
        <f>+'Dem.Mens.Proy.'!I46</f>
        <v>1114.90079507136</v>
      </c>
      <c r="I14" s="136">
        <f>+'Dem.Mens.Proy.'!J46</f>
        <v>1137.1988109727872</v>
      </c>
      <c r="J14" s="136">
        <f>+'Dem.Mens.Proy.'!K46</f>
        <v>1159.942787192243</v>
      </c>
      <c r="K14" s="136">
        <f>+'Dem.Mens.Proy.'!L46</f>
        <v>1183.1416429360877</v>
      </c>
      <c r="L14" s="136">
        <f>+'Dem.Mens.Proy.'!M46</f>
        <v>1206.8044757948096</v>
      </c>
      <c r="M14" s="136">
        <f>+'Dem.Mens.Proy.'!N46</f>
        <v>1230.940565310706</v>
      </c>
      <c r="N14" s="55"/>
      <c r="O14" s="218"/>
    </row>
    <row r="15" spans="1:15" s="3" customFormat="1" ht="12.75">
      <c r="A15" s="83" t="s">
        <v>202</v>
      </c>
      <c r="B15" s="136">
        <f>+'Dem.Mens.Proy.'!C47</f>
        <v>624</v>
      </c>
      <c r="C15" s="136">
        <f>+'Dem.Mens.Proy.'!D47</f>
        <v>636.48</v>
      </c>
      <c r="D15" s="136">
        <f>+'Dem.Mens.Proy.'!E47</f>
        <v>649.2096</v>
      </c>
      <c r="E15" s="136">
        <f>+'Dem.Mens.Proy.'!F47</f>
        <v>662.193792</v>
      </c>
      <c r="F15" s="136">
        <f>+'Dem.Mens.Proy.'!G47</f>
        <v>675.43766784</v>
      </c>
      <c r="G15" s="136">
        <f>+'Dem.Mens.Proy.'!H47</f>
        <v>688.9464211967999</v>
      </c>
      <c r="H15" s="136">
        <f>+'Dem.Mens.Proy.'!I47</f>
        <v>702.725349620736</v>
      </c>
      <c r="I15" s="136">
        <f>+'Dem.Mens.Proy.'!J47</f>
        <v>716.7798566131506</v>
      </c>
      <c r="J15" s="136">
        <f>+'Dem.Mens.Proy.'!K47</f>
        <v>731.1154537454138</v>
      </c>
      <c r="K15" s="136">
        <f>+'Dem.Mens.Proy.'!L47</f>
        <v>745.737762820322</v>
      </c>
      <c r="L15" s="136">
        <f>+'Dem.Mens.Proy.'!M47</f>
        <v>760.6525180767285</v>
      </c>
      <c r="M15" s="136">
        <f>+'Dem.Mens.Proy.'!N47</f>
        <v>775.865568438263</v>
      </c>
      <c r="N15" s="216"/>
      <c r="O15" s="218"/>
    </row>
    <row r="16" spans="1:15" s="3" customFormat="1" ht="12.75">
      <c r="A16" s="83" t="s">
        <v>203</v>
      </c>
      <c r="B16" s="136">
        <f>+'Dem.Mens.Proy.'!C48</f>
        <v>450</v>
      </c>
      <c r="C16" s="136">
        <f>+'Dem.Mens.Proy.'!D48</f>
        <v>459</v>
      </c>
      <c r="D16" s="136">
        <f>+'Dem.Mens.Proy.'!E48</f>
        <v>468.18</v>
      </c>
      <c r="E16" s="136">
        <f>+'Dem.Mens.Proy.'!F48</f>
        <v>477.54359999999997</v>
      </c>
      <c r="F16" s="136">
        <f>+'Dem.Mens.Proy.'!G48</f>
        <v>487.09447199999994</v>
      </c>
      <c r="G16" s="136">
        <f>+'Dem.Mens.Proy.'!H48</f>
        <v>496.83636143999996</v>
      </c>
      <c r="H16" s="136">
        <f>+'Dem.Mens.Proy.'!I48</f>
        <v>506.77308866879997</v>
      </c>
      <c r="I16" s="136">
        <f>+'Dem.Mens.Proy.'!J48</f>
        <v>516.908550442176</v>
      </c>
      <c r="J16" s="136">
        <f>+'Dem.Mens.Proy.'!K48</f>
        <v>527.2467214510195</v>
      </c>
      <c r="K16" s="136">
        <f>+'Dem.Mens.Proy.'!L48</f>
        <v>537.7916558800399</v>
      </c>
      <c r="L16" s="136">
        <f>+'Dem.Mens.Proy.'!M48</f>
        <v>548.5474889976407</v>
      </c>
      <c r="M16" s="136">
        <f>+'Dem.Mens.Proy.'!N48</f>
        <v>559.5184387775935</v>
      </c>
      <c r="N16" s="217"/>
      <c r="O16" s="218"/>
    </row>
    <row r="17" spans="1:15" s="3" customFormat="1" ht="12.75">
      <c r="A17" s="88" t="s">
        <v>86</v>
      </c>
      <c r="B17" s="137">
        <f>+Sueldos!E12</f>
        <v>3410</v>
      </c>
      <c r="C17" s="137">
        <f>+B17</f>
        <v>3410</v>
      </c>
      <c r="D17" s="137">
        <f aca="true" t="shared" si="2" ref="D17:M20">+C17</f>
        <v>3410</v>
      </c>
      <c r="E17" s="137">
        <f t="shared" si="2"/>
        <v>3410</v>
      </c>
      <c r="F17" s="137">
        <f t="shared" si="2"/>
        <v>3410</v>
      </c>
      <c r="G17" s="137">
        <f t="shared" si="2"/>
        <v>3410</v>
      </c>
      <c r="H17" s="137">
        <f t="shared" si="2"/>
        <v>3410</v>
      </c>
      <c r="I17" s="137">
        <f t="shared" si="2"/>
        <v>3410</v>
      </c>
      <c r="J17" s="137">
        <f t="shared" si="2"/>
        <v>3410</v>
      </c>
      <c r="K17" s="137">
        <f t="shared" si="2"/>
        <v>3410</v>
      </c>
      <c r="L17" s="137">
        <f t="shared" si="2"/>
        <v>3410</v>
      </c>
      <c r="M17" s="137">
        <f t="shared" si="2"/>
        <v>3410</v>
      </c>
      <c r="N17" s="56"/>
      <c r="O17" s="218"/>
    </row>
    <row r="18" spans="1:14" s="3" customFormat="1" ht="12.75">
      <c r="A18" s="88" t="s">
        <v>89</v>
      </c>
      <c r="B18" s="137">
        <f>+Gstosoper!C7</f>
        <v>310</v>
      </c>
      <c r="C18" s="137">
        <f>+B18</f>
        <v>310</v>
      </c>
      <c r="D18" s="137">
        <f t="shared" si="2"/>
        <v>310</v>
      </c>
      <c r="E18" s="137">
        <f t="shared" si="2"/>
        <v>310</v>
      </c>
      <c r="F18" s="137">
        <f t="shared" si="2"/>
        <v>310</v>
      </c>
      <c r="G18" s="137">
        <f t="shared" si="2"/>
        <v>310</v>
      </c>
      <c r="H18" s="137">
        <f t="shared" si="2"/>
        <v>310</v>
      </c>
      <c r="I18" s="137">
        <f t="shared" si="2"/>
        <v>310</v>
      </c>
      <c r="J18" s="137">
        <f t="shared" si="2"/>
        <v>310</v>
      </c>
      <c r="K18" s="137">
        <f t="shared" si="2"/>
        <v>310</v>
      </c>
      <c r="L18" s="137">
        <f t="shared" si="2"/>
        <v>310</v>
      </c>
      <c r="M18" s="137">
        <f t="shared" si="2"/>
        <v>310</v>
      </c>
      <c r="N18" s="210"/>
    </row>
    <row r="19" spans="1:14" s="3" customFormat="1" ht="12.75">
      <c r="A19" s="206" t="s">
        <v>87</v>
      </c>
      <c r="B19" s="207">
        <f>+Publi!D12</f>
        <v>2740</v>
      </c>
      <c r="C19" s="207">
        <v>2000</v>
      </c>
      <c r="D19" s="207">
        <v>300</v>
      </c>
      <c r="E19" s="207">
        <v>300</v>
      </c>
      <c r="F19" s="207">
        <v>300</v>
      </c>
      <c r="G19" s="207">
        <v>300</v>
      </c>
      <c r="H19" s="207">
        <v>300</v>
      </c>
      <c r="I19" s="207">
        <v>300</v>
      </c>
      <c r="J19" s="207">
        <v>300</v>
      </c>
      <c r="K19" s="207">
        <v>300</v>
      </c>
      <c r="L19" s="207">
        <v>300</v>
      </c>
      <c r="M19" s="207">
        <v>300</v>
      </c>
      <c r="N19" s="142">
        <f>SUM(B19:M19)</f>
        <v>7740</v>
      </c>
    </row>
    <row r="20" spans="1:14" s="3" customFormat="1" ht="13.5" thickBot="1">
      <c r="A20" s="88" t="s">
        <v>85</v>
      </c>
      <c r="B20" s="137">
        <f>+Gstosoper!C16</f>
        <v>1948.375</v>
      </c>
      <c r="C20" s="137">
        <f>+B20</f>
        <v>1948.375</v>
      </c>
      <c r="D20" s="137">
        <f t="shared" si="2"/>
        <v>1948.375</v>
      </c>
      <c r="E20" s="137">
        <f t="shared" si="2"/>
        <v>1948.375</v>
      </c>
      <c r="F20" s="137">
        <f t="shared" si="2"/>
        <v>1948.375</v>
      </c>
      <c r="G20" s="137">
        <f t="shared" si="2"/>
        <v>1948.375</v>
      </c>
      <c r="H20" s="137">
        <f t="shared" si="2"/>
        <v>1948.375</v>
      </c>
      <c r="I20" s="137">
        <f t="shared" si="2"/>
        <v>1948.375</v>
      </c>
      <c r="J20" s="137">
        <f t="shared" si="2"/>
        <v>1948.375</v>
      </c>
      <c r="K20" s="137">
        <f t="shared" si="2"/>
        <v>1948.375</v>
      </c>
      <c r="L20" s="137">
        <f t="shared" si="2"/>
        <v>1948.375</v>
      </c>
      <c r="M20" s="137">
        <f t="shared" si="2"/>
        <v>1948.375</v>
      </c>
      <c r="N20" s="142">
        <f>SUM(B20:M20)</f>
        <v>23380.5</v>
      </c>
    </row>
    <row r="21" spans="1:14" s="3" customFormat="1" ht="14.25" thickBot="1" thickTop="1">
      <c r="A21" s="89" t="s">
        <v>71</v>
      </c>
      <c r="B21" s="90">
        <f aca="true" t="shared" si="3" ref="B21:M21">SUM(B12:B20)</f>
        <v>12155.375</v>
      </c>
      <c r="C21" s="90">
        <f t="shared" si="3"/>
        <v>11490.315</v>
      </c>
      <c r="D21" s="90">
        <f t="shared" si="3"/>
        <v>9866.7538</v>
      </c>
      <c r="E21" s="90">
        <f t="shared" si="3"/>
        <v>9944.721376000001</v>
      </c>
      <c r="F21" s="90">
        <f t="shared" si="3"/>
        <v>10024.24830352</v>
      </c>
      <c r="G21" s="90">
        <f t="shared" si="3"/>
        <v>10105.3657695904</v>
      </c>
      <c r="H21" s="90">
        <f t="shared" si="3"/>
        <v>10188.105584982208</v>
      </c>
      <c r="I21" s="90">
        <f t="shared" si="3"/>
        <v>10272.500196681853</v>
      </c>
      <c r="J21" s="90">
        <f t="shared" si="3"/>
        <v>10358.58270061549</v>
      </c>
      <c r="K21" s="90">
        <f t="shared" si="3"/>
        <v>10446.386854627799</v>
      </c>
      <c r="L21" s="90">
        <f t="shared" si="3"/>
        <v>10535.947091720354</v>
      </c>
      <c r="M21" s="90">
        <f t="shared" si="3"/>
        <v>10627.298533554764</v>
      </c>
      <c r="N21" s="213">
        <f>SUM(B21:M21)</f>
        <v>126015.60021129285</v>
      </c>
    </row>
    <row r="22" spans="1:15" s="3" customFormat="1" ht="14.25" thickBot="1" thickTop="1">
      <c r="A22" s="89" t="s">
        <v>109</v>
      </c>
      <c r="B22" s="91">
        <f aca="true" t="shared" si="4" ref="B22:M22">+B10-B21</f>
        <v>-2155.375</v>
      </c>
      <c r="C22" s="91">
        <f t="shared" si="4"/>
        <v>-1290.3150000000005</v>
      </c>
      <c r="D22" s="91">
        <f t="shared" si="4"/>
        <v>537.2461999999978</v>
      </c>
      <c r="E22" s="91">
        <f t="shared" si="4"/>
        <v>667.3586240000004</v>
      </c>
      <c r="F22" s="91">
        <f t="shared" si="4"/>
        <v>800.073296479999</v>
      </c>
      <c r="G22" s="91">
        <f t="shared" si="4"/>
        <v>935.4422624095987</v>
      </c>
      <c r="H22" s="91">
        <f t="shared" si="4"/>
        <v>1073.5186076577938</v>
      </c>
      <c r="I22" s="91">
        <f t="shared" si="4"/>
        <v>1214.3564798109473</v>
      </c>
      <c r="J22" s="91">
        <f t="shared" si="4"/>
        <v>1358.0111094071653</v>
      </c>
      <c r="K22" s="91">
        <f t="shared" si="4"/>
        <v>1504.5388315953096</v>
      </c>
      <c r="L22" s="91">
        <f t="shared" si="4"/>
        <v>1653.9971082272186</v>
      </c>
      <c r="M22" s="211">
        <f t="shared" si="4"/>
        <v>1806.4445503917595</v>
      </c>
      <c r="N22" s="215"/>
      <c r="O22" s="218"/>
    </row>
    <row r="23" spans="1:15" s="3" customFormat="1" ht="13.5" thickTop="1">
      <c r="A23" s="139" t="s">
        <v>108</v>
      </c>
      <c r="B23" s="140">
        <f>B22</f>
        <v>-2155.375</v>
      </c>
      <c r="C23" s="169">
        <f>B23+C22</f>
        <v>-3445.6900000000005</v>
      </c>
      <c r="D23" s="140">
        <f aca="true" t="shared" si="5" ref="D23:M23">C23+D22</f>
        <v>-2908.4438000000027</v>
      </c>
      <c r="E23" s="140">
        <f t="shared" si="5"/>
        <v>-2241.0851760000023</v>
      </c>
      <c r="F23" s="140">
        <f t="shared" si="5"/>
        <v>-1441.0118795200033</v>
      </c>
      <c r="G23" s="140">
        <f t="shared" si="5"/>
        <v>-505.5696171104046</v>
      </c>
      <c r="H23" s="140">
        <f t="shared" si="5"/>
        <v>567.9489905473893</v>
      </c>
      <c r="I23" s="140">
        <f t="shared" si="5"/>
        <v>1782.3054703583366</v>
      </c>
      <c r="J23" s="140">
        <f t="shared" si="5"/>
        <v>3140.316579765502</v>
      </c>
      <c r="K23" s="140">
        <f t="shared" si="5"/>
        <v>4644.855411360812</v>
      </c>
      <c r="L23" s="140">
        <f t="shared" si="5"/>
        <v>6298.85251958803</v>
      </c>
      <c r="M23" s="212">
        <f t="shared" si="5"/>
        <v>8105.29706997979</v>
      </c>
      <c r="N23" s="219"/>
      <c r="O23" s="218"/>
    </row>
    <row r="24" spans="1:14" s="3" customFormat="1" ht="12.7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20"/>
    </row>
    <row r="25" spans="1:14" s="3" customFormat="1" ht="12.75">
      <c r="A25" s="2"/>
      <c r="N25" s="214"/>
    </row>
    <row r="26" s="3" customFormat="1" ht="12.75"/>
    <row r="27" s="3" customFormat="1" ht="12.75">
      <c r="B27" s="158">
        <f>+B17+B18+B20</f>
        <v>5668.375</v>
      </c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</sheetData>
  <sheetProtection/>
  <mergeCells count="1">
    <mergeCell ref="A2:M2"/>
  </mergeCells>
  <printOptions horizontalCentered="1" verticalCentered="1"/>
  <pageMargins left="0.5" right="0.46" top="0.984251968503937" bottom="0.984251968503937" header="0" footer="0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M45"/>
  <sheetViews>
    <sheetView tabSelected="1" zoomScale="75" zoomScaleNormal="75" zoomScalePageLayoutView="0" workbookViewId="0" topLeftCell="A16">
      <selection activeCell="B29" sqref="B29"/>
    </sheetView>
  </sheetViews>
  <sheetFormatPr defaultColWidth="11.421875" defaultRowHeight="12.75"/>
  <cols>
    <col min="1" max="1" width="30.00390625" style="14" customWidth="1"/>
    <col min="2" max="2" width="15.7109375" style="15" customWidth="1"/>
    <col min="3" max="6" width="16.00390625" style="15" customWidth="1"/>
    <col min="7" max="7" width="15.421875" style="15" customWidth="1"/>
    <col min="8" max="8" width="14.8515625" style="14" customWidth="1"/>
    <col min="9" max="9" width="14.421875" style="14" customWidth="1"/>
    <col min="10" max="10" width="15.00390625" style="14" customWidth="1"/>
    <col min="11" max="11" width="14.7109375" style="14" customWidth="1"/>
    <col min="12" max="12" width="15.57421875" style="14" customWidth="1"/>
    <col min="13" max="13" width="11.421875" style="14" customWidth="1"/>
    <col min="14" max="14" width="13.28125" style="14" bestFit="1" customWidth="1"/>
    <col min="15" max="16384" width="11.421875" style="14" customWidth="1"/>
  </cols>
  <sheetData>
    <row r="2" spans="1:13" s="8" customFormat="1" ht="33.75" customHeight="1">
      <c r="A2" s="315" t="s">
        <v>264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22"/>
    </row>
    <row r="3" spans="1:12" s="9" customFormat="1" ht="15" customHeight="1">
      <c r="A3" s="16" t="s">
        <v>75</v>
      </c>
      <c r="B3" s="16">
        <v>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</row>
    <row r="4" spans="1:12" s="8" customFormat="1" ht="15" customHeight="1">
      <c r="A4" s="10" t="s">
        <v>204</v>
      </c>
      <c r="B4" s="126"/>
      <c r="C4" s="126">
        <f>+'Dem.Mens.Proy.'!R26</f>
        <v>22800.55253781635</v>
      </c>
      <c r="D4" s="126">
        <f>+'Dem.Mens.Proy.'!S26</f>
        <v>23484.56911395084</v>
      </c>
      <c r="E4" s="126">
        <f>+'Dem.Mens.Proy.'!T26</f>
        <v>24189.10618736937</v>
      </c>
      <c r="F4" s="126">
        <f>+'Dem.Mens.Proy.'!U26</f>
        <v>31143.474216238064</v>
      </c>
      <c r="G4" s="126">
        <f>+'Dem.Mens.Proy.'!V26</f>
        <v>32077.778442725208</v>
      </c>
      <c r="H4" s="126">
        <f>+'Dem.Mens.Proy.'!W26</f>
        <v>33040.11179600696</v>
      </c>
      <c r="I4" s="126">
        <f>+'Dem.Mens.Proy.'!X26</f>
        <v>40837.578179864606</v>
      </c>
      <c r="J4" s="126">
        <f>+'Dem.Mens.Proy.'!Y26</f>
        <v>42062.70552526055</v>
      </c>
      <c r="K4" s="126">
        <f>+'Dem.Mens.Proy.'!Z26</f>
        <v>43324.58669101836</v>
      </c>
      <c r="L4" s="126">
        <f>+'Dem.Mens.Proy.'!AA26</f>
        <v>44624.32429174891</v>
      </c>
    </row>
    <row r="5" spans="1:12" s="8" customFormat="1" ht="15" customHeight="1">
      <c r="A5" s="10" t="s">
        <v>205</v>
      </c>
      <c r="B5" s="126"/>
      <c r="C5" s="126">
        <f>+'Dem.Mens.Proy.'!R27</f>
        <v>22800.55253781635</v>
      </c>
      <c r="D5" s="126">
        <f>+'Dem.Mens.Proy.'!S27</f>
        <v>23484.56911395084</v>
      </c>
      <c r="E5" s="126">
        <f>+'Dem.Mens.Proy.'!T27</f>
        <v>24189.10618736937</v>
      </c>
      <c r="F5" s="126">
        <f>+'Dem.Mens.Proy.'!U27</f>
        <v>31143.474216238064</v>
      </c>
      <c r="G5" s="126">
        <f>+'Dem.Mens.Proy.'!V27</f>
        <v>32077.778442725208</v>
      </c>
      <c r="H5" s="126">
        <f>+'Dem.Mens.Proy.'!W27</f>
        <v>33040.11179600696</v>
      </c>
      <c r="I5" s="126">
        <f>+'Dem.Mens.Proy.'!X27</f>
        <v>40837.578179864606</v>
      </c>
      <c r="J5" s="126">
        <f>+'Dem.Mens.Proy.'!Y27</f>
        <v>42062.70552526055</v>
      </c>
      <c r="K5" s="126">
        <f>+'Dem.Mens.Proy.'!Z27</f>
        <v>43324.58669101836</v>
      </c>
      <c r="L5" s="126">
        <f>+'Dem.Mens.Proy.'!AA27</f>
        <v>44624.32429174891</v>
      </c>
    </row>
    <row r="6" spans="1:12" s="8" customFormat="1" ht="15" customHeight="1">
      <c r="A6" s="19" t="s">
        <v>206</v>
      </c>
      <c r="B6" s="126"/>
      <c r="C6" s="126">
        <f>+'Dem.Mens.Proy.'!R28</f>
        <v>29506.597401879986</v>
      </c>
      <c r="D6" s="126">
        <f>+'Dem.Mens.Proy.'!S28</f>
        <v>30391.795323936385</v>
      </c>
      <c r="E6" s="126">
        <f>+'Dem.Mens.Proy.'!T28</f>
        <v>31303.54918365448</v>
      </c>
      <c r="F6" s="126">
        <f>+'Dem.Mens.Proy.'!U28</f>
        <v>40303.319573955145</v>
      </c>
      <c r="G6" s="126">
        <f>+'Dem.Mens.Proy.'!V28</f>
        <v>41512.41916117379</v>
      </c>
      <c r="H6" s="126">
        <f>+'Dem.Mens.Proy.'!W28</f>
        <v>42757.791736009014</v>
      </c>
      <c r="I6" s="126">
        <f>+'Dem.Mens.Proy.'!X28</f>
        <v>52848.63058570714</v>
      </c>
      <c r="J6" s="126">
        <f>+'Dem.Mens.Proy.'!Y28</f>
        <v>54434.08950327837</v>
      </c>
      <c r="K6" s="126">
        <f>+'Dem.Mens.Proy.'!Z28</f>
        <v>56067.11218837672</v>
      </c>
      <c r="L6" s="126">
        <f>+'Dem.Mens.Proy.'!AA28</f>
        <v>57749.12555402801</v>
      </c>
    </row>
    <row r="7" spans="1:12" s="8" customFormat="1" ht="15" customHeight="1">
      <c r="A7" s="19" t="s">
        <v>207</v>
      </c>
      <c r="B7" s="126"/>
      <c r="C7" s="126">
        <f>+'Dem.Mens.Proy.'!R29</f>
        <v>34871.433293130896</v>
      </c>
      <c r="D7" s="126">
        <f>+'Dem.Mens.Proy.'!S29</f>
        <v>35917.57629192482</v>
      </c>
      <c r="E7" s="126">
        <f>+'Dem.Mens.Proy.'!T29</f>
        <v>36995.10358068257</v>
      </c>
      <c r="F7" s="126">
        <f>+'Dem.Mens.Proy.'!U29</f>
        <v>47631.195860128806</v>
      </c>
      <c r="G7" s="126">
        <f>+'Dem.Mens.Proy.'!V29</f>
        <v>49060.13173593267</v>
      </c>
      <c r="H7" s="126">
        <f>+'Dem.Mens.Proy.'!W29</f>
        <v>50531.93568801065</v>
      </c>
      <c r="I7" s="126">
        <f>+'Dem.Mens.Proy.'!X29</f>
        <v>62457.472510381165</v>
      </c>
      <c r="J7" s="126">
        <f>+'Dem.Mens.Proy.'!Y29</f>
        <v>64331.1966856926</v>
      </c>
      <c r="K7" s="126">
        <f>+'Dem.Mens.Proy.'!Z29</f>
        <v>66261.13258626338</v>
      </c>
      <c r="L7" s="126">
        <f>+'Dem.Mens.Proy.'!AA29</f>
        <v>68248.96656385128</v>
      </c>
    </row>
    <row r="8" spans="1:12" s="8" customFormat="1" ht="15" customHeight="1">
      <c r="A8" s="19" t="s">
        <v>208</v>
      </c>
      <c r="B8" s="126"/>
      <c r="C8" s="126">
        <f>+'Dem.Mens.Proy.'!R30</f>
        <v>24141.761510629076</v>
      </c>
      <c r="D8" s="126">
        <f>+'Dem.Mens.Proy.'!S30</f>
        <v>24866.014355947947</v>
      </c>
      <c r="E8" s="126">
        <f>+'Dem.Mens.Proy.'!T30</f>
        <v>25611.994786626386</v>
      </c>
      <c r="F8" s="126">
        <f>+'Dem.Mens.Proy.'!U30</f>
        <v>32975.44328778147</v>
      </c>
      <c r="G8" s="126">
        <f>+'Dem.Mens.Proy.'!V30</f>
        <v>33964.70658641492</v>
      </c>
      <c r="H8" s="126">
        <f>+'Dem.Mens.Proy.'!W30</f>
        <v>34983.647784007364</v>
      </c>
      <c r="I8" s="126">
        <f>+'Dem.Mens.Proy.'!X30</f>
        <v>43239.788661033104</v>
      </c>
      <c r="J8" s="126">
        <f>+'Dem.Mens.Proy.'!Y30</f>
        <v>44536.9823208641</v>
      </c>
      <c r="K8" s="126">
        <f>+'Dem.Mens.Proy.'!Z30</f>
        <v>45873.09179049002</v>
      </c>
      <c r="L8" s="126">
        <f>+'Dem.Mens.Proy.'!AA30</f>
        <v>47249.284544204726</v>
      </c>
    </row>
    <row r="9" spans="1:12" s="12" customFormat="1" ht="15" customHeight="1">
      <c r="A9" s="92" t="s">
        <v>59</v>
      </c>
      <c r="B9" s="150"/>
      <c r="C9" s="151">
        <f>SUM(C4:C8)</f>
        <v>134120.8972812727</v>
      </c>
      <c r="D9" s="151">
        <f aca="true" t="shared" si="0" ref="D9:L9">SUM(D4:D8)</f>
        <v>138144.52419971084</v>
      </c>
      <c r="E9" s="151">
        <f t="shared" si="0"/>
        <v>142288.85992570219</v>
      </c>
      <c r="F9" s="151">
        <f t="shared" si="0"/>
        <v>183196.90715434155</v>
      </c>
      <c r="G9" s="151">
        <f t="shared" si="0"/>
        <v>188692.8143689718</v>
      </c>
      <c r="H9" s="151">
        <f t="shared" si="0"/>
        <v>194353.59880004096</v>
      </c>
      <c r="I9" s="151">
        <f t="shared" si="0"/>
        <v>240221.0481168506</v>
      </c>
      <c r="J9" s="151">
        <f t="shared" si="0"/>
        <v>247427.6795603562</v>
      </c>
      <c r="K9" s="151">
        <f t="shared" si="0"/>
        <v>254850.50994716687</v>
      </c>
      <c r="L9" s="151">
        <f t="shared" si="0"/>
        <v>262496.0252455818</v>
      </c>
    </row>
    <row r="10" spans="1:12" s="12" customFormat="1" ht="15" customHeight="1">
      <c r="A10" s="87" t="s">
        <v>219</v>
      </c>
      <c r="B10" s="126"/>
      <c r="C10" s="152">
        <f>+'Dem.Mens.Proy.'!R8*'Dem.Mens.Proy.'!$N$35</f>
        <v>10260.248642017359</v>
      </c>
      <c r="D10" s="152">
        <f>+'Dem.Mens.Proy.'!S8*'Dem.Mens.Proy.'!$N$35</f>
        <v>10568.05610127788</v>
      </c>
      <c r="E10" s="152">
        <f>+'Dem.Mens.Proy.'!T8*'Dem.Mens.Proy.'!$N$35</f>
        <v>10885.097784316216</v>
      </c>
      <c r="F10" s="152">
        <f>+'Dem.Mens.Proy.'!U8*'Dem.Mens.Proy.'!$N$35</f>
        <v>11211.650717845703</v>
      </c>
      <c r="G10" s="152">
        <f>+'Dem.Mens.Proy.'!V8*'Dem.Mens.Proy.'!$N$35</f>
        <v>11548.000239381076</v>
      </c>
      <c r="H10" s="152">
        <f>+'Dem.Mens.Proy.'!W8*'Dem.Mens.Proy.'!$N$35</f>
        <v>11894.440246562506</v>
      </c>
      <c r="I10" s="152">
        <f>+'Dem.Mens.Proy.'!X8*'Dem.Mens.Proy.'!$N$35</f>
        <v>12251.273453959382</v>
      </c>
      <c r="J10" s="152">
        <f>+'Dem.Mens.Proy.'!Y8*'Dem.Mens.Proy.'!$N$35</f>
        <v>12618.811657578164</v>
      </c>
      <c r="K10" s="152">
        <f>+'Dem.Mens.Proy.'!Z8*'Dem.Mens.Proy.'!$N$35</f>
        <v>12997.37600730551</v>
      </c>
      <c r="L10" s="152">
        <f>+'Dem.Mens.Proy.'!AA8*'Dem.Mens.Proy.'!$N$35</f>
        <v>13387.297287524674</v>
      </c>
    </row>
    <row r="11" spans="1:12" s="12" customFormat="1" ht="15" customHeight="1">
      <c r="A11" s="87" t="s">
        <v>220</v>
      </c>
      <c r="B11" s="126"/>
      <c r="C11" s="152">
        <f>+'Dem.Mens.Proy.'!R9*'Dem.Mens.Proy.'!$N$36</f>
        <v>12312.29837042083</v>
      </c>
      <c r="D11" s="152">
        <f>+'Dem.Mens.Proy.'!S9*'Dem.Mens.Proy.'!$N$36</f>
        <v>12681.667321533456</v>
      </c>
      <c r="E11" s="152">
        <f>+'Dem.Mens.Proy.'!T9*'Dem.Mens.Proy.'!$N$36</f>
        <v>13062.11734117946</v>
      </c>
      <c r="F11" s="152">
        <f>+'Dem.Mens.Proy.'!U9*'Dem.Mens.Proy.'!$N$36</f>
        <v>13453.980861414844</v>
      </c>
      <c r="G11" s="152">
        <f>+'Dem.Mens.Proy.'!V9*'Dem.Mens.Proy.'!$N$36</f>
        <v>13857.60028725729</v>
      </c>
      <c r="H11" s="152">
        <f>+'Dem.Mens.Proy.'!W9*'Dem.Mens.Proy.'!$N$36</f>
        <v>14273.32829587501</v>
      </c>
      <c r="I11" s="152">
        <f>+'Dem.Mens.Proy.'!X9*'Dem.Mens.Proy.'!$N$36</f>
        <v>14701.528144751259</v>
      </c>
      <c r="J11" s="152">
        <f>+'Dem.Mens.Proy.'!Y9*'Dem.Mens.Proy.'!$N$36</f>
        <v>15142.573989093798</v>
      </c>
      <c r="K11" s="152">
        <f>+'Dem.Mens.Proy.'!Z9*'Dem.Mens.Proy.'!$N$36</f>
        <v>15596.851208766611</v>
      </c>
      <c r="L11" s="152">
        <f>+'Dem.Mens.Proy.'!AA9*'Dem.Mens.Proy.'!$N$36</f>
        <v>16064.75674502961</v>
      </c>
    </row>
    <row r="12" spans="1:12" s="12" customFormat="1" ht="15" customHeight="1">
      <c r="A12" s="87" t="s">
        <v>221</v>
      </c>
      <c r="B12" s="126"/>
      <c r="C12" s="152">
        <f>+'Dem.Mens.Proy.'!R10*'Dem.Mens.Proy.'!$N$37</f>
        <v>13277.968830845994</v>
      </c>
      <c r="D12" s="152">
        <f>+'Dem.Mens.Proy.'!S10*'Dem.Mens.Proy.'!$N$37</f>
        <v>13676.307895771373</v>
      </c>
      <c r="E12" s="152">
        <f>+'Dem.Mens.Proy.'!T10*'Dem.Mens.Proy.'!$N$37</f>
        <v>14086.597132644516</v>
      </c>
      <c r="F12" s="152">
        <f>+'Dem.Mens.Proy.'!U10*'Dem.Mens.Proy.'!$N$37</f>
        <v>14509.19504662385</v>
      </c>
      <c r="G12" s="152">
        <f>+'Dem.Mens.Proy.'!V10*'Dem.Mens.Proy.'!$N$37</f>
        <v>14944.470898022566</v>
      </c>
      <c r="H12" s="152">
        <f>+'Dem.Mens.Proy.'!W10*'Dem.Mens.Proy.'!$N$37</f>
        <v>15392.805024963245</v>
      </c>
      <c r="I12" s="152">
        <f>+'Dem.Mens.Proy.'!X10*'Dem.Mens.Proy.'!$N$37</f>
        <v>15854.589175712144</v>
      </c>
      <c r="J12" s="152">
        <f>+'Dem.Mens.Proy.'!Y10*'Dem.Mens.Proy.'!$N$37</f>
        <v>16330.22685098351</v>
      </c>
      <c r="K12" s="152">
        <f>+'Dem.Mens.Proy.'!Z10*'Dem.Mens.Proy.'!$N$37</f>
        <v>16820.133656513015</v>
      </c>
      <c r="L12" s="152">
        <f>+'Dem.Mens.Proy.'!AA10*'Dem.Mens.Proy.'!$N$37</f>
        <v>17324.737666208406</v>
      </c>
    </row>
    <row r="13" spans="1:12" s="12" customFormat="1" ht="15" customHeight="1">
      <c r="A13" s="87" t="s">
        <v>222</v>
      </c>
      <c r="B13" s="126"/>
      <c r="C13" s="152">
        <f>+'Dem.Mens.Proy.'!R11*'Dem.Mens.Proy.'!$N$38</f>
        <v>8369.143990351415</v>
      </c>
      <c r="D13" s="152">
        <f>+'Dem.Mens.Proy.'!S11*'Dem.Mens.Proy.'!$N$38</f>
        <v>8620.218310061957</v>
      </c>
      <c r="E13" s="152">
        <f>+'Dem.Mens.Proy.'!T11*'Dem.Mens.Proy.'!$N$38</f>
        <v>8878.824859363816</v>
      </c>
      <c r="F13" s="152">
        <f>+'Dem.Mens.Proy.'!U11*'Dem.Mens.Proy.'!$N$38</f>
        <v>9145.189605144731</v>
      </c>
      <c r="G13" s="152">
        <f>+'Dem.Mens.Proy.'!V11*'Dem.Mens.Proy.'!$N$38</f>
        <v>9419.545293299072</v>
      </c>
      <c r="H13" s="152">
        <f>+'Dem.Mens.Proy.'!W11*'Dem.Mens.Proy.'!$N$38</f>
        <v>9702.131652098045</v>
      </c>
      <c r="I13" s="152">
        <f>+'Dem.Mens.Proy.'!X11*'Dem.Mens.Proy.'!$N$38</f>
        <v>9993.195601660986</v>
      </c>
      <c r="J13" s="152">
        <f>+'Dem.Mens.Proy.'!Y11*'Dem.Mens.Proy.'!$N$38</f>
        <v>10292.991469710816</v>
      </c>
      <c r="K13" s="152">
        <f>+'Dem.Mens.Proy.'!Z11*'Dem.Mens.Proy.'!$N$38</f>
        <v>10601.78121380214</v>
      </c>
      <c r="L13" s="152">
        <f>+'Dem.Mens.Proy.'!AA11*'Dem.Mens.Proy.'!$N$38</f>
        <v>10919.834650216206</v>
      </c>
    </row>
    <row r="14" spans="1:12" s="12" customFormat="1" ht="15" customHeight="1">
      <c r="A14" s="87" t="s">
        <v>223</v>
      </c>
      <c r="B14" s="126"/>
      <c r="C14" s="152">
        <f>+'Dem.Mens.Proy.'!R12*'Dem.Mens.Proy.'!$N$39</f>
        <v>6035.440377657269</v>
      </c>
      <c r="D14" s="152">
        <f>+'Dem.Mens.Proy.'!S12*'Dem.Mens.Proy.'!$N$39</f>
        <v>6216.503588986987</v>
      </c>
      <c r="E14" s="152">
        <f>+'Dem.Mens.Proy.'!T12*'Dem.Mens.Proy.'!$N$39</f>
        <v>6402.998696656597</v>
      </c>
      <c r="F14" s="152">
        <f>+'Dem.Mens.Proy.'!U12*'Dem.Mens.Proy.'!$N$39</f>
        <v>6595.0886575562945</v>
      </c>
      <c r="G14" s="152">
        <f>+'Dem.Mens.Proy.'!V12*'Dem.Mens.Proy.'!$N$39</f>
        <v>6792.941317282984</v>
      </c>
      <c r="H14" s="152">
        <f>+'Dem.Mens.Proy.'!W12*'Dem.Mens.Proy.'!$N$39</f>
        <v>6996.729556801473</v>
      </c>
      <c r="I14" s="152">
        <f>+'Dem.Mens.Proy.'!X12*'Dem.Mens.Proy.'!$N$39</f>
        <v>7206.631443505517</v>
      </c>
      <c r="J14" s="152">
        <f>+'Dem.Mens.Proy.'!Y12*'Dem.Mens.Proy.'!$N$39</f>
        <v>7422.830386810683</v>
      </c>
      <c r="K14" s="152">
        <f>+'Dem.Mens.Proy.'!Z12*'Dem.Mens.Proy.'!$N$39</f>
        <v>7645.515298415004</v>
      </c>
      <c r="L14" s="152">
        <f>+'Dem.Mens.Proy.'!AA12*'Dem.Mens.Proy.'!$N$39</f>
        <v>7874.880757367454</v>
      </c>
    </row>
    <row r="15" spans="1:12" s="8" customFormat="1" ht="15" customHeight="1">
      <c r="A15" s="87" t="s">
        <v>224</v>
      </c>
      <c r="B15" s="126"/>
      <c r="C15" s="162">
        <f>+Cap_Trab!B17*12</f>
        <v>40920</v>
      </c>
      <c r="D15" s="162">
        <f>+C15</f>
        <v>40920</v>
      </c>
      <c r="E15" s="162">
        <f aca="true" t="shared" si="1" ref="E15:L15">+D15</f>
        <v>40920</v>
      </c>
      <c r="F15" s="162">
        <f t="shared" si="1"/>
        <v>40920</v>
      </c>
      <c r="G15" s="162">
        <f t="shared" si="1"/>
        <v>40920</v>
      </c>
      <c r="H15" s="162">
        <f t="shared" si="1"/>
        <v>40920</v>
      </c>
      <c r="I15" s="162">
        <f t="shared" si="1"/>
        <v>40920</v>
      </c>
      <c r="J15" s="162">
        <f t="shared" si="1"/>
        <v>40920</v>
      </c>
      <c r="K15" s="162">
        <f t="shared" si="1"/>
        <v>40920</v>
      </c>
      <c r="L15" s="162">
        <f t="shared" si="1"/>
        <v>40920</v>
      </c>
    </row>
    <row r="16" spans="1:12" s="8" customFormat="1" ht="15" customHeight="1">
      <c r="A16" s="87" t="s">
        <v>98</v>
      </c>
      <c r="B16" s="126"/>
      <c r="C16" s="126">
        <f>+Cap_Trab!B18*12</f>
        <v>3720</v>
      </c>
      <c r="D16" s="126">
        <f>+C16</f>
        <v>3720</v>
      </c>
      <c r="E16" s="126">
        <f aca="true" t="shared" si="2" ref="E16:L16">+D16</f>
        <v>3720</v>
      </c>
      <c r="F16" s="126">
        <f t="shared" si="2"/>
        <v>3720</v>
      </c>
      <c r="G16" s="126">
        <f t="shared" si="2"/>
        <v>3720</v>
      </c>
      <c r="H16" s="126">
        <f t="shared" si="2"/>
        <v>3720</v>
      </c>
      <c r="I16" s="126">
        <f t="shared" si="2"/>
        <v>3720</v>
      </c>
      <c r="J16" s="126">
        <f t="shared" si="2"/>
        <v>3720</v>
      </c>
      <c r="K16" s="126">
        <f t="shared" si="2"/>
        <v>3720</v>
      </c>
      <c r="L16" s="126">
        <f t="shared" si="2"/>
        <v>3720</v>
      </c>
    </row>
    <row r="17" spans="1:12" s="8" customFormat="1" ht="15" customHeight="1">
      <c r="A17" s="10" t="s">
        <v>94</v>
      </c>
      <c r="B17" s="162"/>
      <c r="C17" s="162">
        <f>+Cap_Trab!N19</f>
        <v>7740</v>
      </c>
      <c r="D17" s="162">
        <v>3600</v>
      </c>
      <c r="E17" s="162">
        <v>3600</v>
      </c>
      <c r="F17" s="162">
        <v>3600</v>
      </c>
      <c r="G17" s="162">
        <v>3600</v>
      </c>
      <c r="H17" s="162">
        <v>3600</v>
      </c>
      <c r="I17" s="162">
        <v>3600</v>
      </c>
      <c r="J17" s="162">
        <v>3600</v>
      </c>
      <c r="K17" s="162">
        <v>3600</v>
      </c>
      <c r="L17" s="162">
        <v>3600</v>
      </c>
    </row>
    <row r="18" spans="1:12" s="8" customFormat="1" ht="15" customHeight="1">
      <c r="A18" s="87" t="s">
        <v>88</v>
      </c>
      <c r="B18" s="126"/>
      <c r="C18" s="162">
        <v>23380.5</v>
      </c>
      <c r="D18" s="162">
        <v>23380.5</v>
      </c>
      <c r="E18" s="162">
        <v>23380.5</v>
      </c>
      <c r="F18" s="162">
        <v>23380.5</v>
      </c>
      <c r="G18" s="162">
        <v>23380.5</v>
      </c>
      <c r="H18" s="162">
        <v>23380.5</v>
      </c>
      <c r="I18" s="162">
        <v>23380.5</v>
      </c>
      <c r="J18" s="162">
        <v>23380.5</v>
      </c>
      <c r="K18" s="162">
        <v>23380.5</v>
      </c>
      <c r="L18" s="162">
        <v>23380.5</v>
      </c>
    </row>
    <row r="19" spans="1:12" s="8" customFormat="1" ht="15" customHeight="1">
      <c r="A19" s="87" t="s">
        <v>226</v>
      </c>
      <c r="B19" s="126"/>
      <c r="C19" s="153">
        <f>+'Amort. DEUDA'!G25</f>
        <v>6546.293253754731</v>
      </c>
      <c r="D19" s="153">
        <f>+'Amort. DEUDA'!G37</f>
        <v>6139.027473307545</v>
      </c>
      <c r="E19" s="153">
        <f>+'Amort. DEUDA'!G49</f>
        <v>5683.732018967343</v>
      </c>
      <c r="F19" s="153">
        <f>+'Amort. DEUDA'!G61</f>
        <v>5174.742654539916</v>
      </c>
      <c r="G19" s="153">
        <f>+'Amort. DEUDA'!G73</f>
        <v>4605.72714904652</v>
      </c>
      <c r="H19" s="153">
        <f>+'Amort. DEUDA'!G85</f>
        <v>3969.606498753304</v>
      </c>
      <c r="I19" s="153">
        <f>+'Amort. DEUDA'!G97</f>
        <v>3258.466858755991</v>
      </c>
      <c r="J19" s="153">
        <f>+'Amort. DEUDA'!G109</f>
        <v>2463.46108847892</v>
      </c>
      <c r="K19" s="153">
        <f>+'Amort. DEUDA'!G121</f>
        <v>1574.6986862364784</v>
      </c>
      <c r="L19" s="153">
        <f>+'Amort. DEUDA'!G133</f>
        <v>581.1227435556276</v>
      </c>
    </row>
    <row r="20" spans="1:12" s="8" customFormat="1" ht="15" customHeight="1" thickBot="1">
      <c r="A20" s="87" t="s">
        <v>106</v>
      </c>
      <c r="B20" s="126"/>
      <c r="C20" s="154">
        <f>+Depr!I30</f>
        <v>10523</v>
      </c>
      <c r="D20" s="154">
        <f>+Depr!J30</f>
        <v>10523</v>
      </c>
      <c r="E20" s="154">
        <f>+Depr!K30</f>
        <v>10523</v>
      </c>
      <c r="F20" s="154">
        <f>+Depr!L30</f>
        <v>10366</v>
      </c>
      <c r="G20" s="154">
        <f>+Depr!M30</f>
        <v>10366</v>
      </c>
      <c r="H20" s="154">
        <f>+Depr!N30</f>
        <v>5866</v>
      </c>
      <c r="I20" s="154">
        <f>+Depr!O30</f>
        <v>5866</v>
      </c>
      <c r="J20" s="154">
        <f>+Depr!P30</f>
        <v>5866</v>
      </c>
      <c r="K20" s="154">
        <f>+Depr!Q30</f>
        <v>5866</v>
      </c>
      <c r="L20" s="154">
        <f>+Depr!R30</f>
        <v>3383</v>
      </c>
    </row>
    <row r="21" spans="1:12" s="8" customFormat="1" ht="15" customHeight="1" thickBot="1" thickTop="1">
      <c r="A21" s="92" t="s">
        <v>71</v>
      </c>
      <c r="B21" s="150"/>
      <c r="C21" s="155">
        <f aca="true" t="shared" si="3" ref="C21:L21">SUM(C10:C20)</f>
        <v>143084.8934650476</v>
      </c>
      <c r="D21" s="155">
        <f t="shared" si="3"/>
        <v>140045.28069093922</v>
      </c>
      <c r="E21" s="155">
        <f t="shared" si="3"/>
        <v>141142.86783312797</v>
      </c>
      <c r="F21" s="155">
        <f t="shared" si="3"/>
        <v>142076.34754312533</v>
      </c>
      <c r="G21" s="155">
        <f t="shared" si="3"/>
        <v>143154.7851842895</v>
      </c>
      <c r="H21" s="155">
        <f t="shared" si="3"/>
        <v>139715.54127505358</v>
      </c>
      <c r="I21" s="155">
        <f t="shared" si="3"/>
        <v>140752.18467834528</v>
      </c>
      <c r="J21" s="155">
        <f t="shared" si="3"/>
        <v>141757.3954426559</v>
      </c>
      <c r="K21" s="155">
        <f t="shared" si="3"/>
        <v>142722.85607103878</v>
      </c>
      <c r="L21" s="155">
        <f t="shared" si="3"/>
        <v>141156.129849902</v>
      </c>
    </row>
    <row r="22" spans="1:12" s="12" customFormat="1" ht="15" customHeight="1" thickTop="1">
      <c r="A22" s="92" t="s">
        <v>72</v>
      </c>
      <c r="B22" s="150"/>
      <c r="C22" s="151">
        <f aca="true" t="shared" si="4" ref="C22:L22">+C9-C21</f>
        <v>-8963.9961837749</v>
      </c>
      <c r="D22" s="151">
        <f t="shared" si="4"/>
        <v>-1900.7564912283851</v>
      </c>
      <c r="E22" s="151">
        <f t="shared" si="4"/>
        <v>1145.992092574219</v>
      </c>
      <c r="F22" s="151">
        <f t="shared" si="4"/>
        <v>41120.55961121622</v>
      </c>
      <c r="G22" s="151">
        <f t="shared" si="4"/>
        <v>45538.029184682295</v>
      </c>
      <c r="H22" s="151">
        <f t="shared" si="4"/>
        <v>54638.05752498738</v>
      </c>
      <c r="I22" s="151">
        <f t="shared" si="4"/>
        <v>99468.86343850533</v>
      </c>
      <c r="J22" s="151">
        <f t="shared" si="4"/>
        <v>105670.2841177003</v>
      </c>
      <c r="K22" s="151">
        <f t="shared" si="4"/>
        <v>112127.65387612808</v>
      </c>
      <c r="L22" s="151">
        <f t="shared" si="4"/>
        <v>121339.8953956798</v>
      </c>
    </row>
    <row r="23" spans="1:12" s="8" customFormat="1" ht="15" customHeight="1" thickBot="1">
      <c r="A23" s="87" t="s">
        <v>73</v>
      </c>
      <c r="B23" s="126"/>
      <c r="C23" s="154">
        <v>0</v>
      </c>
      <c r="D23" s="154">
        <f>D22*0.15</f>
        <v>-285.11347368425777</v>
      </c>
      <c r="E23" s="154">
        <f>E22*0.15</f>
        <v>171.89881388613284</v>
      </c>
      <c r="F23" s="154">
        <f>F22*0.15</f>
        <v>6168.083941682432</v>
      </c>
      <c r="G23" s="154">
        <f aca="true" t="shared" si="5" ref="G23:L23">G22*0.15</f>
        <v>6830.704377702344</v>
      </c>
      <c r="H23" s="154">
        <f t="shared" si="5"/>
        <v>8195.708628748107</v>
      </c>
      <c r="I23" s="154">
        <f t="shared" si="5"/>
        <v>14920.329515775798</v>
      </c>
      <c r="J23" s="154">
        <f t="shared" si="5"/>
        <v>15850.542617655045</v>
      </c>
      <c r="K23" s="154">
        <f t="shared" si="5"/>
        <v>16819.14808141921</v>
      </c>
      <c r="L23" s="154">
        <f t="shared" si="5"/>
        <v>18200.98430935197</v>
      </c>
    </row>
    <row r="24" spans="1:12" s="12" customFormat="1" ht="15" customHeight="1" thickTop="1">
      <c r="A24" s="92" t="s">
        <v>74</v>
      </c>
      <c r="B24" s="150"/>
      <c r="C24" s="151">
        <f>C22-C23</f>
        <v>-8963.9961837749</v>
      </c>
      <c r="D24" s="151">
        <f aca="true" t="shared" si="6" ref="D24:L24">D22-D23</f>
        <v>-1615.6430175441274</v>
      </c>
      <c r="E24" s="151">
        <f t="shared" si="6"/>
        <v>974.0932786880861</v>
      </c>
      <c r="F24" s="151">
        <f t="shared" si="6"/>
        <v>34952.475669533786</v>
      </c>
      <c r="G24" s="151">
        <f t="shared" si="6"/>
        <v>38707.32480697995</v>
      </c>
      <c r="H24" s="151">
        <f t="shared" si="6"/>
        <v>46442.34889623927</v>
      </c>
      <c r="I24" s="151">
        <f t="shared" si="6"/>
        <v>84548.53392272953</v>
      </c>
      <c r="J24" s="151">
        <f t="shared" si="6"/>
        <v>89819.74150004526</v>
      </c>
      <c r="K24" s="151">
        <f t="shared" si="6"/>
        <v>95308.50579470888</v>
      </c>
      <c r="L24" s="151">
        <f t="shared" si="6"/>
        <v>103138.91108632783</v>
      </c>
    </row>
    <row r="25" spans="1:12" s="8" customFormat="1" ht="15" customHeight="1" thickBot="1">
      <c r="A25" s="87" t="s">
        <v>91</v>
      </c>
      <c r="B25" s="126"/>
      <c r="C25" s="154">
        <v>0</v>
      </c>
      <c r="D25" s="154">
        <f>+D24*0.25</f>
        <v>-403.91075438603184</v>
      </c>
      <c r="E25" s="154">
        <f>+E24*0.25</f>
        <v>243.52331967202153</v>
      </c>
      <c r="F25" s="154">
        <f>+F24*0.25</f>
        <v>8738.118917383446</v>
      </c>
      <c r="G25" s="154">
        <f aca="true" t="shared" si="7" ref="G25:L25">+G24*0.25</f>
        <v>9676.831201744988</v>
      </c>
      <c r="H25" s="154">
        <f t="shared" si="7"/>
        <v>11610.587224059818</v>
      </c>
      <c r="I25" s="154">
        <f t="shared" si="7"/>
        <v>21137.133480682383</v>
      </c>
      <c r="J25" s="154">
        <f t="shared" si="7"/>
        <v>22454.935375011315</v>
      </c>
      <c r="K25" s="154">
        <f t="shared" si="7"/>
        <v>23827.12644867722</v>
      </c>
      <c r="L25" s="154">
        <f t="shared" si="7"/>
        <v>25784.72777158196</v>
      </c>
    </row>
    <row r="26" spans="1:12" s="12" customFormat="1" ht="15" customHeight="1" thickTop="1">
      <c r="A26" s="92" t="s">
        <v>92</v>
      </c>
      <c r="B26" s="150"/>
      <c r="C26" s="151">
        <f>+C24-C25</f>
        <v>-8963.9961837749</v>
      </c>
      <c r="D26" s="151">
        <f aca="true" t="shared" si="8" ref="D26:L26">+D24-D25</f>
        <v>-1211.7322631580955</v>
      </c>
      <c r="E26" s="151">
        <f t="shared" si="8"/>
        <v>730.5699590160646</v>
      </c>
      <c r="F26" s="151">
        <f t="shared" si="8"/>
        <v>26214.35675215034</v>
      </c>
      <c r="G26" s="151">
        <f t="shared" si="8"/>
        <v>29030.493605234966</v>
      </c>
      <c r="H26" s="151">
        <f t="shared" si="8"/>
        <v>34831.761672179455</v>
      </c>
      <c r="I26" s="151">
        <f t="shared" si="8"/>
        <v>63411.40044204715</v>
      </c>
      <c r="J26" s="151">
        <f t="shared" si="8"/>
        <v>67364.80612503394</v>
      </c>
      <c r="K26" s="151">
        <f t="shared" si="8"/>
        <v>71481.37934603167</v>
      </c>
      <c r="L26" s="151">
        <f t="shared" si="8"/>
        <v>77354.18331474587</v>
      </c>
    </row>
    <row r="27" spans="1:12" s="8" customFormat="1" ht="15" customHeight="1">
      <c r="A27" s="87" t="s">
        <v>76</v>
      </c>
      <c r="B27" s="126"/>
      <c r="C27" s="126">
        <f>+C20</f>
        <v>10523</v>
      </c>
      <c r="D27" s="126">
        <f aca="true" t="shared" si="9" ref="D27:L27">+D20</f>
        <v>10523</v>
      </c>
      <c r="E27" s="126">
        <f t="shared" si="9"/>
        <v>10523</v>
      </c>
      <c r="F27" s="126">
        <f t="shared" si="9"/>
        <v>10366</v>
      </c>
      <c r="G27" s="126">
        <f t="shared" si="9"/>
        <v>10366</v>
      </c>
      <c r="H27" s="126">
        <f t="shared" si="9"/>
        <v>5866</v>
      </c>
      <c r="I27" s="126">
        <f t="shared" si="9"/>
        <v>5866</v>
      </c>
      <c r="J27" s="126">
        <f t="shared" si="9"/>
        <v>5866</v>
      </c>
      <c r="K27" s="126">
        <f t="shared" si="9"/>
        <v>5866</v>
      </c>
      <c r="L27" s="126">
        <f t="shared" si="9"/>
        <v>3383</v>
      </c>
    </row>
    <row r="28" spans="1:12" s="8" customFormat="1" ht="15.75" customHeight="1">
      <c r="A28" s="87" t="s">
        <v>112</v>
      </c>
      <c r="B28" s="126">
        <f>-'Inver.inicial'!C24</f>
        <v>-144170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s="8" customFormat="1" ht="15.75" customHeight="1">
      <c r="A29" s="87" t="s">
        <v>225</v>
      </c>
      <c r="B29" s="160">
        <f>+'Amort. DEUDA'!D6</f>
        <v>60000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8" customFormat="1" ht="15" customHeight="1">
      <c r="A30" s="87" t="s">
        <v>227</v>
      </c>
      <c r="B30" s="126"/>
      <c r="C30" s="161">
        <f>-'Amort. DEUDA'!H25</f>
        <v>-3453.394588784831</v>
      </c>
      <c r="D30" s="161">
        <f>-'Amort. DEUDA'!H37</f>
        <v>-3860.660369232016</v>
      </c>
      <c r="E30" s="161">
        <f>-'Amort. DEUDA'!H49</f>
        <v>-4315.955823572219</v>
      </c>
      <c r="F30" s="161">
        <f>-'Amort. DEUDA'!H61</f>
        <v>-4824.945187999645</v>
      </c>
      <c r="G30" s="161">
        <f>-'Amort. DEUDA'!H73</f>
        <v>-5393.9606934930425</v>
      </c>
      <c r="H30" s="161">
        <f>-'Amort. DEUDA'!H85</f>
        <v>-6030.081343786257</v>
      </c>
      <c r="I30" s="161">
        <f>-'Amort. DEUDA'!H97</f>
        <v>-6741.220983783571</v>
      </c>
      <c r="J30" s="161">
        <f>-'Amort. DEUDA'!H109</f>
        <v>-7536.226754060641</v>
      </c>
      <c r="K30" s="161">
        <f>-'Amort. DEUDA'!H121</f>
        <v>-8424.989156303083</v>
      </c>
      <c r="L30" s="161">
        <f>-'Amort. DEUDA'!H133</f>
        <v>-9418.565098983932</v>
      </c>
    </row>
    <row r="31" spans="1:12" s="8" customFormat="1" ht="15.75" customHeight="1">
      <c r="A31" s="87" t="s">
        <v>111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>
        <f>+Depr!H13</f>
        <v>19000</v>
      </c>
    </row>
    <row r="32" spans="1:12" s="8" customFormat="1" ht="15.75" customHeight="1" thickBot="1">
      <c r="A32" s="87" t="s">
        <v>77</v>
      </c>
      <c r="B32" s="154">
        <f>-Cap_Trab!C23</f>
        <v>3445.6900000000005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>
        <f>-B32</f>
        <v>-3445.6900000000005</v>
      </c>
    </row>
    <row r="33" spans="1:12" s="12" customFormat="1" ht="17.25" customHeight="1" thickTop="1">
      <c r="A33" s="17" t="s">
        <v>150</v>
      </c>
      <c r="B33" s="156">
        <f>SUM(B28:B32)</f>
        <v>-80724.31</v>
      </c>
      <c r="C33" s="156">
        <f aca="true" t="shared" si="10" ref="C33:L33">SUM(C26:C32)</f>
        <v>-1894.3907725597305</v>
      </c>
      <c r="D33" s="156">
        <f t="shared" si="10"/>
        <v>5450.607367609889</v>
      </c>
      <c r="E33" s="156">
        <f t="shared" si="10"/>
        <v>6937.614135443845</v>
      </c>
      <c r="F33" s="156">
        <f t="shared" si="10"/>
        <v>31755.411564150698</v>
      </c>
      <c r="G33" s="156">
        <f t="shared" si="10"/>
        <v>34002.532911741924</v>
      </c>
      <c r="H33" s="156">
        <f t="shared" si="10"/>
        <v>34667.680328393195</v>
      </c>
      <c r="I33" s="156">
        <f t="shared" si="10"/>
        <v>62536.17945826358</v>
      </c>
      <c r="J33" s="156">
        <f t="shared" si="10"/>
        <v>65694.5793709733</v>
      </c>
      <c r="K33" s="156">
        <f t="shared" si="10"/>
        <v>68922.39018972858</v>
      </c>
      <c r="L33" s="156">
        <f t="shared" si="10"/>
        <v>86872.92821576193</v>
      </c>
    </row>
    <row r="34" spans="1:12" s="8" customFormat="1" ht="15.75" customHeight="1">
      <c r="A34" s="2"/>
      <c r="B34" s="223"/>
      <c r="C34" s="224"/>
      <c r="D34" s="231"/>
      <c r="E34" s="157"/>
      <c r="F34" s="157"/>
      <c r="G34" s="157"/>
      <c r="H34" s="158"/>
      <c r="I34" s="158"/>
      <c r="J34" s="159"/>
      <c r="K34" s="158"/>
      <c r="L34" s="158"/>
    </row>
    <row r="35" spans="1:8" s="27" customFormat="1" ht="15" customHeight="1">
      <c r="A35" s="203" t="s">
        <v>78</v>
      </c>
      <c r="B35" s="204">
        <f>IRR(B33:L33)</f>
        <v>0.25176892141637836</v>
      </c>
      <c r="C35" s="147"/>
      <c r="D35" s="232"/>
      <c r="E35" s="147"/>
      <c r="F35" s="147"/>
      <c r="G35" s="147"/>
      <c r="H35" s="145"/>
    </row>
    <row r="36" spans="1:8" s="8" customFormat="1" ht="15.75" customHeight="1">
      <c r="A36" s="257" t="s">
        <v>277</v>
      </c>
      <c r="B36" s="258">
        <f>NPV(B37,C33:L33)+B33</f>
        <v>50829.74931441713</v>
      </c>
      <c r="C36" s="225"/>
      <c r="D36" s="149"/>
      <c r="E36" s="278"/>
      <c r="F36" s="148"/>
      <c r="G36" s="148"/>
      <c r="H36" s="146"/>
    </row>
    <row r="37" spans="1:8" s="8" customFormat="1" ht="15.75" customHeight="1">
      <c r="A37" s="203" t="s">
        <v>131</v>
      </c>
      <c r="B37" s="205">
        <f>+B44</f>
        <v>0.164104</v>
      </c>
      <c r="C37" s="148"/>
      <c r="D37" s="148"/>
      <c r="E37" s="148"/>
      <c r="F37" s="148"/>
      <c r="G37" s="148"/>
      <c r="H37" s="146"/>
    </row>
    <row r="38" spans="2:8" s="27" customFormat="1" ht="15.75" customHeight="1">
      <c r="B38" s="228"/>
      <c r="C38" s="226"/>
      <c r="D38" s="28"/>
      <c r="E38" s="147"/>
      <c r="F38" s="147"/>
      <c r="G38" s="147"/>
      <c r="H38" s="145"/>
    </row>
    <row r="39" spans="1:7" s="8" customFormat="1" ht="16.5" customHeight="1">
      <c r="A39" s="92" t="s">
        <v>153</v>
      </c>
      <c r="B39" s="102">
        <v>0.0369</v>
      </c>
      <c r="C39" s="227"/>
      <c r="D39" s="6"/>
      <c r="E39" s="6"/>
      <c r="F39" s="6"/>
      <c r="G39" s="6"/>
    </row>
    <row r="40" spans="1:7" s="8" customFormat="1" ht="15.75" customHeight="1">
      <c r="A40" s="92" t="s">
        <v>154</v>
      </c>
      <c r="B40" s="101">
        <v>0.72</v>
      </c>
      <c r="C40" s="229"/>
      <c r="D40" s="6"/>
      <c r="E40" s="6"/>
      <c r="F40" s="6"/>
      <c r="G40" s="6"/>
    </row>
    <row r="41" spans="1:7" s="8" customFormat="1" ht="15.75" customHeight="1">
      <c r="A41" s="92" t="s">
        <v>151</v>
      </c>
      <c r="B41" s="256">
        <v>0.0632</v>
      </c>
      <c r="C41" s="229"/>
      <c r="D41" s="6"/>
      <c r="E41" s="6"/>
      <c r="F41" s="6"/>
      <c r="G41" s="6"/>
    </row>
    <row r="42" spans="1:7" s="8" customFormat="1" ht="17.25" customHeight="1">
      <c r="A42" s="92" t="s">
        <v>152</v>
      </c>
      <c r="B42" s="102">
        <f>B39+B40*(B41)</f>
        <v>0.082404</v>
      </c>
      <c r="C42" s="13"/>
      <c r="D42" s="6"/>
      <c r="E42" s="6"/>
      <c r="F42" s="6"/>
      <c r="G42" s="6"/>
    </row>
    <row r="43" spans="1:7" s="8" customFormat="1" ht="16.5" customHeight="1">
      <c r="A43" s="92" t="s">
        <v>278</v>
      </c>
      <c r="B43" s="273">
        <v>0.0817</v>
      </c>
      <c r="C43" s="230"/>
      <c r="D43" s="6"/>
      <c r="E43" s="6"/>
      <c r="F43" s="6"/>
      <c r="G43" s="6"/>
    </row>
    <row r="44" spans="1:7" s="8" customFormat="1" ht="18" customHeight="1">
      <c r="A44" s="274" t="s">
        <v>279</v>
      </c>
      <c r="B44" s="275">
        <f>+B43+B42</f>
        <v>0.164104</v>
      </c>
      <c r="C44" s="6"/>
      <c r="D44" s="6"/>
      <c r="E44" s="6"/>
      <c r="F44" s="6"/>
      <c r="G44" s="6"/>
    </row>
    <row r="45" spans="2:7" s="8" customFormat="1" ht="12.75">
      <c r="B45" s="6"/>
      <c r="C45" s="6"/>
      <c r="D45" s="6"/>
      <c r="E45" s="6"/>
      <c r="F45" s="6"/>
      <c r="G45" s="6"/>
    </row>
  </sheetData>
  <sheetProtection/>
  <mergeCells count="1">
    <mergeCell ref="A2:L2"/>
  </mergeCells>
  <printOptions horizontalCentered="1" verticalCentered="1"/>
  <pageMargins left="0.57" right="0.42" top="0.5905511811023623" bottom="0.5905511811023623" header="0" footer="0.3937007874015748"/>
  <pageSetup fitToHeight="1" fitToWidth="1"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F15"/>
  <sheetViews>
    <sheetView zoomScalePageLayoutView="0" workbookViewId="0" topLeftCell="A1">
      <selection activeCell="B3" sqref="B3:F15"/>
    </sheetView>
  </sheetViews>
  <sheetFormatPr defaultColWidth="11.421875" defaultRowHeight="12.75"/>
  <cols>
    <col min="1" max="1" width="4.8515625" style="68" customWidth="1"/>
    <col min="2" max="2" width="8.28125" style="68" customWidth="1"/>
    <col min="3" max="3" width="10.8515625" style="68" bestFit="1" customWidth="1"/>
    <col min="4" max="4" width="10.28125" style="68" bestFit="1" customWidth="1"/>
    <col min="5" max="5" width="12.140625" style="68" customWidth="1"/>
    <col min="6" max="6" width="13.7109375" style="68" customWidth="1"/>
    <col min="7" max="16384" width="11.421875" style="68" customWidth="1"/>
  </cols>
  <sheetData>
    <row r="1" ht="12.75">
      <c r="C1" s="69">
        <f>+'FLUJO CAJA'!B37</f>
        <v>0.164104</v>
      </c>
    </row>
    <row r="3" spans="2:6" ht="23.25" customHeight="1">
      <c r="B3" s="316" t="s">
        <v>156</v>
      </c>
      <c r="C3" s="316"/>
      <c r="D3" s="316"/>
      <c r="E3" s="316"/>
      <c r="F3" s="316"/>
    </row>
    <row r="4" spans="2:6" ht="15" customHeight="1">
      <c r="B4" s="264" t="s">
        <v>132</v>
      </c>
      <c r="C4" s="265" t="s">
        <v>133</v>
      </c>
      <c r="D4" s="266" t="s">
        <v>134</v>
      </c>
      <c r="E4" s="265" t="s">
        <v>135</v>
      </c>
      <c r="F4" s="267" t="s">
        <v>136</v>
      </c>
    </row>
    <row r="5" spans="2:6" ht="12.75">
      <c r="B5" s="268" t="s">
        <v>137</v>
      </c>
      <c r="C5" s="269" t="s">
        <v>138</v>
      </c>
      <c r="D5" s="270" t="s">
        <v>139</v>
      </c>
      <c r="E5" s="269" t="s">
        <v>140</v>
      </c>
      <c r="F5" s="271" t="s">
        <v>141</v>
      </c>
    </row>
    <row r="6" spans="2:6" ht="12.75">
      <c r="B6" s="93">
        <v>1</v>
      </c>
      <c r="C6" s="94">
        <f>-'FLUJO CAJA'!B33</f>
        <v>80724.31</v>
      </c>
      <c r="D6" s="95">
        <f>+'FLUJO CAJA'!C33</f>
        <v>-1894.3907725597305</v>
      </c>
      <c r="E6" s="96">
        <f aca="true" t="shared" si="0" ref="E6:E15">+C6*$C$1</f>
        <v>13247.18216824</v>
      </c>
      <c r="F6" s="97">
        <f aca="true" t="shared" si="1" ref="F6:F15">+D6-E6</f>
        <v>-15141.572940799731</v>
      </c>
    </row>
    <row r="7" spans="2:6" ht="12.75">
      <c r="B7" s="93">
        <v>2</v>
      </c>
      <c r="C7" s="94">
        <f aca="true" t="shared" si="2" ref="C7:C15">C6-F6</f>
        <v>95865.88294079973</v>
      </c>
      <c r="D7" s="95">
        <f>+'FLUJO CAJA'!D33</f>
        <v>5450.607367609889</v>
      </c>
      <c r="E7" s="96">
        <f t="shared" si="0"/>
        <v>15731.974854116997</v>
      </c>
      <c r="F7" s="97">
        <f t="shared" si="1"/>
        <v>-10281.367486507108</v>
      </c>
    </row>
    <row r="8" spans="2:6" ht="12.75">
      <c r="B8" s="93">
        <v>3</v>
      </c>
      <c r="C8" s="94">
        <f t="shared" si="2"/>
        <v>106147.25042730683</v>
      </c>
      <c r="D8" s="95">
        <f>+'FLUJO CAJA'!E33</f>
        <v>6937.614135443845</v>
      </c>
      <c r="E8" s="96">
        <f t="shared" si="0"/>
        <v>17419.18838412276</v>
      </c>
      <c r="F8" s="97">
        <f t="shared" si="1"/>
        <v>-10481.574248678917</v>
      </c>
    </row>
    <row r="9" spans="2:6" ht="12.75">
      <c r="B9" s="259">
        <v>4</v>
      </c>
      <c r="C9" s="260">
        <f t="shared" si="2"/>
        <v>116628.82467598576</v>
      </c>
      <c r="D9" s="261">
        <f>+'FLUJO CAJA'!F33</f>
        <v>31755.411564150698</v>
      </c>
      <c r="E9" s="262">
        <f t="shared" si="0"/>
        <v>19139.256644627967</v>
      </c>
      <c r="F9" s="263">
        <f t="shared" si="1"/>
        <v>12616.15491952273</v>
      </c>
    </row>
    <row r="10" spans="2:6" ht="12.75">
      <c r="B10" s="167">
        <v>5</v>
      </c>
      <c r="C10" s="163">
        <f t="shared" si="2"/>
        <v>104012.66975646303</v>
      </c>
      <c r="D10" s="164">
        <f>+'FLUJO CAJA'!G33</f>
        <v>34002.532911741924</v>
      </c>
      <c r="E10" s="165">
        <f t="shared" si="0"/>
        <v>17068.89515771461</v>
      </c>
      <c r="F10" s="166">
        <f t="shared" si="1"/>
        <v>16933.637754027313</v>
      </c>
    </row>
    <row r="11" spans="2:6" ht="12.75">
      <c r="B11" s="187">
        <v>6</v>
      </c>
      <c r="C11" s="163">
        <f t="shared" si="2"/>
        <v>87079.03200243572</v>
      </c>
      <c r="D11" s="164">
        <f>+'FLUJO CAJA'!H33</f>
        <v>34667.680328393195</v>
      </c>
      <c r="E11" s="165">
        <f t="shared" si="0"/>
        <v>14290.017467727712</v>
      </c>
      <c r="F11" s="166">
        <f t="shared" si="1"/>
        <v>20377.662860665485</v>
      </c>
    </row>
    <row r="12" spans="2:6" ht="12.75">
      <c r="B12" s="98">
        <v>7</v>
      </c>
      <c r="C12" s="94">
        <f t="shared" si="2"/>
        <v>66701.36914177024</v>
      </c>
      <c r="D12" s="95">
        <f>+'FLUJO CAJA'!I33</f>
        <v>62536.17945826358</v>
      </c>
      <c r="E12" s="96">
        <f t="shared" si="0"/>
        <v>10945.961481641063</v>
      </c>
      <c r="F12" s="97">
        <f t="shared" si="1"/>
        <v>51590.217976622516</v>
      </c>
    </row>
    <row r="13" spans="2:6" ht="12.75">
      <c r="B13" s="187">
        <v>8</v>
      </c>
      <c r="C13" s="163">
        <f t="shared" si="2"/>
        <v>15111.15116514772</v>
      </c>
      <c r="D13" s="164">
        <f>+'FLUJO CAJA'!J33</f>
        <v>65694.5793709733</v>
      </c>
      <c r="E13" s="165">
        <f t="shared" si="0"/>
        <v>2479.800350805401</v>
      </c>
      <c r="F13" s="166">
        <f t="shared" si="1"/>
        <v>63214.779020167894</v>
      </c>
    </row>
    <row r="14" spans="2:6" ht="12.75">
      <c r="B14" s="98">
        <v>9</v>
      </c>
      <c r="C14" s="94">
        <f t="shared" si="2"/>
        <v>-48103.627855020175</v>
      </c>
      <c r="D14" s="95">
        <f>+'FLUJO CAJA'!K33</f>
        <v>68922.39018972858</v>
      </c>
      <c r="E14" s="96">
        <f t="shared" si="0"/>
        <v>-7893.997745520231</v>
      </c>
      <c r="F14" s="97">
        <f t="shared" si="1"/>
        <v>76816.38793524881</v>
      </c>
    </row>
    <row r="15" spans="2:6" ht="12.75">
      <c r="B15" s="98">
        <v>10</v>
      </c>
      <c r="C15" s="94">
        <f t="shared" si="2"/>
        <v>-124920.01579026898</v>
      </c>
      <c r="D15" s="95">
        <f>+'FLUJO CAJA'!L33</f>
        <v>86872.92821576193</v>
      </c>
      <c r="E15" s="96">
        <f t="shared" si="0"/>
        <v>-20499.874271246303</v>
      </c>
      <c r="F15" s="97">
        <f t="shared" si="1"/>
        <v>107372.80248700823</v>
      </c>
    </row>
  </sheetData>
  <sheetProtection/>
  <mergeCells count="1">
    <mergeCell ref="B3:F3"/>
  </mergeCells>
  <printOptions/>
  <pageMargins left="0.75" right="0.75" top="1" bottom="1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4:I133"/>
  <sheetViews>
    <sheetView zoomScalePageLayoutView="0" workbookViewId="0" topLeftCell="A104">
      <selection activeCell="M114" sqref="M114"/>
    </sheetView>
  </sheetViews>
  <sheetFormatPr defaultColWidth="11.421875" defaultRowHeight="12.75"/>
  <cols>
    <col min="1" max="1" width="4.421875" style="0" customWidth="1"/>
  </cols>
  <sheetData>
    <row r="4" ht="12.75">
      <c r="B4" t="s">
        <v>231</v>
      </c>
    </row>
    <row r="6" spans="2:5" ht="12.75">
      <c r="B6" t="s">
        <v>232</v>
      </c>
      <c r="D6" s="174">
        <v>60000</v>
      </c>
      <c r="E6" s="174"/>
    </row>
    <row r="7" spans="2:4" ht="12.75">
      <c r="B7" t="s">
        <v>233</v>
      </c>
      <c r="D7">
        <v>10</v>
      </c>
    </row>
    <row r="8" spans="2:5" ht="12.75">
      <c r="B8" t="s">
        <v>234</v>
      </c>
      <c r="D8" s="175">
        <v>0.112</v>
      </c>
      <c r="E8" s="175"/>
    </row>
    <row r="9" spans="2:4" ht="12.75">
      <c r="B9" t="s">
        <v>235</v>
      </c>
      <c r="D9">
        <f>+D7*12</f>
        <v>120</v>
      </c>
    </row>
    <row r="10" spans="2:4" ht="12.75">
      <c r="B10" t="s">
        <v>236</v>
      </c>
      <c r="D10">
        <v>12</v>
      </c>
    </row>
    <row r="12" spans="1:8" ht="12.75">
      <c r="A12" s="176"/>
      <c r="B12" s="176" t="s">
        <v>237</v>
      </c>
      <c r="C12" s="176" t="s">
        <v>238</v>
      </c>
      <c r="D12" s="176" t="s">
        <v>239</v>
      </c>
      <c r="E12" s="176" t="s">
        <v>240</v>
      </c>
      <c r="F12" s="176" t="s">
        <v>133</v>
      </c>
      <c r="G12" s="176" t="s">
        <v>241</v>
      </c>
      <c r="H12" s="176" t="s">
        <v>239</v>
      </c>
    </row>
    <row r="13" spans="1:6" ht="12.75">
      <c r="A13" s="1"/>
      <c r="B13" s="1"/>
      <c r="C13" s="1"/>
      <c r="D13" s="1"/>
      <c r="E13" s="1"/>
      <c r="F13" s="103">
        <f>+D6</f>
        <v>60000</v>
      </c>
    </row>
    <row r="14" spans="1:6" ht="12.75">
      <c r="A14" s="1">
        <v>1</v>
      </c>
      <c r="B14" s="177">
        <f>+$D$8/$D$10</f>
        <v>0.009333333333333334</v>
      </c>
      <c r="C14" s="178">
        <f>-IPMT($D$8/12,1,$D$9,F13)</f>
        <v>560</v>
      </c>
      <c r="D14" s="178">
        <f>+E14-C14</f>
        <v>273.3073202116301</v>
      </c>
      <c r="E14" s="178">
        <f>-PMT($D$8/$D$10,$D$9,$D$6)</f>
        <v>833.3073202116301</v>
      </c>
      <c r="F14" s="178">
        <f>+F13-D14</f>
        <v>59726.69267978837</v>
      </c>
    </row>
    <row r="15" spans="1:6" ht="12.75">
      <c r="A15" s="1">
        <v>2</v>
      </c>
      <c r="B15" s="177">
        <f aca="true" t="shared" si="0" ref="B15:B78">+$D$8/$D$10</f>
        <v>0.009333333333333334</v>
      </c>
      <c r="C15" s="178">
        <f aca="true" t="shared" si="1" ref="C15:C78">-IPMT($D$8/12,1,$D$9,F14)</f>
        <v>557.4491316780249</v>
      </c>
      <c r="D15" s="178">
        <f aca="true" t="shared" si="2" ref="D15:D78">+E15-C15</f>
        <v>275.85818853360524</v>
      </c>
      <c r="E15" s="178">
        <f aca="true" t="shared" si="3" ref="E15:E78">-PMT($D$8/$D$10,$D$9,$D$6)</f>
        <v>833.3073202116301</v>
      </c>
      <c r="F15" s="178">
        <f aca="true" t="shared" si="4" ref="F15:F78">+F14-D15</f>
        <v>59450.83449125477</v>
      </c>
    </row>
    <row r="16" spans="1:6" ht="12.75">
      <c r="A16" s="1">
        <v>3</v>
      </c>
      <c r="B16" s="177">
        <f t="shared" si="0"/>
        <v>0.009333333333333334</v>
      </c>
      <c r="C16" s="178">
        <f t="shared" si="1"/>
        <v>554.8744552517112</v>
      </c>
      <c r="D16" s="178">
        <f t="shared" si="2"/>
        <v>278.4328649599189</v>
      </c>
      <c r="E16" s="178">
        <f t="shared" si="3"/>
        <v>833.3073202116301</v>
      </c>
      <c r="F16" s="178">
        <f t="shared" si="4"/>
        <v>59172.40162629485</v>
      </c>
    </row>
    <row r="17" spans="1:6" ht="12.75">
      <c r="A17" s="1">
        <v>4</v>
      </c>
      <c r="B17" s="177">
        <f t="shared" si="0"/>
        <v>0.009333333333333334</v>
      </c>
      <c r="C17" s="178">
        <f t="shared" si="1"/>
        <v>552.2757485120853</v>
      </c>
      <c r="D17" s="178">
        <f t="shared" si="2"/>
        <v>281.03157169954477</v>
      </c>
      <c r="E17" s="178">
        <f t="shared" si="3"/>
        <v>833.3073202116301</v>
      </c>
      <c r="F17" s="178">
        <f t="shared" si="4"/>
        <v>58891.3700545953</v>
      </c>
    </row>
    <row r="18" spans="1:6" ht="12.75">
      <c r="A18" s="1">
        <v>5</v>
      </c>
      <c r="B18" s="177">
        <f t="shared" si="0"/>
        <v>0.009333333333333334</v>
      </c>
      <c r="C18" s="178">
        <f t="shared" si="1"/>
        <v>549.6527871762229</v>
      </c>
      <c r="D18" s="178">
        <f t="shared" si="2"/>
        <v>283.6545330354072</v>
      </c>
      <c r="E18" s="178">
        <f t="shared" si="3"/>
        <v>833.3073202116301</v>
      </c>
      <c r="F18" s="178">
        <f t="shared" si="4"/>
        <v>58607.7155215599</v>
      </c>
    </row>
    <row r="19" spans="1:6" ht="12.75">
      <c r="A19" s="1">
        <v>6</v>
      </c>
      <c r="B19" s="177">
        <f t="shared" si="0"/>
        <v>0.009333333333333334</v>
      </c>
      <c r="C19" s="178">
        <f t="shared" si="1"/>
        <v>547.0053448678924</v>
      </c>
      <c r="D19" s="178">
        <f t="shared" si="2"/>
        <v>286.3019753437377</v>
      </c>
      <c r="E19" s="178">
        <f t="shared" si="3"/>
        <v>833.3073202116301</v>
      </c>
      <c r="F19" s="178">
        <f t="shared" si="4"/>
        <v>58321.41354621616</v>
      </c>
    </row>
    <row r="20" spans="1:6" ht="12.75">
      <c r="A20" s="1">
        <v>7</v>
      </c>
      <c r="B20" s="177">
        <f t="shared" si="0"/>
        <v>0.009333333333333334</v>
      </c>
      <c r="C20" s="178">
        <f t="shared" si="1"/>
        <v>544.3331930980175</v>
      </c>
      <c r="D20" s="178">
        <f t="shared" si="2"/>
        <v>288.97412711361255</v>
      </c>
      <c r="E20" s="178">
        <f t="shared" si="3"/>
        <v>833.3073202116301</v>
      </c>
      <c r="F20" s="178">
        <f t="shared" si="4"/>
        <v>58032.43941910254</v>
      </c>
    </row>
    <row r="21" spans="1:6" ht="12.75">
      <c r="A21" s="1">
        <v>8</v>
      </c>
      <c r="B21" s="177">
        <f t="shared" si="0"/>
        <v>0.009333333333333334</v>
      </c>
      <c r="C21" s="178">
        <f t="shared" si="1"/>
        <v>541.6361012449571</v>
      </c>
      <c r="D21" s="178">
        <f t="shared" si="2"/>
        <v>291.671218966673</v>
      </c>
      <c r="E21" s="178">
        <f t="shared" si="3"/>
        <v>833.3073202116301</v>
      </c>
      <c r="F21" s="178">
        <f t="shared" si="4"/>
        <v>57740.76820013587</v>
      </c>
    </row>
    <row r="22" spans="1:6" ht="12.75">
      <c r="A22" s="1">
        <v>9</v>
      </c>
      <c r="B22" s="177">
        <f t="shared" si="0"/>
        <v>0.009333333333333334</v>
      </c>
      <c r="C22" s="178">
        <f t="shared" si="1"/>
        <v>538.9138365346015</v>
      </c>
      <c r="D22" s="178">
        <f t="shared" si="2"/>
        <v>294.3934836770286</v>
      </c>
      <c r="E22" s="178">
        <f t="shared" si="3"/>
        <v>833.3073202116301</v>
      </c>
      <c r="F22" s="178">
        <f t="shared" si="4"/>
        <v>57446.37471645884</v>
      </c>
    </row>
    <row r="23" spans="1:6" ht="12.75">
      <c r="A23" s="1">
        <v>10</v>
      </c>
      <c r="B23" s="177">
        <f t="shared" si="0"/>
        <v>0.009333333333333334</v>
      </c>
      <c r="C23" s="178">
        <f t="shared" si="1"/>
        <v>536.1661640202826</v>
      </c>
      <c r="D23" s="178">
        <f t="shared" si="2"/>
        <v>297.1411561913475</v>
      </c>
      <c r="E23" s="178">
        <f t="shared" si="3"/>
        <v>833.3073202116301</v>
      </c>
      <c r="F23" s="178">
        <f t="shared" si="4"/>
        <v>57149.233560267494</v>
      </c>
    </row>
    <row r="24" spans="1:6" ht="12.75">
      <c r="A24" s="1">
        <v>11</v>
      </c>
      <c r="B24" s="177">
        <f t="shared" si="0"/>
        <v>0.009333333333333334</v>
      </c>
      <c r="C24" s="178">
        <f t="shared" si="1"/>
        <v>533.3928465624966</v>
      </c>
      <c r="D24" s="178">
        <f t="shared" si="2"/>
        <v>299.91447364913347</v>
      </c>
      <c r="E24" s="178">
        <f t="shared" si="3"/>
        <v>833.3073202116301</v>
      </c>
      <c r="F24" s="178">
        <f t="shared" si="4"/>
        <v>56849.31908661836</v>
      </c>
    </row>
    <row r="25" spans="1:9" ht="12.75">
      <c r="A25" s="1">
        <v>12</v>
      </c>
      <c r="B25" s="177">
        <f t="shared" si="0"/>
        <v>0.009333333333333334</v>
      </c>
      <c r="C25" s="178">
        <f t="shared" si="1"/>
        <v>530.5936448084381</v>
      </c>
      <c r="D25" s="178">
        <f t="shared" si="2"/>
        <v>302.71367540319204</v>
      </c>
      <c r="E25" s="178">
        <f t="shared" si="3"/>
        <v>833.3073202116301</v>
      </c>
      <c r="F25" s="178">
        <f t="shared" si="4"/>
        <v>56546.60541121517</v>
      </c>
      <c r="G25" s="178">
        <f>SUM(C14:C25)</f>
        <v>6546.293253754731</v>
      </c>
      <c r="H25" s="178">
        <f>SUM(D14:D25)</f>
        <v>3453.394588784831</v>
      </c>
      <c r="I25" s="272" t="s">
        <v>209</v>
      </c>
    </row>
    <row r="26" spans="1:6" ht="12.75">
      <c r="A26" s="1">
        <v>13</v>
      </c>
      <c r="B26" s="177">
        <f t="shared" si="0"/>
        <v>0.009333333333333334</v>
      </c>
      <c r="C26" s="178">
        <f t="shared" si="1"/>
        <v>527.7683171713417</v>
      </c>
      <c r="D26" s="178">
        <f t="shared" si="2"/>
        <v>305.53900304028843</v>
      </c>
      <c r="E26" s="178">
        <f t="shared" si="3"/>
        <v>833.3073202116301</v>
      </c>
      <c r="F26" s="178">
        <f t="shared" si="4"/>
        <v>56241.066408174884</v>
      </c>
    </row>
    <row r="27" spans="1:6" ht="12.75">
      <c r="A27" s="1">
        <v>14</v>
      </c>
      <c r="B27" s="177">
        <f t="shared" si="0"/>
        <v>0.009333333333333334</v>
      </c>
      <c r="C27" s="178">
        <f t="shared" si="1"/>
        <v>524.9166198096323</v>
      </c>
      <c r="D27" s="178">
        <f t="shared" si="2"/>
        <v>308.39070040199783</v>
      </c>
      <c r="E27" s="178">
        <f t="shared" si="3"/>
        <v>833.3073202116301</v>
      </c>
      <c r="F27" s="178">
        <f t="shared" si="4"/>
        <v>55932.67570777288</v>
      </c>
    </row>
    <row r="28" spans="1:6" ht="12.75">
      <c r="A28" s="1">
        <v>15</v>
      </c>
      <c r="B28" s="177">
        <f t="shared" si="0"/>
        <v>0.009333333333333334</v>
      </c>
      <c r="C28" s="178">
        <f t="shared" si="1"/>
        <v>522.0383066058803</v>
      </c>
      <c r="D28" s="178">
        <f t="shared" si="2"/>
        <v>311.2690136057498</v>
      </c>
      <c r="E28" s="178">
        <f t="shared" si="3"/>
        <v>833.3073202116301</v>
      </c>
      <c r="F28" s="178">
        <f t="shared" si="4"/>
        <v>55621.40669416713</v>
      </c>
    </row>
    <row r="29" spans="1:6" ht="12.75">
      <c r="A29" s="1">
        <v>16</v>
      </c>
      <c r="B29" s="177">
        <f t="shared" si="0"/>
        <v>0.009333333333333334</v>
      </c>
      <c r="C29" s="178">
        <f t="shared" si="1"/>
        <v>519.1331291455599</v>
      </c>
      <c r="D29" s="178">
        <f t="shared" si="2"/>
        <v>314.1741910660702</v>
      </c>
      <c r="E29" s="178">
        <f t="shared" si="3"/>
        <v>833.3073202116301</v>
      </c>
      <c r="F29" s="178">
        <f t="shared" si="4"/>
        <v>55307.23250310106</v>
      </c>
    </row>
    <row r="30" spans="1:6" ht="12.75">
      <c r="A30" s="1">
        <v>17</v>
      </c>
      <c r="B30" s="177">
        <f t="shared" si="0"/>
        <v>0.009333333333333334</v>
      </c>
      <c r="C30" s="178">
        <f t="shared" si="1"/>
        <v>516.20083669561</v>
      </c>
      <c r="D30" s="178">
        <f t="shared" si="2"/>
        <v>317.10648351602015</v>
      </c>
      <c r="E30" s="178">
        <f t="shared" si="3"/>
        <v>833.3073202116301</v>
      </c>
      <c r="F30" s="178">
        <f t="shared" si="4"/>
        <v>54990.12601958504</v>
      </c>
    </row>
    <row r="31" spans="1:6" ht="12.75">
      <c r="A31" s="1">
        <v>18</v>
      </c>
      <c r="B31" s="177">
        <f t="shared" si="0"/>
        <v>0.009333333333333334</v>
      </c>
      <c r="C31" s="178">
        <f t="shared" si="1"/>
        <v>513.2411761827938</v>
      </c>
      <c r="D31" s="178">
        <f t="shared" si="2"/>
        <v>320.06614402883633</v>
      </c>
      <c r="E31" s="178">
        <f t="shared" si="3"/>
        <v>833.3073202116301</v>
      </c>
      <c r="F31" s="178">
        <f t="shared" si="4"/>
        <v>54670.0598755562</v>
      </c>
    </row>
    <row r="32" spans="1:6" ht="12.75">
      <c r="A32" s="1">
        <v>19</v>
      </c>
      <c r="B32" s="177">
        <f t="shared" si="0"/>
        <v>0.009333333333333334</v>
      </c>
      <c r="C32" s="178">
        <f t="shared" si="1"/>
        <v>510.25389217185796</v>
      </c>
      <c r="D32" s="178">
        <f t="shared" si="2"/>
        <v>323.05342803977214</v>
      </c>
      <c r="E32" s="178">
        <f t="shared" si="3"/>
        <v>833.3073202116301</v>
      </c>
      <c r="F32" s="178">
        <f t="shared" si="4"/>
        <v>54347.00644751643</v>
      </c>
    </row>
    <row r="33" spans="1:6" ht="12.75">
      <c r="A33" s="1">
        <v>20</v>
      </c>
      <c r="B33" s="177">
        <f t="shared" si="0"/>
        <v>0.009333333333333334</v>
      </c>
      <c r="C33" s="178">
        <f t="shared" si="1"/>
        <v>507.23872684348675</v>
      </c>
      <c r="D33" s="178">
        <f t="shared" si="2"/>
        <v>326.06859336814335</v>
      </c>
      <c r="E33" s="178">
        <f t="shared" si="3"/>
        <v>833.3073202116301</v>
      </c>
      <c r="F33" s="178">
        <f t="shared" si="4"/>
        <v>54020.93785414829</v>
      </c>
    </row>
    <row r="34" spans="1:6" ht="12.75">
      <c r="A34" s="1">
        <v>21</v>
      </c>
      <c r="B34" s="177">
        <f t="shared" si="0"/>
        <v>0.009333333333333334</v>
      </c>
      <c r="C34" s="178">
        <f t="shared" si="1"/>
        <v>504.19541997205073</v>
      </c>
      <c r="D34" s="178">
        <f t="shared" si="2"/>
        <v>329.11190023957937</v>
      </c>
      <c r="E34" s="178">
        <f t="shared" si="3"/>
        <v>833.3073202116301</v>
      </c>
      <c r="F34" s="178">
        <f t="shared" si="4"/>
        <v>53691.82595390871</v>
      </c>
    </row>
    <row r="35" spans="1:6" ht="12.75">
      <c r="A35" s="1">
        <v>22</v>
      </c>
      <c r="B35" s="177">
        <f t="shared" si="0"/>
        <v>0.009333333333333334</v>
      </c>
      <c r="C35" s="178">
        <f t="shared" si="1"/>
        <v>501.123708903148</v>
      </c>
      <c r="D35" s="178">
        <f t="shared" si="2"/>
        <v>332.1836113084821</v>
      </c>
      <c r="E35" s="178">
        <f t="shared" si="3"/>
        <v>833.3073202116301</v>
      </c>
      <c r="F35" s="178">
        <f t="shared" si="4"/>
        <v>53359.64234260023</v>
      </c>
    </row>
    <row r="36" spans="1:6" ht="12.75">
      <c r="A36" s="1">
        <v>23</v>
      </c>
      <c r="B36" s="177">
        <f t="shared" si="0"/>
        <v>0.009333333333333334</v>
      </c>
      <c r="C36" s="178">
        <f t="shared" si="1"/>
        <v>498.0233285309355</v>
      </c>
      <c r="D36" s="178">
        <f t="shared" si="2"/>
        <v>335.2839916806946</v>
      </c>
      <c r="E36" s="178">
        <f t="shared" si="3"/>
        <v>833.3073202116301</v>
      </c>
      <c r="F36" s="178">
        <f t="shared" si="4"/>
        <v>53024.35835091954</v>
      </c>
    </row>
    <row r="37" spans="1:9" ht="12.75">
      <c r="A37" s="1">
        <v>24</v>
      </c>
      <c r="B37" s="177">
        <f t="shared" si="0"/>
        <v>0.009333333333333334</v>
      </c>
      <c r="C37" s="178">
        <f t="shared" si="1"/>
        <v>494.89401127524906</v>
      </c>
      <c r="D37" s="178">
        <f t="shared" si="2"/>
        <v>338.41330893638104</v>
      </c>
      <c r="E37" s="178">
        <f t="shared" si="3"/>
        <v>833.3073202116301</v>
      </c>
      <c r="F37" s="178">
        <f t="shared" si="4"/>
        <v>52685.945041983156</v>
      </c>
      <c r="G37" s="178">
        <f>SUM(C26:C37)</f>
        <v>6139.027473307545</v>
      </c>
      <c r="H37" s="178">
        <f>SUM(D26:D37)</f>
        <v>3860.660369232016</v>
      </c>
      <c r="I37" s="272" t="s">
        <v>210</v>
      </c>
    </row>
    <row r="38" spans="1:6" ht="12.75">
      <c r="A38" s="1">
        <v>25</v>
      </c>
      <c r="B38" s="177">
        <f t="shared" si="0"/>
        <v>0.009333333333333334</v>
      </c>
      <c r="C38" s="178">
        <f t="shared" si="1"/>
        <v>491.7354870585095</v>
      </c>
      <c r="D38" s="178">
        <f t="shared" si="2"/>
        <v>341.5718331531206</v>
      </c>
      <c r="E38" s="178">
        <f t="shared" si="3"/>
        <v>833.3073202116301</v>
      </c>
      <c r="F38" s="178">
        <f t="shared" si="4"/>
        <v>52344.37320883004</v>
      </c>
    </row>
    <row r="39" spans="1:6" ht="12.75">
      <c r="A39" s="1">
        <v>26</v>
      </c>
      <c r="B39" s="177">
        <f t="shared" si="0"/>
        <v>0.009333333333333334</v>
      </c>
      <c r="C39" s="178">
        <f t="shared" si="1"/>
        <v>488.54748328241374</v>
      </c>
      <c r="D39" s="178">
        <f t="shared" si="2"/>
        <v>344.75983692921636</v>
      </c>
      <c r="E39" s="178">
        <f t="shared" si="3"/>
        <v>833.3073202116301</v>
      </c>
      <c r="F39" s="178">
        <f t="shared" si="4"/>
        <v>51999.61337190082</v>
      </c>
    </row>
    <row r="40" spans="1:6" ht="12.75">
      <c r="A40" s="1">
        <v>27</v>
      </c>
      <c r="B40" s="177">
        <f t="shared" si="0"/>
        <v>0.009333333333333334</v>
      </c>
      <c r="C40" s="178">
        <f t="shared" si="1"/>
        <v>485.3297248044077</v>
      </c>
      <c r="D40" s="178">
        <f t="shared" si="2"/>
        <v>347.9775954072224</v>
      </c>
      <c r="E40" s="178">
        <f t="shared" si="3"/>
        <v>833.3073202116301</v>
      </c>
      <c r="F40" s="178">
        <f t="shared" si="4"/>
        <v>51651.6357764936</v>
      </c>
    </row>
    <row r="41" spans="1:6" ht="12.75">
      <c r="A41" s="1">
        <v>28</v>
      </c>
      <c r="B41" s="177">
        <f t="shared" si="0"/>
        <v>0.009333333333333334</v>
      </c>
      <c r="C41" s="178">
        <f t="shared" si="1"/>
        <v>482.08193391394025</v>
      </c>
      <c r="D41" s="178">
        <f t="shared" si="2"/>
        <v>351.22538629768985</v>
      </c>
      <c r="E41" s="178">
        <f t="shared" si="3"/>
        <v>833.3073202116301</v>
      </c>
      <c r="F41" s="178">
        <f t="shared" si="4"/>
        <v>51300.41039019591</v>
      </c>
    </row>
    <row r="42" spans="1:6" ht="12.75">
      <c r="A42" s="1">
        <v>29</v>
      </c>
      <c r="B42" s="177">
        <f t="shared" si="0"/>
        <v>0.009333333333333334</v>
      </c>
      <c r="C42" s="178">
        <f t="shared" si="1"/>
        <v>478.8038303084952</v>
      </c>
      <c r="D42" s="178">
        <f t="shared" si="2"/>
        <v>354.5034899031349</v>
      </c>
      <c r="E42" s="178">
        <f t="shared" si="3"/>
        <v>833.3073202116301</v>
      </c>
      <c r="F42" s="178">
        <f t="shared" si="4"/>
        <v>50945.90690029277</v>
      </c>
    </row>
    <row r="43" spans="1:6" ht="12.75">
      <c r="A43" s="1">
        <v>30</v>
      </c>
      <c r="B43" s="177">
        <f t="shared" si="0"/>
        <v>0.009333333333333334</v>
      </c>
      <c r="C43" s="178">
        <f t="shared" si="1"/>
        <v>475.49513106939924</v>
      </c>
      <c r="D43" s="178">
        <f t="shared" si="2"/>
        <v>357.81218914223086</v>
      </c>
      <c r="E43" s="178">
        <f t="shared" si="3"/>
        <v>833.3073202116301</v>
      </c>
      <c r="F43" s="178">
        <f t="shared" si="4"/>
        <v>50588.09471115054</v>
      </c>
    </row>
    <row r="44" spans="1:6" ht="12.75">
      <c r="A44" s="1">
        <v>31</v>
      </c>
      <c r="B44" s="177">
        <f t="shared" si="0"/>
        <v>0.009333333333333334</v>
      </c>
      <c r="C44" s="178">
        <f t="shared" si="1"/>
        <v>472.15555063740504</v>
      </c>
      <c r="D44" s="178">
        <f t="shared" si="2"/>
        <v>361.15176957422506</v>
      </c>
      <c r="E44" s="178">
        <f t="shared" si="3"/>
        <v>833.3073202116301</v>
      </c>
      <c r="F44" s="178">
        <f t="shared" si="4"/>
        <v>50226.942941576315</v>
      </c>
    </row>
    <row r="45" spans="1:6" ht="12.75">
      <c r="A45" s="1">
        <v>32</v>
      </c>
      <c r="B45" s="177">
        <f t="shared" si="0"/>
        <v>0.009333333333333334</v>
      </c>
      <c r="C45" s="178">
        <f t="shared" si="1"/>
        <v>468.78480078804563</v>
      </c>
      <c r="D45" s="178">
        <f t="shared" si="2"/>
        <v>364.52251942358447</v>
      </c>
      <c r="E45" s="178">
        <f t="shared" si="3"/>
        <v>833.3073202116301</v>
      </c>
      <c r="F45" s="178">
        <f t="shared" si="4"/>
        <v>49862.42042215273</v>
      </c>
    </row>
    <row r="46" spans="1:6" ht="12.75">
      <c r="A46" s="1">
        <v>33</v>
      </c>
      <c r="B46" s="177">
        <f t="shared" si="0"/>
        <v>0.009333333333333334</v>
      </c>
      <c r="C46" s="178">
        <f t="shared" si="1"/>
        <v>465.38259060675887</v>
      </c>
      <c r="D46" s="178">
        <f t="shared" si="2"/>
        <v>367.92472960487123</v>
      </c>
      <c r="E46" s="178">
        <f t="shared" si="3"/>
        <v>833.3073202116301</v>
      </c>
      <c r="F46" s="178">
        <f t="shared" si="4"/>
        <v>49494.49569254786</v>
      </c>
    </row>
    <row r="47" spans="1:6" ht="12.75">
      <c r="A47" s="1">
        <v>34</v>
      </c>
      <c r="B47" s="177">
        <f t="shared" si="0"/>
        <v>0.009333333333333334</v>
      </c>
      <c r="C47" s="178">
        <f t="shared" si="1"/>
        <v>461.9486264637801</v>
      </c>
      <c r="D47" s="178">
        <f t="shared" si="2"/>
        <v>371.35869374785</v>
      </c>
      <c r="E47" s="178">
        <f t="shared" si="3"/>
        <v>833.3073202116301</v>
      </c>
      <c r="F47" s="178">
        <f t="shared" si="4"/>
        <v>49123.136998800015</v>
      </c>
    </row>
    <row r="48" spans="1:6" ht="12.75">
      <c r="A48" s="1">
        <v>35</v>
      </c>
      <c r="B48" s="177">
        <f t="shared" si="0"/>
        <v>0.009333333333333334</v>
      </c>
      <c r="C48" s="178">
        <f t="shared" si="1"/>
        <v>458.48261198880016</v>
      </c>
      <c r="D48" s="178">
        <f t="shared" si="2"/>
        <v>374.82470822282994</v>
      </c>
      <c r="E48" s="178">
        <f t="shared" si="3"/>
        <v>833.3073202116301</v>
      </c>
      <c r="F48" s="178">
        <f t="shared" si="4"/>
        <v>48748.31229057719</v>
      </c>
    </row>
    <row r="49" spans="1:9" ht="12.75">
      <c r="A49" s="1">
        <v>36</v>
      </c>
      <c r="B49" s="177">
        <f t="shared" si="0"/>
        <v>0.009333333333333334</v>
      </c>
      <c r="C49" s="178">
        <f t="shared" si="1"/>
        <v>454.9842480453871</v>
      </c>
      <c r="D49" s="178">
        <f t="shared" si="2"/>
        <v>378.323072166243</v>
      </c>
      <c r="E49" s="178">
        <f t="shared" si="3"/>
        <v>833.3073202116301</v>
      </c>
      <c r="F49" s="178">
        <f t="shared" si="4"/>
        <v>48369.98921841095</v>
      </c>
      <c r="G49" s="179">
        <f>SUM(C38:C49)</f>
        <v>5683.732018967343</v>
      </c>
      <c r="H49" s="178">
        <f>SUM(D38:D49)</f>
        <v>4315.955823572219</v>
      </c>
      <c r="I49" s="272" t="s">
        <v>211</v>
      </c>
    </row>
    <row r="50" spans="1:8" ht="12.75">
      <c r="A50" s="1">
        <v>37</v>
      </c>
      <c r="B50" s="177">
        <f t="shared" si="0"/>
        <v>0.009333333333333334</v>
      </c>
      <c r="C50" s="178">
        <f t="shared" si="1"/>
        <v>451.4532327051689</v>
      </c>
      <c r="D50" s="178">
        <f t="shared" si="2"/>
        <v>381.8540875064612</v>
      </c>
      <c r="E50" s="178">
        <f t="shared" si="3"/>
        <v>833.3073202116301</v>
      </c>
      <c r="F50" s="178">
        <f t="shared" si="4"/>
        <v>47988.135130904484</v>
      </c>
      <c r="G50" s="180"/>
      <c r="H50" s="180"/>
    </row>
    <row r="51" spans="1:6" ht="12.75">
      <c r="A51" s="1">
        <v>38</v>
      </c>
      <c r="B51" s="177">
        <f t="shared" si="0"/>
        <v>0.009333333333333334</v>
      </c>
      <c r="C51" s="178">
        <f t="shared" si="1"/>
        <v>447.8892612217752</v>
      </c>
      <c r="D51" s="178">
        <f t="shared" si="2"/>
        <v>385.4180589898549</v>
      </c>
      <c r="E51" s="178">
        <f t="shared" si="3"/>
        <v>833.3073202116301</v>
      </c>
      <c r="F51" s="178">
        <f t="shared" si="4"/>
        <v>47602.71707191463</v>
      </c>
    </row>
    <row r="52" spans="1:6" ht="12.75">
      <c r="A52" s="1">
        <v>39</v>
      </c>
      <c r="B52" s="177">
        <f t="shared" si="0"/>
        <v>0.009333333333333334</v>
      </c>
      <c r="C52" s="178">
        <f t="shared" si="1"/>
        <v>444.2920260045366</v>
      </c>
      <c r="D52" s="178">
        <f t="shared" si="2"/>
        <v>389.0152942070935</v>
      </c>
      <c r="E52" s="178">
        <f t="shared" si="3"/>
        <v>833.3073202116301</v>
      </c>
      <c r="F52" s="178">
        <f t="shared" si="4"/>
        <v>47213.70177770754</v>
      </c>
    </row>
    <row r="53" spans="1:6" ht="12.75">
      <c r="A53" s="1">
        <v>40</v>
      </c>
      <c r="B53" s="177">
        <f t="shared" si="0"/>
        <v>0.009333333333333334</v>
      </c>
      <c r="C53" s="178">
        <f t="shared" si="1"/>
        <v>440.66121659193703</v>
      </c>
      <c r="D53" s="178">
        <f t="shared" si="2"/>
        <v>392.64610361969306</v>
      </c>
      <c r="E53" s="178">
        <f t="shared" si="3"/>
        <v>833.3073202116301</v>
      </c>
      <c r="F53" s="178">
        <f t="shared" si="4"/>
        <v>46821.055674087846</v>
      </c>
    </row>
    <row r="54" spans="1:6" ht="12.75">
      <c r="A54" s="1">
        <v>41</v>
      </c>
      <c r="B54" s="177">
        <f t="shared" si="0"/>
        <v>0.009333333333333334</v>
      </c>
      <c r="C54" s="178">
        <f t="shared" si="1"/>
        <v>436.99651962481994</v>
      </c>
      <c r="D54" s="178">
        <f t="shared" si="2"/>
        <v>396.31080058681016</v>
      </c>
      <c r="E54" s="178">
        <f t="shared" si="3"/>
        <v>833.3073202116301</v>
      </c>
      <c r="F54" s="178">
        <f t="shared" si="4"/>
        <v>46424.74487350103</v>
      </c>
    </row>
    <row r="55" spans="1:6" ht="12.75">
      <c r="A55" s="1">
        <v>42</v>
      </c>
      <c r="B55" s="177">
        <f t="shared" si="0"/>
        <v>0.009333333333333334</v>
      </c>
      <c r="C55" s="178">
        <f t="shared" si="1"/>
        <v>433.29761881934303</v>
      </c>
      <c r="D55" s="178">
        <f t="shared" si="2"/>
        <v>400.00970139228707</v>
      </c>
      <c r="E55" s="178">
        <f t="shared" si="3"/>
        <v>833.3073202116301</v>
      </c>
      <c r="F55" s="178">
        <f t="shared" si="4"/>
        <v>46024.73517210875</v>
      </c>
    </row>
    <row r="56" spans="1:6" ht="12.75">
      <c r="A56" s="1">
        <v>43</v>
      </c>
      <c r="B56" s="177">
        <f t="shared" si="0"/>
        <v>0.009333333333333334</v>
      </c>
      <c r="C56" s="178">
        <f t="shared" si="1"/>
        <v>429.56419493968167</v>
      </c>
      <c r="D56" s="178">
        <f t="shared" si="2"/>
        <v>403.74312527194843</v>
      </c>
      <c r="E56" s="178">
        <f t="shared" si="3"/>
        <v>833.3073202116301</v>
      </c>
      <c r="F56" s="178">
        <f t="shared" si="4"/>
        <v>45620.9920468368</v>
      </c>
    </row>
    <row r="57" spans="1:6" ht="12.75">
      <c r="A57" s="1">
        <v>44</v>
      </c>
      <c r="B57" s="177">
        <f t="shared" si="0"/>
        <v>0.009333333333333334</v>
      </c>
      <c r="C57" s="178">
        <f t="shared" si="1"/>
        <v>425.79592577047686</v>
      </c>
      <c r="D57" s="178">
        <f t="shared" si="2"/>
        <v>407.51139444115324</v>
      </c>
      <c r="E57" s="178">
        <f t="shared" si="3"/>
        <v>833.3073202116301</v>
      </c>
      <c r="F57" s="178">
        <f t="shared" si="4"/>
        <v>45213.48065239565</v>
      </c>
    </row>
    <row r="58" spans="1:6" ht="12.75">
      <c r="A58" s="1">
        <v>45</v>
      </c>
      <c r="B58" s="177">
        <f t="shared" si="0"/>
        <v>0.009333333333333334</v>
      </c>
      <c r="C58" s="178">
        <f t="shared" si="1"/>
        <v>421.9924860890261</v>
      </c>
      <c r="D58" s="178">
        <f t="shared" si="2"/>
        <v>411.314834122604</v>
      </c>
      <c r="E58" s="178">
        <f t="shared" si="3"/>
        <v>833.3073202116301</v>
      </c>
      <c r="F58" s="178">
        <f t="shared" si="4"/>
        <v>44802.165818273046</v>
      </c>
    </row>
    <row r="59" spans="1:6" ht="12.75">
      <c r="A59" s="1">
        <v>46</v>
      </c>
      <c r="B59" s="177">
        <f t="shared" si="0"/>
        <v>0.009333333333333334</v>
      </c>
      <c r="C59" s="178">
        <f t="shared" si="1"/>
        <v>418.1535476372151</v>
      </c>
      <c r="D59" s="178">
        <f t="shared" si="2"/>
        <v>415.153772574415</v>
      </c>
      <c r="E59" s="178">
        <f t="shared" si="3"/>
        <v>833.3073202116301</v>
      </c>
      <c r="F59" s="178">
        <f t="shared" si="4"/>
        <v>44387.01204569863</v>
      </c>
    </row>
    <row r="60" spans="1:6" ht="12.75">
      <c r="A60" s="1">
        <v>47</v>
      </c>
      <c r="B60" s="177">
        <f t="shared" si="0"/>
        <v>0.009333333333333334</v>
      </c>
      <c r="C60" s="178">
        <f t="shared" si="1"/>
        <v>414.27877909318727</v>
      </c>
      <c r="D60" s="178">
        <f t="shared" si="2"/>
        <v>419.02854111844283</v>
      </c>
      <c r="E60" s="178">
        <f t="shared" si="3"/>
        <v>833.3073202116301</v>
      </c>
      <c r="F60" s="178">
        <f t="shared" si="4"/>
        <v>43967.98350458019</v>
      </c>
    </row>
    <row r="61" spans="1:9" ht="12.75">
      <c r="A61" s="1">
        <v>48</v>
      </c>
      <c r="B61" s="177">
        <f t="shared" si="0"/>
        <v>0.009333333333333334</v>
      </c>
      <c r="C61" s="178">
        <f t="shared" si="1"/>
        <v>410.36784604274845</v>
      </c>
      <c r="D61" s="178">
        <f t="shared" si="2"/>
        <v>422.93947416888165</v>
      </c>
      <c r="E61" s="178">
        <f t="shared" si="3"/>
        <v>833.3073202116301</v>
      </c>
      <c r="F61" s="178">
        <f t="shared" si="4"/>
        <v>43545.04403041131</v>
      </c>
      <c r="G61" s="178">
        <f>+SUM(C50:C61)</f>
        <v>5174.742654539916</v>
      </c>
      <c r="H61" s="178">
        <f>+SUM(D50:D61)</f>
        <v>4824.945187999645</v>
      </c>
      <c r="I61" s="272" t="s">
        <v>212</v>
      </c>
    </row>
    <row r="62" spans="1:6" ht="12.75">
      <c r="A62" s="1">
        <v>49</v>
      </c>
      <c r="B62" s="177">
        <f t="shared" si="0"/>
        <v>0.009333333333333334</v>
      </c>
      <c r="C62" s="178">
        <f t="shared" si="1"/>
        <v>406.4204109505056</v>
      </c>
      <c r="D62" s="178">
        <f t="shared" si="2"/>
        <v>426.8869092611245</v>
      </c>
      <c r="E62" s="178">
        <f t="shared" si="3"/>
        <v>833.3073202116301</v>
      </c>
      <c r="F62" s="178">
        <f t="shared" si="4"/>
        <v>43118.15712115018</v>
      </c>
    </row>
    <row r="63" spans="1:6" ht="12.75">
      <c r="A63" s="1">
        <v>50</v>
      </c>
      <c r="B63" s="177">
        <f t="shared" si="0"/>
        <v>0.009333333333333334</v>
      </c>
      <c r="C63" s="178">
        <f t="shared" si="1"/>
        <v>402.436133130735</v>
      </c>
      <c r="D63" s="178">
        <f t="shared" si="2"/>
        <v>430.8711870808951</v>
      </c>
      <c r="E63" s="178">
        <f t="shared" si="3"/>
        <v>833.3073202116301</v>
      </c>
      <c r="F63" s="178">
        <f t="shared" si="4"/>
        <v>42687.28593406928</v>
      </c>
    </row>
    <row r="64" spans="1:6" ht="12.75">
      <c r="A64" s="1">
        <v>51</v>
      </c>
      <c r="B64" s="177">
        <f t="shared" si="0"/>
        <v>0.009333333333333334</v>
      </c>
      <c r="C64" s="178">
        <f t="shared" si="1"/>
        <v>398.41466871797996</v>
      </c>
      <c r="D64" s="178">
        <f t="shared" si="2"/>
        <v>434.89265149365013</v>
      </c>
      <c r="E64" s="178">
        <f t="shared" si="3"/>
        <v>833.3073202116301</v>
      </c>
      <c r="F64" s="178">
        <f t="shared" si="4"/>
        <v>42252.393282575635</v>
      </c>
    </row>
    <row r="65" spans="1:6" ht="12.75">
      <c r="A65" s="1">
        <v>52</v>
      </c>
      <c r="B65" s="177">
        <f t="shared" si="0"/>
        <v>0.009333333333333334</v>
      </c>
      <c r="C65" s="178">
        <f t="shared" si="1"/>
        <v>394.3556706373726</v>
      </c>
      <c r="D65" s="178">
        <f t="shared" si="2"/>
        <v>438.9516495742575</v>
      </c>
      <c r="E65" s="178">
        <f t="shared" si="3"/>
        <v>833.3073202116301</v>
      </c>
      <c r="F65" s="178">
        <f t="shared" si="4"/>
        <v>41813.44163300138</v>
      </c>
    </row>
    <row r="66" spans="1:6" ht="12.75">
      <c r="A66" s="1">
        <v>53</v>
      </c>
      <c r="B66" s="177">
        <f t="shared" si="0"/>
        <v>0.009333333333333334</v>
      </c>
      <c r="C66" s="178">
        <f t="shared" si="1"/>
        <v>390.25878857467956</v>
      </c>
      <c r="D66" s="178">
        <f t="shared" si="2"/>
        <v>443.04853163695054</v>
      </c>
      <c r="E66" s="178">
        <f t="shared" si="3"/>
        <v>833.3073202116301</v>
      </c>
      <c r="F66" s="178">
        <f t="shared" si="4"/>
        <v>41370.393101364425</v>
      </c>
    </row>
    <row r="67" spans="1:6" ht="12.75">
      <c r="A67" s="1">
        <v>54</v>
      </c>
      <c r="B67" s="177">
        <f t="shared" si="0"/>
        <v>0.009333333333333334</v>
      </c>
      <c r="C67" s="178">
        <f t="shared" si="1"/>
        <v>386.123668946068</v>
      </c>
      <c r="D67" s="178">
        <f t="shared" si="2"/>
        <v>447.1836512655621</v>
      </c>
      <c r="E67" s="178">
        <f t="shared" si="3"/>
        <v>833.3073202116301</v>
      </c>
      <c r="F67" s="178">
        <f t="shared" si="4"/>
        <v>40923.20945009886</v>
      </c>
    </row>
    <row r="68" spans="1:6" ht="12.75">
      <c r="A68" s="1">
        <v>55</v>
      </c>
      <c r="B68" s="177">
        <f t="shared" si="0"/>
        <v>0.009333333333333334</v>
      </c>
      <c r="C68" s="178">
        <f t="shared" si="1"/>
        <v>381.9499548675894</v>
      </c>
      <c r="D68" s="178">
        <f t="shared" si="2"/>
        <v>451.3573653440407</v>
      </c>
      <c r="E68" s="178">
        <f t="shared" si="3"/>
        <v>833.3073202116301</v>
      </c>
      <c r="F68" s="178">
        <f t="shared" si="4"/>
        <v>40471.85208475482</v>
      </c>
    </row>
    <row r="69" spans="1:6" ht="12.75">
      <c r="A69" s="1">
        <v>56</v>
      </c>
      <c r="B69" s="177">
        <f t="shared" si="0"/>
        <v>0.009333333333333334</v>
      </c>
      <c r="C69" s="178">
        <f t="shared" si="1"/>
        <v>377.7372861243784</v>
      </c>
      <c r="D69" s="178">
        <f t="shared" si="2"/>
        <v>455.5700340872517</v>
      </c>
      <c r="E69" s="178">
        <f t="shared" si="3"/>
        <v>833.3073202116301</v>
      </c>
      <c r="F69" s="178">
        <f t="shared" si="4"/>
        <v>40016.28205066757</v>
      </c>
    </row>
    <row r="70" spans="1:6" ht="12.75">
      <c r="A70" s="1">
        <v>57</v>
      </c>
      <c r="B70" s="177">
        <f t="shared" si="0"/>
        <v>0.009333333333333334</v>
      </c>
      <c r="C70" s="178">
        <f t="shared" si="1"/>
        <v>373.485299139564</v>
      </c>
      <c r="D70" s="178">
        <f t="shared" si="2"/>
        <v>459.8220210720661</v>
      </c>
      <c r="E70" s="178">
        <f t="shared" si="3"/>
        <v>833.3073202116301</v>
      </c>
      <c r="F70" s="178">
        <f t="shared" si="4"/>
        <v>39556.4600295955</v>
      </c>
    </row>
    <row r="71" spans="1:6" ht="12.75">
      <c r="A71" s="1">
        <v>58</v>
      </c>
      <c r="B71" s="177">
        <f t="shared" si="0"/>
        <v>0.009333333333333334</v>
      </c>
      <c r="C71" s="178">
        <f t="shared" si="1"/>
        <v>369.1936269428914</v>
      </c>
      <c r="D71" s="178">
        <f t="shared" si="2"/>
        <v>464.1136932687387</v>
      </c>
      <c r="E71" s="178">
        <f t="shared" si="3"/>
        <v>833.3073202116301</v>
      </c>
      <c r="F71" s="178">
        <f t="shared" si="4"/>
        <v>39092.346336326766</v>
      </c>
    </row>
    <row r="72" spans="1:6" ht="12.75">
      <c r="A72" s="1">
        <v>59</v>
      </c>
      <c r="B72" s="177">
        <f t="shared" si="0"/>
        <v>0.009333333333333334</v>
      </c>
      <c r="C72" s="178">
        <f t="shared" si="1"/>
        <v>364.86189913904985</v>
      </c>
      <c r="D72" s="178">
        <f t="shared" si="2"/>
        <v>468.44542107258025</v>
      </c>
      <c r="E72" s="178">
        <f t="shared" si="3"/>
        <v>833.3073202116301</v>
      </c>
      <c r="F72" s="178">
        <f t="shared" si="4"/>
        <v>38623.900915254184</v>
      </c>
    </row>
    <row r="73" spans="1:9" ht="12.75">
      <c r="A73" s="1">
        <v>60</v>
      </c>
      <c r="B73" s="177">
        <f t="shared" si="0"/>
        <v>0.009333333333333334</v>
      </c>
      <c r="C73" s="178">
        <f t="shared" si="1"/>
        <v>360.48974187570576</v>
      </c>
      <c r="D73" s="178">
        <f t="shared" si="2"/>
        <v>472.81757833592434</v>
      </c>
      <c r="E73" s="178">
        <f t="shared" si="3"/>
        <v>833.3073202116301</v>
      </c>
      <c r="F73" s="178">
        <f t="shared" si="4"/>
        <v>38151.08333691826</v>
      </c>
      <c r="G73" s="178">
        <f>+SUM(C62:C73)</f>
        <v>4605.72714904652</v>
      </c>
      <c r="H73" s="178">
        <f>+SUM(D62:D73)</f>
        <v>5393.9606934930425</v>
      </c>
      <c r="I73" s="272" t="s">
        <v>213</v>
      </c>
    </row>
    <row r="74" spans="1:6" ht="12.75">
      <c r="A74" s="1">
        <v>61</v>
      </c>
      <c r="B74" s="177">
        <f t="shared" si="0"/>
        <v>0.009333333333333334</v>
      </c>
      <c r="C74" s="178">
        <f t="shared" si="1"/>
        <v>356.0767778112371</v>
      </c>
      <c r="D74" s="178">
        <f t="shared" si="2"/>
        <v>477.230542400393</v>
      </c>
      <c r="E74" s="178">
        <f t="shared" si="3"/>
        <v>833.3073202116301</v>
      </c>
      <c r="F74" s="178">
        <f t="shared" si="4"/>
        <v>37673.852794517865</v>
      </c>
    </row>
    <row r="75" spans="1:6" ht="12.75">
      <c r="A75" s="1">
        <v>62</v>
      </c>
      <c r="B75" s="177">
        <f t="shared" si="0"/>
        <v>0.009333333333333334</v>
      </c>
      <c r="C75" s="178">
        <f t="shared" si="1"/>
        <v>351.6226260821668</v>
      </c>
      <c r="D75" s="178">
        <f t="shared" si="2"/>
        <v>481.6846941294633</v>
      </c>
      <c r="E75" s="178">
        <f t="shared" si="3"/>
        <v>833.3073202116301</v>
      </c>
      <c r="F75" s="178">
        <f t="shared" si="4"/>
        <v>37192.1681003884</v>
      </c>
    </row>
    <row r="76" spans="1:6" ht="12.75">
      <c r="A76" s="1">
        <v>63</v>
      </c>
      <c r="B76" s="177">
        <f t="shared" si="0"/>
        <v>0.009333333333333334</v>
      </c>
      <c r="C76" s="178">
        <f t="shared" si="1"/>
        <v>347.1269022702918</v>
      </c>
      <c r="D76" s="178">
        <f t="shared" si="2"/>
        <v>486.1804179413383</v>
      </c>
      <c r="E76" s="178">
        <f t="shared" si="3"/>
        <v>833.3073202116301</v>
      </c>
      <c r="F76" s="178">
        <f t="shared" si="4"/>
        <v>36705.98768244706</v>
      </c>
    </row>
    <row r="77" spans="1:6" ht="12.75">
      <c r="A77" s="1">
        <v>64</v>
      </c>
      <c r="B77" s="177">
        <f t="shared" si="0"/>
        <v>0.009333333333333334</v>
      </c>
      <c r="C77" s="178">
        <f t="shared" si="1"/>
        <v>342.58921836950594</v>
      </c>
      <c r="D77" s="178">
        <f t="shared" si="2"/>
        <v>490.71810184212416</v>
      </c>
      <c r="E77" s="178">
        <f t="shared" si="3"/>
        <v>833.3073202116301</v>
      </c>
      <c r="F77" s="178">
        <f t="shared" si="4"/>
        <v>36215.26958060494</v>
      </c>
    </row>
    <row r="78" spans="1:6" ht="12.75">
      <c r="A78" s="1">
        <v>65</v>
      </c>
      <c r="B78" s="177">
        <f t="shared" si="0"/>
        <v>0.009333333333333334</v>
      </c>
      <c r="C78" s="178">
        <f t="shared" si="1"/>
        <v>338.00918275231277</v>
      </c>
      <c r="D78" s="178">
        <f t="shared" si="2"/>
        <v>495.29813745931733</v>
      </c>
      <c r="E78" s="178">
        <f t="shared" si="3"/>
        <v>833.3073202116301</v>
      </c>
      <c r="F78" s="178">
        <f t="shared" si="4"/>
        <v>35719.97144314562</v>
      </c>
    </row>
    <row r="79" spans="1:6" ht="12.75">
      <c r="A79" s="1">
        <v>66</v>
      </c>
      <c r="B79" s="177">
        <f aca="true" t="shared" si="5" ref="B79:B133">+$D$8/$D$10</f>
        <v>0.009333333333333334</v>
      </c>
      <c r="C79" s="178">
        <f aca="true" t="shared" si="6" ref="C79:C133">-IPMT($D$8/12,1,$D$9,F78)</f>
        <v>333.3864001360258</v>
      </c>
      <c r="D79" s="178">
        <f aca="true" t="shared" si="7" ref="D79:D133">+E79-C79</f>
        <v>499.9209200756043</v>
      </c>
      <c r="E79" s="178">
        <f aca="true" t="shared" si="8" ref="E79:E133">-PMT($D$8/$D$10,$D$9,$D$6)</f>
        <v>833.3073202116301</v>
      </c>
      <c r="F79" s="178">
        <f aca="true" t="shared" si="9" ref="F79:F133">+F78-D79</f>
        <v>35220.05052307002</v>
      </c>
    </row>
    <row r="80" spans="1:6" ht="12.75">
      <c r="A80" s="1">
        <v>67</v>
      </c>
      <c r="B80" s="177">
        <f t="shared" si="5"/>
        <v>0.009333333333333334</v>
      </c>
      <c r="C80" s="178">
        <f t="shared" si="6"/>
        <v>328.72047154865356</v>
      </c>
      <c r="D80" s="178">
        <f t="shared" si="7"/>
        <v>504.58684866297654</v>
      </c>
      <c r="E80" s="178">
        <f t="shared" si="8"/>
        <v>833.3073202116301</v>
      </c>
      <c r="F80" s="178">
        <f t="shared" si="9"/>
        <v>34715.463674407045</v>
      </c>
    </row>
    <row r="81" spans="1:6" ht="12.75">
      <c r="A81" s="1">
        <v>68</v>
      </c>
      <c r="B81" s="177">
        <f t="shared" si="5"/>
        <v>0.009333333333333334</v>
      </c>
      <c r="C81" s="178">
        <f t="shared" si="6"/>
        <v>324.0109942944658</v>
      </c>
      <c r="D81" s="178">
        <f t="shared" si="7"/>
        <v>509.2963259171643</v>
      </c>
      <c r="E81" s="178">
        <f t="shared" si="8"/>
        <v>833.3073202116301</v>
      </c>
      <c r="F81" s="178">
        <f t="shared" si="9"/>
        <v>34206.16734848988</v>
      </c>
    </row>
    <row r="82" spans="1:6" ht="12.75">
      <c r="A82" s="1">
        <v>69</v>
      </c>
      <c r="B82" s="177">
        <f t="shared" si="5"/>
        <v>0.009333333333333334</v>
      </c>
      <c r="C82" s="178">
        <f t="shared" si="6"/>
        <v>319.25756191923887</v>
      </c>
      <c r="D82" s="178">
        <f t="shared" si="7"/>
        <v>514.0497582923913</v>
      </c>
      <c r="E82" s="178">
        <f t="shared" si="8"/>
        <v>833.3073202116301</v>
      </c>
      <c r="F82" s="178">
        <f t="shared" si="9"/>
        <v>33692.117590197486</v>
      </c>
    </row>
    <row r="83" spans="1:6" ht="12.75">
      <c r="A83" s="1">
        <v>70</v>
      </c>
      <c r="B83" s="177">
        <f t="shared" si="5"/>
        <v>0.009333333333333334</v>
      </c>
      <c r="C83" s="178">
        <f t="shared" si="6"/>
        <v>314.45976417517653</v>
      </c>
      <c r="D83" s="178">
        <f t="shared" si="7"/>
        <v>518.8475560364536</v>
      </c>
      <c r="E83" s="178">
        <f t="shared" si="8"/>
        <v>833.3073202116301</v>
      </c>
      <c r="F83" s="178">
        <f t="shared" si="9"/>
        <v>33173.27003416103</v>
      </c>
    </row>
    <row r="84" spans="1:6" ht="12.75">
      <c r="A84" s="1">
        <v>71</v>
      </c>
      <c r="B84" s="177">
        <f t="shared" si="5"/>
        <v>0.009333333333333334</v>
      </c>
      <c r="C84" s="178">
        <f t="shared" si="6"/>
        <v>309.617186985503</v>
      </c>
      <c r="D84" s="178">
        <f t="shared" si="7"/>
        <v>523.690133226127</v>
      </c>
      <c r="E84" s="178">
        <f t="shared" si="8"/>
        <v>833.3073202116301</v>
      </c>
      <c r="F84" s="178">
        <f t="shared" si="9"/>
        <v>32649.579900934907</v>
      </c>
    </row>
    <row r="85" spans="1:9" ht="12.75">
      <c r="A85" s="1">
        <v>72</v>
      </c>
      <c r="B85" s="177">
        <f t="shared" si="5"/>
        <v>0.009333333333333334</v>
      </c>
      <c r="C85" s="178">
        <f t="shared" si="6"/>
        <v>304.7294124087258</v>
      </c>
      <c r="D85" s="178">
        <f t="shared" si="7"/>
        <v>528.5779078029043</v>
      </c>
      <c r="E85" s="178">
        <f t="shared" si="8"/>
        <v>833.3073202116301</v>
      </c>
      <c r="F85" s="178">
        <f t="shared" si="9"/>
        <v>32121.001993132002</v>
      </c>
      <c r="G85" s="178">
        <f>+SUM(C74:C85)</f>
        <v>3969.606498753304</v>
      </c>
      <c r="H85" s="178">
        <f>+SUM(D74:D85)</f>
        <v>6030.081343786257</v>
      </c>
      <c r="I85" s="272" t="s">
        <v>214</v>
      </c>
    </row>
    <row r="86" spans="1:6" ht="12.75">
      <c r="A86" s="1">
        <v>73</v>
      </c>
      <c r="B86" s="177">
        <f t="shared" si="5"/>
        <v>0.009333333333333334</v>
      </c>
      <c r="C86" s="178">
        <f t="shared" si="6"/>
        <v>299.79601860256537</v>
      </c>
      <c r="D86" s="178">
        <f t="shared" si="7"/>
        <v>533.5113016090647</v>
      </c>
      <c r="E86" s="178">
        <f t="shared" si="8"/>
        <v>833.3073202116301</v>
      </c>
      <c r="F86" s="178">
        <f t="shared" si="9"/>
        <v>31587.490691522937</v>
      </c>
    </row>
    <row r="87" spans="1:6" ht="12.75">
      <c r="A87" s="1">
        <v>74</v>
      </c>
      <c r="B87" s="177">
        <f t="shared" si="5"/>
        <v>0.009333333333333334</v>
      </c>
      <c r="C87" s="178">
        <f t="shared" si="6"/>
        <v>294.8165797875474</v>
      </c>
      <c r="D87" s="178">
        <f t="shared" si="7"/>
        <v>538.4907404240827</v>
      </c>
      <c r="E87" s="178">
        <f t="shared" si="8"/>
        <v>833.3073202116301</v>
      </c>
      <c r="F87" s="178">
        <f t="shared" si="9"/>
        <v>31048.999951098853</v>
      </c>
    </row>
    <row r="88" spans="1:6" ht="12.75">
      <c r="A88" s="1">
        <v>75</v>
      </c>
      <c r="B88" s="177">
        <f t="shared" si="5"/>
        <v>0.009333333333333334</v>
      </c>
      <c r="C88" s="178">
        <f t="shared" si="6"/>
        <v>289.790666210256</v>
      </c>
      <c r="D88" s="178">
        <f t="shared" si="7"/>
        <v>543.516654001374</v>
      </c>
      <c r="E88" s="178">
        <f t="shared" si="8"/>
        <v>833.3073202116301</v>
      </c>
      <c r="F88" s="178">
        <f t="shared" si="9"/>
        <v>30505.48329709748</v>
      </c>
    </row>
    <row r="89" spans="1:6" ht="12.75">
      <c r="A89" s="1">
        <v>76</v>
      </c>
      <c r="B89" s="177">
        <f t="shared" si="5"/>
        <v>0.009333333333333334</v>
      </c>
      <c r="C89" s="178">
        <f t="shared" si="6"/>
        <v>284.71784410624315</v>
      </c>
      <c r="D89" s="178">
        <f t="shared" si="7"/>
        <v>548.5894761053869</v>
      </c>
      <c r="E89" s="178">
        <f t="shared" si="8"/>
        <v>833.3073202116301</v>
      </c>
      <c r="F89" s="178">
        <f t="shared" si="9"/>
        <v>29956.893820992093</v>
      </c>
    </row>
    <row r="90" spans="1:6" ht="12.75">
      <c r="A90" s="1">
        <v>77</v>
      </c>
      <c r="B90" s="177">
        <f t="shared" si="5"/>
        <v>0.009333333333333334</v>
      </c>
      <c r="C90" s="178">
        <f t="shared" si="6"/>
        <v>279.5976756625929</v>
      </c>
      <c r="D90" s="178">
        <f t="shared" si="7"/>
        <v>553.7096445490372</v>
      </c>
      <c r="E90" s="178">
        <f t="shared" si="8"/>
        <v>833.3073202116301</v>
      </c>
      <c r="F90" s="178">
        <f t="shared" si="9"/>
        <v>29403.184176443054</v>
      </c>
    </row>
    <row r="91" spans="1:6" ht="12.75">
      <c r="A91" s="1">
        <v>78</v>
      </c>
      <c r="B91" s="177">
        <f t="shared" si="5"/>
        <v>0.009333333333333334</v>
      </c>
      <c r="C91" s="178">
        <f t="shared" si="6"/>
        <v>274.4297189801352</v>
      </c>
      <c r="D91" s="178">
        <f t="shared" si="7"/>
        <v>558.877601231495</v>
      </c>
      <c r="E91" s="178">
        <f t="shared" si="8"/>
        <v>833.3073202116301</v>
      </c>
      <c r="F91" s="178">
        <f t="shared" si="9"/>
        <v>28844.306575211558</v>
      </c>
    </row>
    <row r="92" spans="1:6" ht="12.75">
      <c r="A92" s="1">
        <v>79</v>
      </c>
      <c r="B92" s="177">
        <f t="shared" si="5"/>
        <v>0.009333333333333334</v>
      </c>
      <c r="C92" s="178">
        <f t="shared" si="6"/>
        <v>269.2135280353079</v>
      </c>
      <c r="D92" s="178">
        <f t="shared" si="7"/>
        <v>564.0937921763223</v>
      </c>
      <c r="E92" s="178">
        <f t="shared" si="8"/>
        <v>833.3073202116301</v>
      </c>
      <c r="F92" s="178">
        <f t="shared" si="9"/>
        <v>28280.212783035236</v>
      </c>
    </row>
    <row r="93" spans="1:6" ht="12.75">
      <c r="A93" s="1">
        <v>80</v>
      </c>
      <c r="B93" s="177">
        <f t="shared" si="5"/>
        <v>0.009333333333333334</v>
      </c>
      <c r="C93" s="178">
        <f t="shared" si="6"/>
        <v>263.94865264166225</v>
      </c>
      <c r="D93" s="178">
        <f t="shared" si="7"/>
        <v>569.3586675699678</v>
      </c>
      <c r="E93" s="178">
        <f t="shared" si="8"/>
        <v>833.3073202116301</v>
      </c>
      <c r="F93" s="178">
        <f t="shared" si="9"/>
        <v>27710.85411546527</v>
      </c>
    </row>
    <row r="94" spans="1:6" ht="12.75">
      <c r="A94" s="1">
        <v>81</v>
      </c>
      <c r="B94" s="177">
        <f t="shared" si="5"/>
        <v>0.009333333333333334</v>
      </c>
      <c r="C94" s="178">
        <f t="shared" si="6"/>
        <v>258.63463841100923</v>
      </c>
      <c r="D94" s="178">
        <f t="shared" si="7"/>
        <v>574.6726818006209</v>
      </c>
      <c r="E94" s="178">
        <f t="shared" si="8"/>
        <v>833.3073202116301</v>
      </c>
      <c r="F94" s="178">
        <f t="shared" si="9"/>
        <v>27136.18143366465</v>
      </c>
    </row>
    <row r="95" spans="1:6" ht="12.75">
      <c r="A95" s="1">
        <v>82</v>
      </c>
      <c r="B95" s="177">
        <f t="shared" si="5"/>
        <v>0.009333333333333334</v>
      </c>
      <c r="C95" s="178">
        <f t="shared" si="6"/>
        <v>253.2710267142034</v>
      </c>
      <c r="D95" s="178">
        <f t="shared" si="7"/>
        <v>580.0362934974266</v>
      </c>
      <c r="E95" s="178">
        <f t="shared" si="8"/>
        <v>833.3073202116301</v>
      </c>
      <c r="F95" s="178">
        <f t="shared" si="9"/>
        <v>26556.145140167224</v>
      </c>
    </row>
    <row r="96" spans="1:6" ht="12.75">
      <c r="A96" s="1">
        <v>83</v>
      </c>
      <c r="B96" s="177">
        <f t="shared" si="5"/>
        <v>0.009333333333333334</v>
      </c>
      <c r="C96" s="178">
        <f t="shared" si="6"/>
        <v>247.8573546415608</v>
      </c>
      <c r="D96" s="178">
        <f t="shared" si="7"/>
        <v>585.4499655700693</v>
      </c>
      <c r="E96" s="178">
        <f t="shared" si="8"/>
        <v>833.3073202116301</v>
      </c>
      <c r="F96" s="178">
        <f t="shared" si="9"/>
        <v>25970.695174597153</v>
      </c>
    </row>
    <row r="97" spans="1:9" ht="12.75">
      <c r="A97" s="1">
        <v>84</v>
      </c>
      <c r="B97" s="177">
        <f t="shared" si="5"/>
        <v>0.009333333333333334</v>
      </c>
      <c r="C97" s="178">
        <f t="shared" si="6"/>
        <v>242.39315496290678</v>
      </c>
      <c r="D97" s="178">
        <f t="shared" si="7"/>
        <v>590.9141652487233</v>
      </c>
      <c r="E97" s="178">
        <f t="shared" si="8"/>
        <v>833.3073202116301</v>
      </c>
      <c r="F97" s="178">
        <f t="shared" si="9"/>
        <v>25379.78100934843</v>
      </c>
      <c r="G97" s="178">
        <f>+SUM(C86:C97)</f>
        <v>3258.466858755991</v>
      </c>
      <c r="H97" s="178">
        <f>+SUM(D86:D97)</f>
        <v>6741.220983783571</v>
      </c>
      <c r="I97" s="272" t="s">
        <v>276</v>
      </c>
    </row>
    <row r="98" spans="1:6" ht="12.75">
      <c r="A98" s="1">
        <v>85</v>
      </c>
      <c r="B98" s="177">
        <f t="shared" si="5"/>
        <v>0.009333333333333334</v>
      </c>
      <c r="C98" s="178">
        <f t="shared" si="6"/>
        <v>236.87795608725202</v>
      </c>
      <c r="D98" s="178">
        <f t="shared" si="7"/>
        <v>596.429364124378</v>
      </c>
      <c r="E98" s="178">
        <f t="shared" si="8"/>
        <v>833.3073202116301</v>
      </c>
      <c r="F98" s="178">
        <f t="shared" si="9"/>
        <v>24783.35164522405</v>
      </c>
    </row>
    <row r="99" spans="1:6" ht="12.75">
      <c r="A99" s="1">
        <v>86</v>
      </c>
      <c r="B99" s="177">
        <f t="shared" si="5"/>
        <v>0.009333333333333334</v>
      </c>
      <c r="C99" s="178">
        <f t="shared" si="6"/>
        <v>231.31128202209115</v>
      </c>
      <c r="D99" s="178">
        <f t="shared" si="7"/>
        <v>601.9960381895389</v>
      </c>
      <c r="E99" s="178">
        <f t="shared" si="8"/>
        <v>833.3073202116301</v>
      </c>
      <c r="F99" s="178">
        <f t="shared" si="9"/>
        <v>24181.35560703451</v>
      </c>
    </row>
    <row r="100" spans="1:6" ht="12.75">
      <c r="A100" s="1">
        <v>87</v>
      </c>
      <c r="B100" s="177">
        <f t="shared" si="5"/>
        <v>0.009333333333333334</v>
      </c>
      <c r="C100" s="178">
        <f t="shared" si="6"/>
        <v>225.69265233232213</v>
      </c>
      <c r="D100" s="178">
        <f t="shared" si="7"/>
        <v>607.614667879308</v>
      </c>
      <c r="E100" s="178">
        <f t="shared" si="8"/>
        <v>833.3073202116301</v>
      </c>
      <c r="F100" s="178">
        <f t="shared" si="9"/>
        <v>23573.740939155203</v>
      </c>
    </row>
    <row r="101" spans="1:6" ht="12.75">
      <c r="A101" s="1">
        <v>88</v>
      </c>
      <c r="B101" s="177">
        <f t="shared" si="5"/>
        <v>0.009333333333333334</v>
      </c>
      <c r="C101" s="178">
        <f t="shared" si="6"/>
        <v>220.02158209878192</v>
      </c>
      <c r="D101" s="178">
        <f t="shared" si="7"/>
        <v>613.2857381128482</v>
      </c>
      <c r="E101" s="178">
        <f t="shared" si="8"/>
        <v>833.3073202116301</v>
      </c>
      <c r="F101" s="178">
        <f t="shared" si="9"/>
        <v>22960.455201042354</v>
      </c>
    </row>
    <row r="102" spans="1:6" ht="12.75">
      <c r="A102" s="1">
        <v>89</v>
      </c>
      <c r="B102" s="177">
        <f t="shared" si="5"/>
        <v>0.009333333333333334</v>
      </c>
      <c r="C102" s="178">
        <f t="shared" si="6"/>
        <v>214.29758187639533</v>
      </c>
      <c r="D102" s="178">
        <f t="shared" si="7"/>
        <v>619.0097383352347</v>
      </c>
      <c r="E102" s="178">
        <f t="shared" si="8"/>
        <v>833.3073202116301</v>
      </c>
      <c r="F102" s="178">
        <f t="shared" si="9"/>
        <v>22341.44546270712</v>
      </c>
    </row>
    <row r="103" spans="1:6" ht="12.75">
      <c r="A103" s="1">
        <v>90</v>
      </c>
      <c r="B103" s="177">
        <f t="shared" si="5"/>
        <v>0.009333333333333334</v>
      </c>
      <c r="C103" s="178">
        <f t="shared" si="6"/>
        <v>208.52015765193315</v>
      </c>
      <c r="D103" s="178">
        <f t="shared" si="7"/>
        <v>624.787162559697</v>
      </c>
      <c r="E103" s="178">
        <f t="shared" si="8"/>
        <v>833.3073202116301</v>
      </c>
      <c r="F103" s="178">
        <f t="shared" si="9"/>
        <v>21716.658300147425</v>
      </c>
    </row>
    <row r="104" spans="1:6" ht="12.75">
      <c r="A104" s="1">
        <v>91</v>
      </c>
      <c r="B104" s="177">
        <f t="shared" si="5"/>
        <v>0.009333333333333334</v>
      </c>
      <c r="C104" s="178">
        <f t="shared" si="6"/>
        <v>202.68881080137598</v>
      </c>
      <c r="D104" s="178">
        <f t="shared" si="7"/>
        <v>630.6185094102541</v>
      </c>
      <c r="E104" s="178">
        <f t="shared" si="8"/>
        <v>833.3073202116301</v>
      </c>
      <c r="F104" s="178">
        <f t="shared" si="9"/>
        <v>21086.03979073717</v>
      </c>
    </row>
    <row r="105" spans="1:6" ht="12.75">
      <c r="A105" s="1">
        <v>92</v>
      </c>
      <c r="B105" s="177">
        <f t="shared" si="5"/>
        <v>0.009333333333333334</v>
      </c>
      <c r="C105" s="178">
        <f t="shared" si="6"/>
        <v>196.80303804688026</v>
      </c>
      <c r="D105" s="178">
        <f t="shared" si="7"/>
        <v>636.5042821647498</v>
      </c>
      <c r="E105" s="178">
        <f t="shared" si="8"/>
        <v>833.3073202116301</v>
      </c>
      <c r="F105" s="178">
        <f t="shared" si="9"/>
        <v>20449.53550857242</v>
      </c>
    </row>
    <row r="106" spans="1:6" ht="12.75">
      <c r="A106" s="1">
        <v>93</v>
      </c>
      <c r="B106" s="177">
        <f t="shared" si="5"/>
        <v>0.009333333333333334</v>
      </c>
      <c r="C106" s="178">
        <f t="shared" si="6"/>
        <v>190.8623314133426</v>
      </c>
      <c r="D106" s="178">
        <f t="shared" si="7"/>
        <v>642.4449887982876</v>
      </c>
      <c r="E106" s="178">
        <f t="shared" si="8"/>
        <v>833.3073202116301</v>
      </c>
      <c r="F106" s="178">
        <f t="shared" si="9"/>
        <v>19807.09051977413</v>
      </c>
    </row>
    <row r="107" spans="1:6" ht="12.75">
      <c r="A107" s="1">
        <v>94</v>
      </c>
      <c r="B107" s="177">
        <f t="shared" si="5"/>
        <v>0.009333333333333334</v>
      </c>
      <c r="C107" s="178">
        <f t="shared" si="6"/>
        <v>184.86617818455858</v>
      </c>
      <c r="D107" s="178">
        <f t="shared" si="7"/>
        <v>648.4411420270715</v>
      </c>
      <c r="E107" s="178">
        <f t="shared" si="8"/>
        <v>833.3073202116301</v>
      </c>
      <c r="F107" s="178">
        <f t="shared" si="9"/>
        <v>19158.64937774706</v>
      </c>
    </row>
    <row r="108" spans="1:6" ht="12.75">
      <c r="A108" s="1">
        <v>95</v>
      </c>
      <c r="B108" s="177">
        <f t="shared" si="5"/>
        <v>0.009333333333333334</v>
      </c>
      <c r="C108" s="178">
        <f t="shared" si="6"/>
        <v>178.81406085897257</v>
      </c>
      <c r="D108" s="178">
        <f t="shared" si="7"/>
        <v>654.4932593526576</v>
      </c>
      <c r="E108" s="178">
        <f t="shared" si="8"/>
        <v>833.3073202116301</v>
      </c>
      <c r="F108" s="178">
        <f t="shared" si="9"/>
        <v>18504.156118394403</v>
      </c>
    </row>
    <row r="109" spans="1:9" ht="12.75">
      <c r="A109" s="1">
        <v>96</v>
      </c>
      <c r="B109" s="177">
        <f t="shared" si="5"/>
        <v>0.009333333333333334</v>
      </c>
      <c r="C109" s="178">
        <f t="shared" si="6"/>
        <v>172.70545710501443</v>
      </c>
      <c r="D109" s="178">
        <f t="shared" si="7"/>
        <v>660.6018631066156</v>
      </c>
      <c r="E109" s="178">
        <f t="shared" si="8"/>
        <v>833.3073202116301</v>
      </c>
      <c r="F109" s="178">
        <f t="shared" si="9"/>
        <v>17843.55425528779</v>
      </c>
      <c r="G109" s="178">
        <f>+SUM(C98:C109)</f>
        <v>2463.46108847892</v>
      </c>
      <c r="H109" s="178">
        <f>+SUM(D98:D109)</f>
        <v>7536.226754060641</v>
      </c>
      <c r="I109" s="272" t="s">
        <v>216</v>
      </c>
    </row>
    <row r="110" spans="1:6" ht="12.75">
      <c r="A110" s="1">
        <v>97</v>
      </c>
      <c r="B110" s="177">
        <f t="shared" si="5"/>
        <v>0.009333333333333334</v>
      </c>
      <c r="C110" s="178">
        <f t="shared" si="6"/>
        <v>166.53983971601937</v>
      </c>
      <c r="D110" s="178">
        <f t="shared" si="7"/>
        <v>666.7674804956107</v>
      </c>
      <c r="E110" s="178">
        <f t="shared" si="8"/>
        <v>833.3073202116301</v>
      </c>
      <c r="F110" s="178">
        <f t="shared" si="9"/>
        <v>17176.786774792177</v>
      </c>
    </row>
    <row r="111" spans="1:6" ht="12.75">
      <c r="A111" s="1">
        <v>98</v>
      </c>
      <c r="B111" s="177">
        <f t="shared" si="5"/>
        <v>0.009333333333333334</v>
      </c>
      <c r="C111" s="178">
        <f t="shared" si="6"/>
        <v>160.316676564727</v>
      </c>
      <c r="D111" s="178">
        <f t="shared" si="7"/>
        <v>672.9906436469031</v>
      </c>
      <c r="E111" s="178">
        <f t="shared" si="8"/>
        <v>833.3073202116301</v>
      </c>
      <c r="F111" s="178">
        <f t="shared" si="9"/>
        <v>16503.796131145275</v>
      </c>
    </row>
    <row r="112" spans="1:6" ht="12.75">
      <c r="A112" s="1">
        <v>99</v>
      </c>
      <c r="B112" s="177">
        <f t="shared" si="5"/>
        <v>0.009333333333333334</v>
      </c>
      <c r="C112" s="178">
        <f t="shared" si="6"/>
        <v>154.0354305573559</v>
      </c>
      <c r="D112" s="178">
        <f t="shared" si="7"/>
        <v>679.2718896542742</v>
      </c>
      <c r="E112" s="178">
        <f t="shared" si="8"/>
        <v>833.3073202116301</v>
      </c>
      <c r="F112" s="178">
        <f t="shared" si="9"/>
        <v>15824.524241491</v>
      </c>
    </row>
    <row r="113" spans="1:6" ht="12.75">
      <c r="A113" s="1">
        <v>100</v>
      </c>
      <c r="B113" s="177">
        <f t="shared" si="5"/>
        <v>0.009333333333333334</v>
      </c>
      <c r="C113" s="178">
        <f t="shared" si="6"/>
        <v>147.69555958724936</v>
      </c>
      <c r="D113" s="178">
        <f t="shared" si="7"/>
        <v>685.6117606243807</v>
      </c>
      <c r="E113" s="178">
        <f t="shared" si="8"/>
        <v>833.3073202116301</v>
      </c>
      <c r="F113" s="178">
        <f t="shared" si="9"/>
        <v>15138.91248086662</v>
      </c>
    </row>
    <row r="114" spans="1:6" ht="12.75">
      <c r="A114" s="1">
        <v>101</v>
      </c>
      <c r="B114" s="177">
        <f t="shared" si="5"/>
        <v>0.009333333333333334</v>
      </c>
      <c r="C114" s="178">
        <f t="shared" si="6"/>
        <v>141.29651648808846</v>
      </c>
      <c r="D114" s="178">
        <f t="shared" si="7"/>
        <v>692.0108037235416</v>
      </c>
      <c r="E114" s="178">
        <f t="shared" si="8"/>
        <v>833.3073202116301</v>
      </c>
      <c r="F114" s="178">
        <f t="shared" si="9"/>
        <v>14446.901677143078</v>
      </c>
    </row>
    <row r="115" spans="1:6" ht="12.75">
      <c r="A115" s="1">
        <v>102</v>
      </c>
      <c r="B115" s="177">
        <f t="shared" si="5"/>
        <v>0.009333333333333334</v>
      </c>
      <c r="C115" s="178">
        <f t="shared" si="6"/>
        <v>134.83774898666874</v>
      </c>
      <c r="D115" s="178">
        <f t="shared" si="7"/>
        <v>698.4695712249613</v>
      </c>
      <c r="E115" s="178">
        <f t="shared" si="8"/>
        <v>833.3073202116301</v>
      </c>
      <c r="F115" s="178">
        <f t="shared" si="9"/>
        <v>13748.432105918117</v>
      </c>
    </row>
    <row r="116" spans="1:6" ht="12.75">
      <c r="A116" s="1">
        <v>103</v>
      </c>
      <c r="B116" s="177">
        <f t="shared" si="5"/>
        <v>0.009333333333333334</v>
      </c>
      <c r="C116" s="178">
        <f t="shared" si="6"/>
        <v>128.31869965523578</v>
      </c>
      <c r="D116" s="178">
        <f t="shared" si="7"/>
        <v>704.9886205563944</v>
      </c>
      <c r="E116" s="178">
        <f t="shared" si="8"/>
        <v>833.3073202116301</v>
      </c>
      <c r="F116" s="178">
        <f t="shared" si="9"/>
        <v>13043.443485361722</v>
      </c>
    </row>
    <row r="117" spans="1:6" ht="12.75">
      <c r="A117" s="1">
        <v>104</v>
      </c>
      <c r="B117" s="177">
        <f t="shared" si="5"/>
        <v>0.009333333333333334</v>
      </c>
      <c r="C117" s="178">
        <f t="shared" si="6"/>
        <v>121.73880586337609</v>
      </c>
      <c r="D117" s="178">
        <f t="shared" si="7"/>
        <v>711.568514348254</v>
      </c>
      <c r="E117" s="178">
        <f t="shared" si="8"/>
        <v>833.3073202116301</v>
      </c>
      <c r="F117" s="178">
        <f t="shared" si="9"/>
        <v>12331.874971013469</v>
      </c>
    </row>
    <row r="118" spans="1:6" ht="12.75">
      <c r="A118" s="1">
        <v>105</v>
      </c>
      <c r="B118" s="177">
        <f t="shared" si="5"/>
        <v>0.009333333333333334</v>
      </c>
      <c r="C118" s="178">
        <f t="shared" si="6"/>
        <v>115.09749972945906</v>
      </c>
      <c r="D118" s="178">
        <f t="shared" si="7"/>
        <v>718.209820482171</v>
      </c>
      <c r="E118" s="178">
        <f t="shared" si="8"/>
        <v>833.3073202116301</v>
      </c>
      <c r="F118" s="178">
        <f t="shared" si="9"/>
        <v>11613.665150531298</v>
      </c>
    </row>
    <row r="119" spans="1:6" ht="12.75">
      <c r="A119" s="1">
        <v>106</v>
      </c>
      <c r="B119" s="177">
        <f t="shared" si="5"/>
        <v>0.009333333333333334</v>
      </c>
      <c r="C119" s="178">
        <f t="shared" si="6"/>
        <v>108.39420807162546</v>
      </c>
      <c r="D119" s="178">
        <f t="shared" si="7"/>
        <v>724.9131121400046</v>
      </c>
      <c r="E119" s="178">
        <f t="shared" si="8"/>
        <v>833.3073202116301</v>
      </c>
      <c r="F119" s="178">
        <f t="shared" si="9"/>
        <v>10888.752038391294</v>
      </c>
    </row>
    <row r="120" spans="1:6" ht="12.75">
      <c r="A120" s="1">
        <v>107</v>
      </c>
      <c r="B120" s="177">
        <f t="shared" si="5"/>
        <v>0.009333333333333334</v>
      </c>
      <c r="C120" s="178">
        <f t="shared" si="6"/>
        <v>101.62835235831875</v>
      </c>
      <c r="D120" s="178">
        <f t="shared" si="7"/>
        <v>731.6789678533114</v>
      </c>
      <c r="E120" s="178">
        <f t="shared" si="8"/>
        <v>833.3073202116301</v>
      </c>
      <c r="F120" s="178">
        <f t="shared" si="9"/>
        <v>10157.073070537983</v>
      </c>
    </row>
    <row r="121" spans="1:9" ht="12.75">
      <c r="A121" s="1">
        <v>108</v>
      </c>
      <c r="B121" s="177">
        <f t="shared" si="5"/>
        <v>0.009333333333333334</v>
      </c>
      <c r="C121" s="178">
        <f t="shared" si="6"/>
        <v>94.79934865835452</v>
      </c>
      <c r="D121" s="178">
        <f t="shared" si="7"/>
        <v>738.5079715532756</v>
      </c>
      <c r="E121" s="178">
        <f t="shared" si="8"/>
        <v>833.3073202116301</v>
      </c>
      <c r="F121" s="178">
        <f t="shared" si="9"/>
        <v>9418.565098984707</v>
      </c>
      <c r="G121" s="178">
        <f>+SUM(C110:C121)</f>
        <v>1574.6986862364784</v>
      </c>
      <c r="H121" s="178">
        <f>+SUM(D110:D121)</f>
        <v>8424.989156303083</v>
      </c>
      <c r="I121" s="272" t="s">
        <v>217</v>
      </c>
    </row>
    <row r="122" spans="1:6" ht="12.75">
      <c r="A122" s="1">
        <v>109</v>
      </c>
      <c r="B122" s="177">
        <f t="shared" si="5"/>
        <v>0.009333333333333334</v>
      </c>
      <c r="C122" s="178">
        <f t="shared" si="6"/>
        <v>87.90660759052395</v>
      </c>
      <c r="D122" s="178">
        <f t="shared" si="7"/>
        <v>745.4007126211061</v>
      </c>
      <c r="E122" s="178">
        <f t="shared" si="8"/>
        <v>833.3073202116301</v>
      </c>
      <c r="F122" s="178">
        <f t="shared" si="9"/>
        <v>8673.164386363602</v>
      </c>
    </row>
    <row r="123" spans="1:6" ht="12.75">
      <c r="A123" s="1">
        <v>110</v>
      </c>
      <c r="B123" s="177">
        <f t="shared" si="5"/>
        <v>0.009333333333333334</v>
      </c>
      <c r="C123" s="178">
        <f t="shared" si="6"/>
        <v>80.94953427272695</v>
      </c>
      <c r="D123" s="178">
        <f t="shared" si="7"/>
        <v>752.3577859389031</v>
      </c>
      <c r="E123" s="178">
        <f t="shared" si="8"/>
        <v>833.3073202116301</v>
      </c>
      <c r="F123" s="178">
        <f t="shared" si="9"/>
        <v>7920.806600424698</v>
      </c>
    </row>
    <row r="124" spans="1:6" ht="12.75">
      <c r="A124" s="1">
        <v>111</v>
      </c>
      <c r="B124" s="177">
        <f t="shared" si="5"/>
        <v>0.009333333333333334</v>
      </c>
      <c r="C124" s="178">
        <f t="shared" si="6"/>
        <v>73.92752827063053</v>
      </c>
      <c r="D124" s="178">
        <f t="shared" si="7"/>
        <v>759.3797919409996</v>
      </c>
      <c r="E124" s="178">
        <f t="shared" si="8"/>
        <v>833.3073202116301</v>
      </c>
      <c r="F124" s="178">
        <f t="shared" si="9"/>
        <v>7161.426808483699</v>
      </c>
    </row>
    <row r="125" spans="1:6" ht="12.75">
      <c r="A125" s="1">
        <v>112</v>
      </c>
      <c r="B125" s="177">
        <f t="shared" si="5"/>
        <v>0.009333333333333334</v>
      </c>
      <c r="C125" s="178">
        <f t="shared" si="6"/>
        <v>66.83998354584786</v>
      </c>
      <c r="D125" s="178">
        <f t="shared" si="7"/>
        <v>766.4673366657822</v>
      </c>
      <c r="E125" s="178">
        <f t="shared" si="8"/>
        <v>833.3073202116301</v>
      </c>
      <c r="F125" s="178">
        <f t="shared" si="9"/>
        <v>6394.959471817916</v>
      </c>
    </row>
    <row r="126" spans="1:6" ht="12.75">
      <c r="A126" s="1">
        <v>113</v>
      </c>
      <c r="B126" s="177">
        <f t="shared" si="5"/>
        <v>0.009333333333333334</v>
      </c>
      <c r="C126" s="178">
        <f t="shared" si="6"/>
        <v>59.68628840363389</v>
      </c>
      <c r="D126" s="178">
        <f t="shared" si="7"/>
        <v>773.6210318079962</v>
      </c>
      <c r="E126" s="178">
        <f t="shared" si="8"/>
        <v>833.3073202116301</v>
      </c>
      <c r="F126" s="178">
        <f t="shared" si="9"/>
        <v>5621.338440009919</v>
      </c>
    </row>
    <row r="127" spans="1:6" ht="12.75">
      <c r="A127" s="1">
        <v>114</v>
      </c>
      <c r="B127" s="177">
        <f t="shared" si="5"/>
        <v>0.009333333333333334</v>
      </c>
      <c r="C127" s="178">
        <f t="shared" si="6"/>
        <v>52.46582544009259</v>
      </c>
      <c r="D127" s="178">
        <f t="shared" si="7"/>
        <v>780.8414947715376</v>
      </c>
      <c r="E127" s="178">
        <f t="shared" si="8"/>
        <v>833.3073202116301</v>
      </c>
      <c r="F127" s="178">
        <f t="shared" si="9"/>
        <v>4840.496945238382</v>
      </c>
    </row>
    <row r="128" spans="1:6" ht="12.75">
      <c r="A128" s="1">
        <v>115</v>
      </c>
      <c r="B128" s="177">
        <f t="shared" si="5"/>
        <v>0.009333333333333334</v>
      </c>
      <c r="C128" s="178">
        <f t="shared" si="6"/>
        <v>45.17797148889157</v>
      </c>
      <c r="D128" s="178">
        <f t="shared" si="7"/>
        <v>788.1293487227385</v>
      </c>
      <c r="E128" s="178">
        <f t="shared" si="8"/>
        <v>833.3073202116301</v>
      </c>
      <c r="F128" s="178">
        <f t="shared" si="9"/>
        <v>4052.3675965156435</v>
      </c>
    </row>
    <row r="129" spans="1:6" ht="12.75">
      <c r="A129" s="1">
        <v>116</v>
      </c>
      <c r="B129" s="177">
        <f t="shared" si="5"/>
        <v>0.009333333333333334</v>
      </c>
      <c r="C129" s="178">
        <f t="shared" si="6"/>
        <v>37.82209756747934</v>
      </c>
      <c r="D129" s="178">
        <f t="shared" si="7"/>
        <v>795.4852226441508</v>
      </c>
      <c r="E129" s="178">
        <f t="shared" si="8"/>
        <v>833.3073202116301</v>
      </c>
      <c r="F129" s="178">
        <f t="shared" si="9"/>
        <v>3256.8823738714927</v>
      </c>
    </row>
    <row r="130" spans="1:6" ht="12.75">
      <c r="A130" s="1">
        <v>117</v>
      </c>
      <c r="B130" s="177">
        <f t="shared" si="5"/>
        <v>0.009333333333333334</v>
      </c>
      <c r="C130" s="178">
        <f t="shared" si="6"/>
        <v>30.3975688228006</v>
      </c>
      <c r="D130" s="178">
        <f t="shared" si="7"/>
        <v>802.9097513888295</v>
      </c>
      <c r="E130" s="178">
        <f t="shared" si="8"/>
        <v>833.3073202116301</v>
      </c>
      <c r="F130" s="178">
        <f t="shared" si="9"/>
        <v>2453.972622482663</v>
      </c>
    </row>
    <row r="131" spans="1:6" ht="12.75">
      <c r="A131" s="1">
        <v>118</v>
      </c>
      <c r="B131" s="177">
        <f t="shared" si="5"/>
        <v>0.009333333333333334</v>
      </c>
      <c r="C131" s="178">
        <f t="shared" si="6"/>
        <v>22.90374447650486</v>
      </c>
      <c r="D131" s="178">
        <f t="shared" si="7"/>
        <v>810.4035757351253</v>
      </c>
      <c r="E131" s="178">
        <f t="shared" si="8"/>
        <v>833.3073202116301</v>
      </c>
      <c r="F131" s="178">
        <f t="shared" si="9"/>
        <v>1643.5690467475379</v>
      </c>
    </row>
    <row r="132" spans="1:6" ht="12.75">
      <c r="A132" s="1">
        <v>119</v>
      </c>
      <c r="B132" s="177">
        <f t="shared" si="5"/>
        <v>0.009333333333333334</v>
      </c>
      <c r="C132" s="178">
        <f t="shared" si="6"/>
        <v>15.339977769643689</v>
      </c>
      <c r="D132" s="178">
        <f t="shared" si="7"/>
        <v>817.9673424419864</v>
      </c>
      <c r="E132" s="178">
        <f t="shared" si="8"/>
        <v>833.3073202116301</v>
      </c>
      <c r="F132" s="178">
        <f t="shared" si="9"/>
        <v>825.6017043055515</v>
      </c>
    </row>
    <row r="133" spans="1:9" ht="12.75">
      <c r="A133" s="1">
        <v>120</v>
      </c>
      <c r="B133" s="177">
        <f t="shared" si="5"/>
        <v>0.009333333333333334</v>
      </c>
      <c r="C133" s="178">
        <f t="shared" si="6"/>
        <v>7.705615906851815</v>
      </c>
      <c r="D133" s="178">
        <f t="shared" si="7"/>
        <v>825.6017043047783</v>
      </c>
      <c r="E133" s="178">
        <f t="shared" si="8"/>
        <v>833.3073202116301</v>
      </c>
      <c r="F133" s="178">
        <f t="shared" si="9"/>
        <v>7.731841833447106E-10</v>
      </c>
      <c r="G133" s="178">
        <f>+SUM(C122:C133)</f>
        <v>581.1227435556276</v>
      </c>
      <c r="H133" s="178">
        <f>+SUM(D122:D133)</f>
        <v>9418.565098983932</v>
      </c>
      <c r="I133" s="272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5:F15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4.421875" style="2" customWidth="1"/>
    <col min="2" max="2" width="19.00390625" style="2" bestFit="1" customWidth="1"/>
    <col min="3" max="3" width="11.8515625" style="2" bestFit="1" customWidth="1"/>
    <col min="4" max="4" width="8.140625" style="2" bestFit="1" customWidth="1"/>
    <col min="5" max="5" width="8.57421875" style="2" bestFit="1" customWidth="1"/>
    <col min="6" max="6" width="8.140625" style="2" bestFit="1" customWidth="1"/>
    <col min="7" max="16384" width="11.421875" style="2" customWidth="1"/>
  </cols>
  <sheetData>
    <row r="5" ht="12.75">
      <c r="D5" s="21"/>
    </row>
    <row r="6" spans="2:6" ht="12.75">
      <c r="B6" s="280" t="s">
        <v>61</v>
      </c>
      <c r="C6" s="281"/>
      <c r="D6" s="279" t="s">
        <v>60</v>
      </c>
      <c r="E6" s="279"/>
      <c r="F6" s="279"/>
    </row>
    <row r="7" spans="2:6" ht="12.75">
      <c r="B7" s="39" t="s">
        <v>118</v>
      </c>
      <c r="C7" s="22" t="s">
        <v>119</v>
      </c>
      <c r="D7" s="22" t="s">
        <v>120</v>
      </c>
      <c r="E7" s="22" t="s">
        <v>44</v>
      </c>
      <c r="F7" s="22" t="s">
        <v>45</v>
      </c>
    </row>
    <row r="8" spans="2:6" ht="12.75">
      <c r="B8" s="1" t="s">
        <v>160</v>
      </c>
      <c r="C8" s="107">
        <v>1</v>
      </c>
      <c r="D8" s="103">
        <v>250</v>
      </c>
      <c r="E8" s="62">
        <f>+D8*C8</f>
        <v>250</v>
      </c>
      <c r="F8" s="62">
        <f aca="true" t="shared" si="0" ref="F8:F14">+E8*12</f>
        <v>3000</v>
      </c>
    </row>
    <row r="9" spans="2:6" ht="12.75">
      <c r="B9" s="1" t="s">
        <v>161</v>
      </c>
      <c r="C9" s="107">
        <v>1</v>
      </c>
      <c r="D9" s="103">
        <v>240</v>
      </c>
      <c r="E9" s="62">
        <f aca="true" t="shared" si="1" ref="E9:E14">+D9*C9</f>
        <v>240</v>
      </c>
      <c r="F9" s="62">
        <f t="shared" si="0"/>
        <v>2880</v>
      </c>
    </row>
    <row r="10" spans="2:6" ht="12.75">
      <c r="B10" s="1" t="s">
        <v>162</v>
      </c>
      <c r="C10" s="107">
        <v>2</v>
      </c>
      <c r="D10" s="103">
        <v>240</v>
      </c>
      <c r="E10" s="62">
        <f t="shared" si="1"/>
        <v>480</v>
      </c>
      <c r="F10" s="62">
        <f t="shared" si="0"/>
        <v>5760</v>
      </c>
    </row>
    <row r="11" spans="2:6" ht="12.75">
      <c r="B11" s="1" t="s">
        <v>163</v>
      </c>
      <c r="C11" s="107">
        <v>3</v>
      </c>
      <c r="D11" s="103">
        <v>300</v>
      </c>
      <c r="E11" s="62">
        <f t="shared" si="1"/>
        <v>900</v>
      </c>
      <c r="F11" s="62">
        <f t="shared" si="0"/>
        <v>10800</v>
      </c>
    </row>
    <row r="12" spans="2:6" ht="12.75">
      <c r="B12" s="105" t="s">
        <v>164</v>
      </c>
      <c r="C12" s="108">
        <v>1</v>
      </c>
      <c r="D12" s="106">
        <v>300</v>
      </c>
      <c r="E12" s="62">
        <f t="shared" si="1"/>
        <v>300</v>
      </c>
      <c r="F12" s="62">
        <f t="shared" si="0"/>
        <v>3600</v>
      </c>
    </row>
    <row r="13" spans="2:6" ht="12.75">
      <c r="B13" s="1" t="s">
        <v>165</v>
      </c>
      <c r="C13" s="107">
        <v>1</v>
      </c>
      <c r="D13" s="103">
        <v>400</v>
      </c>
      <c r="E13" s="62">
        <f t="shared" si="1"/>
        <v>400</v>
      </c>
      <c r="F13" s="62">
        <f t="shared" si="0"/>
        <v>4800</v>
      </c>
    </row>
    <row r="14" spans="2:6" ht="12.75">
      <c r="B14" s="1" t="s">
        <v>166</v>
      </c>
      <c r="C14" s="107">
        <v>1</v>
      </c>
      <c r="D14" s="103">
        <v>500</v>
      </c>
      <c r="E14" s="62">
        <f t="shared" si="1"/>
        <v>500</v>
      </c>
      <c r="F14" s="62">
        <f t="shared" si="0"/>
        <v>6000</v>
      </c>
    </row>
    <row r="15" spans="2:6" ht="12.75">
      <c r="B15" s="22" t="s">
        <v>46</v>
      </c>
      <c r="C15" s="64">
        <f>SUM(C8:C14)</f>
        <v>10</v>
      </c>
      <c r="D15" s="58">
        <f>SUM(D8:D14)</f>
        <v>2230</v>
      </c>
      <c r="E15" s="58">
        <f>SUM(E8:E14)</f>
        <v>3070</v>
      </c>
      <c r="F15" s="58">
        <f>SUM(F8:F14)</f>
        <v>36840</v>
      </c>
    </row>
  </sheetData>
  <sheetProtection/>
  <mergeCells count="2">
    <mergeCell ref="D6:F6"/>
    <mergeCell ref="B6:C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E42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1.421875" style="188" customWidth="1"/>
    <col min="2" max="2" width="31.00390625" style="188" bestFit="1" customWidth="1"/>
    <col min="3" max="3" width="15.00390625" style="188" customWidth="1"/>
    <col min="4" max="4" width="16.28125" style="188" customWidth="1"/>
    <col min="5" max="5" width="13.00390625" style="188" customWidth="1"/>
    <col min="6" max="16384" width="11.421875" style="188" customWidth="1"/>
  </cols>
  <sheetData>
    <row r="3" spans="2:5" ht="15">
      <c r="B3" s="282" t="s">
        <v>244</v>
      </c>
      <c r="C3" s="282"/>
      <c r="D3" s="282"/>
      <c r="E3" s="282"/>
    </row>
    <row r="4" ht="9.75" customHeight="1" thickBot="1"/>
    <row r="5" spans="2:5" ht="15.75" thickBot="1">
      <c r="B5" s="189" t="s">
        <v>245</v>
      </c>
      <c r="C5" s="190" t="s">
        <v>246</v>
      </c>
      <c r="D5" s="190" t="s">
        <v>247</v>
      </c>
      <c r="E5" s="191" t="s">
        <v>248</v>
      </c>
    </row>
    <row r="6" spans="2:5" ht="15">
      <c r="B6" s="192" t="s">
        <v>249</v>
      </c>
      <c r="C6" s="193"/>
      <c r="D6" s="193"/>
      <c r="E6" s="194"/>
    </row>
    <row r="7" spans="2:5" ht="15">
      <c r="B7" s="195" t="s">
        <v>250</v>
      </c>
      <c r="C7" s="196">
        <v>140</v>
      </c>
      <c r="D7" s="193">
        <v>138</v>
      </c>
      <c r="E7" s="197">
        <f>C7*D7</f>
        <v>19320</v>
      </c>
    </row>
    <row r="8" spans="2:5" ht="15">
      <c r="B8" s="195"/>
      <c r="C8" s="193"/>
      <c r="D8" s="193"/>
      <c r="E8" s="197"/>
    </row>
    <row r="9" spans="2:5" ht="15">
      <c r="B9" s="192" t="s">
        <v>251</v>
      </c>
      <c r="C9" s="196">
        <f>SUM(C10:C13)</f>
        <v>103</v>
      </c>
      <c r="D9" s="193">
        <v>500</v>
      </c>
      <c r="E9" s="197">
        <f>D9*C9</f>
        <v>51500</v>
      </c>
    </row>
    <row r="10" spans="2:5" ht="15">
      <c r="B10" s="195" t="s">
        <v>252</v>
      </c>
      <c r="C10" s="198">
        <v>30</v>
      </c>
      <c r="D10" s="193"/>
      <c r="E10" s="194"/>
    </row>
    <row r="11" spans="2:5" ht="15">
      <c r="B11" s="195" t="s">
        <v>253</v>
      </c>
      <c r="C11" s="198">
        <v>50</v>
      </c>
      <c r="D11" s="193"/>
      <c r="E11" s="194"/>
    </row>
    <row r="12" spans="2:5" ht="15">
      <c r="B12" s="195" t="s">
        <v>254</v>
      </c>
      <c r="C12" s="198">
        <v>15</v>
      </c>
      <c r="D12" s="193"/>
      <c r="E12" s="194"/>
    </row>
    <row r="13" spans="2:5" ht="15">
      <c r="B13" s="195" t="s">
        <v>275</v>
      </c>
      <c r="C13" s="198">
        <v>8</v>
      </c>
      <c r="D13" s="193"/>
      <c r="E13" s="199"/>
    </row>
    <row r="14" spans="2:5" ht="15.75" thickBot="1">
      <c r="B14" s="200" t="s">
        <v>255</v>
      </c>
      <c r="C14" s="201"/>
      <c r="D14" s="201"/>
      <c r="E14" s="202">
        <f>SUM(E7:E9)</f>
        <v>70820</v>
      </c>
    </row>
    <row r="17" spans="2:5" ht="15">
      <c r="B17" s="282" t="s">
        <v>244</v>
      </c>
      <c r="C17" s="282"/>
      <c r="D17" s="282"/>
      <c r="E17" s="282"/>
    </row>
    <row r="18" ht="15.75" thickBot="1"/>
    <row r="19" spans="2:5" ht="15.75" thickBot="1">
      <c r="B19" s="189" t="s">
        <v>245</v>
      </c>
      <c r="C19" s="190" t="s">
        <v>246</v>
      </c>
      <c r="D19" s="190" t="s">
        <v>247</v>
      </c>
      <c r="E19" s="191" t="s">
        <v>248</v>
      </c>
    </row>
    <row r="20" spans="2:5" ht="15">
      <c r="B20" s="192" t="s">
        <v>249</v>
      </c>
      <c r="C20" s="193"/>
      <c r="D20" s="193"/>
      <c r="E20" s="194"/>
    </row>
    <row r="21" spans="2:5" ht="15">
      <c r="B21" s="195" t="s">
        <v>250</v>
      </c>
      <c r="C21" s="196">
        <v>200</v>
      </c>
      <c r="D21" s="193">
        <v>138</v>
      </c>
      <c r="E21" s="197">
        <f>C21*D21</f>
        <v>27600</v>
      </c>
    </row>
    <row r="22" spans="2:5" ht="15">
      <c r="B22" s="195"/>
      <c r="C22" s="193"/>
      <c r="D22" s="193"/>
      <c r="E22" s="197"/>
    </row>
    <row r="23" spans="2:5" ht="15">
      <c r="B23" s="192" t="s">
        <v>251</v>
      </c>
      <c r="C23" s="196">
        <f>SUM(C24:C27)</f>
        <v>163</v>
      </c>
      <c r="D23" s="193">
        <v>500</v>
      </c>
      <c r="E23" s="197">
        <f>D23*C23</f>
        <v>81500</v>
      </c>
    </row>
    <row r="24" spans="2:5" ht="15">
      <c r="B24" s="195" t="s">
        <v>252</v>
      </c>
      <c r="C24" s="198">
        <v>40</v>
      </c>
      <c r="D24" s="193"/>
      <c r="E24" s="194"/>
    </row>
    <row r="25" spans="2:5" ht="15">
      <c r="B25" s="195" t="s">
        <v>253</v>
      </c>
      <c r="C25" s="198">
        <v>80</v>
      </c>
      <c r="D25" s="193"/>
      <c r="E25" s="194"/>
    </row>
    <row r="26" spans="2:5" ht="15">
      <c r="B26" s="195" t="s">
        <v>254</v>
      </c>
      <c r="C26" s="198">
        <v>25</v>
      </c>
      <c r="D26" s="193"/>
      <c r="E26" s="194"/>
    </row>
    <row r="27" spans="2:5" ht="15">
      <c r="B27" s="195" t="s">
        <v>275</v>
      </c>
      <c r="C27" s="198">
        <v>18</v>
      </c>
      <c r="D27" s="193"/>
      <c r="E27" s="199"/>
    </row>
    <row r="28" spans="2:5" ht="15.75" thickBot="1">
      <c r="B28" s="200" t="s">
        <v>255</v>
      </c>
      <c r="C28" s="201"/>
      <c r="D28" s="201"/>
      <c r="E28" s="202">
        <f>SUM(E21:E23)</f>
        <v>109100</v>
      </c>
    </row>
    <row r="31" spans="2:5" ht="15">
      <c r="B31" s="282" t="s">
        <v>244</v>
      </c>
      <c r="C31" s="282"/>
      <c r="D31" s="282"/>
      <c r="E31" s="282"/>
    </row>
    <row r="32" ht="15.75" thickBot="1"/>
    <row r="33" spans="2:5" ht="15.75" thickBot="1">
      <c r="B33" s="189" t="s">
        <v>245</v>
      </c>
      <c r="C33" s="190" t="s">
        <v>246</v>
      </c>
      <c r="D33" s="190" t="s">
        <v>247</v>
      </c>
      <c r="E33" s="191" t="s">
        <v>248</v>
      </c>
    </row>
    <row r="34" spans="2:5" ht="15">
      <c r="B34" s="192" t="s">
        <v>249</v>
      </c>
      <c r="C34" s="193"/>
      <c r="D34" s="193"/>
      <c r="E34" s="194"/>
    </row>
    <row r="35" spans="2:5" ht="15">
      <c r="B35" s="195" t="s">
        <v>250</v>
      </c>
      <c r="C35" s="196">
        <v>250</v>
      </c>
      <c r="D35" s="193">
        <v>138</v>
      </c>
      <c r="E35" s="197">
        <f>C35*D35</f>
        <v>34500</v>
      </c>
    </row>
    <row r="36" spans="2:5" ht="15">
      <c r="B36" s="195"/>
      <c r="C36" s="193"/>
      <c r="D36" s="193"/>
      <c r="E36" s="197"/>
    </row>
    <row r="37" spans="2:5" ht="15">
      <c r="B37" s="192" t="s">
        <v>251</v>
      </c>
      <c r="C37" s="196">
        <f>SUM(C38:C41)</f>
        <v>208</v>
      </c>
      <c r="D37" s="193">
        <v>500</v>
      </c>
      <c r="E37" s="197">
        <f>D37*C37</f>
        <v>104000</v>
      </c>
    </row>
    <row r="38" spans="2:5" ht="15">
      <c r="B38" s="195" t="s">
        <v>252</v>
      </c>
      <c r="C38" s="198">
        <v>50</v>
      </c>
      <c r="D38" s="193"/>
      <c r="E38" s="194"/>
    </row>
    <row r="39" spans="2:5" ht="15">
      <c r="B39" s="195" t="s">
        <v>253</v>
      </c>
      <c r="C39" s="198">
        <v>100</v>
      </c>
      <c r="D39" s="193"/>
      <c r="E39" s="194"/>
    </row>
    <row r="40" spans="2:5" ht="15">
      <c r="B40" s="195" t="s">
        <v>254</v>
      </c>
      <c r="C40" s="198">
        <v>40</v>
      </c>
      <c r="D40" s="193"/>
      <c r="E40" s="194"/>
    </row>
    <row r="41" spans="2:5" ht="15">
      <c r="B41" s="195" t="s">
        <v>275</v>
      </c>
      <c r="C41" s="198">
        <v>18</v>
      </c>
      <c r="D41" s="193"/>
      <c r="E41" s="199"/>
    </row>
    <row r="42" spans="2:5" ht="15.75" thickBot="1">
      <c r="B42" s="200" t="s">
        <v>255</v>
      </c>
      <c r="C42" s="201"/>
      <c r="D42" s="201"/>
      <c r="E42" s="202">
        <f>SUM(E35:E37)</f>
        <v>138500</v>
      </c>
    </row>
  </sheetData>
  <sheetProtection/>
  <mergeCells count="3">
    <mergeCell ref="B3:E3"/>
    <mergeCell ref="B17:E17"/>
    <mergeCell ref="B31:E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4:J8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14.57421875" style="2" bestFit="1" customWidth="1"/>
    <col min="2" max="2" width="11.57421875" style="2" bestFit="1" customWidth="1"/>
    <col min="3" max="3" width="10.28125" style="2" customWidth="1"/>
    <col min="4" max="4" width="9.57421875" style="2" bestFit="1" customWidth="1"/>
    <col min="5" max="12" width="11.28125" style="2" bestFit="1" customWidth="1"/>
    <col min="13" max="16384" width="11.421875" style="2" customWidth="1"/>
  </cols>
  <sheetData>
    <row r="1" ht="12.75"/>
    <row r="2" ht="12.75"/>
    <row r="3" ht="12.75"/>
    <row r="4" ht="12.75">
      <c r="J4" s="2">
        <v>7</v>
      </c>
    </row>
    <row r="5" spans="1:10" ht="12.75">
      <c r="A5" s="19" t="s">
        <v>125</v>
      </c>
      <c r="J5" s="2">
        <v>11</v>
      </c>
    </row>
    <row r="6" spans="1:10" ht="12.75">
      <c r="A6" s="19" t="s">
        <v>122</v>
      </c>
      <c r="B6" s="50">
        <v>10</v>
      </c>
      <c r="C6" s="19" t="s">
        <v>124</v>
      </c>
      <c r="J6" s="2">
        <f>+J5*J4</f>
        <v>77</v>
      </c>
    </row>
    <row r="7" spans="1:10" ht="13.5" thickBot="1">
      <c r="A7" s="65" t="s">
        <v>123</v>
      </c>
      <c r="B7" s="66">
        <v>15</v>
      </c>
      <c r="C7" s="65" t="str">
        <f>+C6</f>
        <v>Metros</v>
      </c>
      <c r="J7" s="2">
        <v>3</v>
      </c>
    </row>
    <row r="8" spans="1:10" ht="13.5" thickTop="1">
      <c r="A8" s="5" t="s">
        <v>46</v>
      </c>
      <c r="B8" s="67">
        <f>+B7*B6</f>
        <v>150</v>
      </c>
      <c r="C8" s="19" t="s">
        <v>126</v>
      </c>
      <c r="J8" s="2">
        <f>+J7*J6</f>
        <v>231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3:J1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7.00390625" style="2" customWidth="1"/>
    <col min="2" max="2" width="21.00390625" style="2" customWidth="1"/>
    <col min="3" max="3" width="6.57421875" style="2" customWidth="1"/>
    <col min="4" max="4" width="11.7109375" style="2" customWidth="1"/>
    <col min="5" max="5" width="12.8515625" style="2" customWidth="1"/>
    <col min="6" max="6" width="10.7109375" style="2" customWidth="1"/>
    <col min="7" max="7" width="12.8515625" style="2" customWidth="1"/>
    <col min="8" max="8" width="10.8515625" style="2" customWidth="1"/>
    <col min="9" max="9" width="12.8515625" style="2" customWidth="1"/>
    <col min="10" max="16384" width="11.421875" style="2" customWidth="1"/>
  </cols>
  <sheetData>
    <row r="3" ht="12.75">
      <c r="E3" s="78"/>
    </row>
    <row r="4" spans="2:10" ht="14.25">
      <c r="B4" s="283" t="s">
        <v>167</v>
      </c>
      <c r="C4" s="284"/>
      <c r="D4" s="284"/>
      <c r="E4" s="284"/>
      <c r="F4" s="284"/>
      <c r="G4" s="284"/>
      <c r="H4" s="284"/>
      <c r="I4" s="285"/>
      <c r="J4" s="221"/>
    </row>
    <row r="5" spans="2:9" ht="16.5" customHeight="1">
      <c r="B5" s="38"/>
      <c r="C5" s="38"/>
      <c r="D5" s="286" t="s">
        <v>168</v>
      </c>
      <c r="E5" s="287"/>
      <c r="F5" s="286" t="s">
        <v>169</v>
      </c>
      <c r="G5" s="287"/>
      <c r="H5" s="286" t="s">
        <v>175</v>
      </c>
      <c r="I5" s="287"/>
    </row>
    <row r="6" spans="2:9" ht="15.75" customHeight="1">
      <c r="B6" s="38" t="s">
        <v>170</v>
      </c>
      <c r="C6" s="38" t="s">
        <v>127</v>
      </c>
      <c r="D6" s="38" t="s">
        <v>128</v>
      </c>
      <c r="E6" s="38" t="s">
        <v>79</v>
      </c>
      <c r="F6" s="38" t="s">
        <v>128</v>
      </c>
      <c r="G6" s="38" t="s">
        <v>79</v>
      </c>
      <c r="H6" s="38" t="s">
        <v>128</v>
      </c>
      <c r="I6" s="38" t="s">
        <v>79</v>
      </c>
    </row>
    <row r="7" spans="2:9" ht="12.75">
      <c r="B7" s="19" t="s">
        <v>171</v>
      </c>
      <c r="C7" s="245">
        <v>0.4</v>
      </c>
      <c r="D7" s="19">
        <v>7</v>
      </c>
      <c r="E7" s="19">
        <f>C7*D7</f>
        <v>2.8000000000000003</v>
      </c>
      <c r="F7" s="19">
        <v>8</v>
      </c>
      <c r="G7" s="19">
        <f>C7*F7</f>
        <v>3.2</v>
      </c>
      <c r="H7" s="19">
        <v>4</v>
      </c>
      <c r="I7" s="19">
        <f>C7*H7</f>
        <v>1.6</v>
      </c>
    </row>
    <row r="8" spans="2:9" ht="12.75">
      <c r="B8" s="19" t="s">
        <v>172</v>
      </c>
      <c r="C8" s="245">
        <v>0.2</v>
      </c>
      <c r="D8" s="19">
        <v>6</v>
      </c>
      <c r="E8" s="19">
        <f>C8*D8</f>
        <v>1.2000000000000002</v>
      </c>
      <c r="F8" s="19">
        <v>7</v>
      </c>
      <c r="G8" s="19">
        <f>C8*F8</f>
        <v>1.4000000000000001</v>
      </c>
      <c r="H8" s="19">
        <v>6</v>
      </c>
      <c r="I8" s="19">
        <f>C8*H8</f>
        <v>1.2000000000000002</v>
      </c>
    </row>
    <row r="9" spans="2:9" ht="12.75">
      <c r="B9" s="19" t="s">
        <v>173</v>
      </c>
      <c r="C9" s="245">
        <v>0.25</v>
      </c>
      <c r="D9" s="19">
        <v>8</v>
      </c>
      <c r="E9" s="19">
        <f>C9*D9</f>
        <v>2</v>
      </c>
      <c r="F9" s="19">
        <v>6</v>
      </c>
      <c r="G9" s="19">
        <f>C9*F9</f>
        <v>1.5</v>
      </c>
      <c r="H9" s="19">
        <v>3</v>
      </c>
      <c r="I9" s="19">
        <f>C9*H9</f>
        <v>0.75</v>
      </c>
    </row>
    <row r="10" spans="2:9" ht="13.5" thickBot="1">
      <c r="B10" s="19" t="s">
        <v>129</v>
      </c>
      <c r="C10" s="251">
        <v>0.15</v>
      </c>
      <c r="D10" s="19">
        <v>5</v>
      </c>
      <c r="E10" s="253">
        <f>C10*D10</f>
        <v>0.75</v>
      </c>
      <c r="F10" s="19">
        <v>3</v>
      </c>
      <c r="G10" s="253">
        <f>C10*F10</f>
        <v>0.44999999999999996</v>
      </c>
      <c r="H10" s="19">
        <v>5</v>
      </c>
      <c r="I10" s="253">
        <f>C10*H10</f>
        <v>0.75</v>
      </c>
    </row>
    <row r="11" spans="2:9" ht="13.5" thickTop="1">
      <c r="B11" s="38" t="s">
        <v>174</v>
      </c>
      <c r="C11" s="250">
        <f>SUM(C7:C10)</f>
        <v>1</v>
      </c>
      <c r="D11" s="38"/>
      <c r="E11" s="252">
        <f>SUM(E7:E10)</f>
        <v>6.75</v>
      </c>
      <c r="F11" s="38"/>
      <c r="G11" s="254">
        <f>SUM(G7:G10)</f>
        <v>6.550000000000001</v>
      </c>
      <c r="H11" s="38"/>
      <c r="I11" s="254">
        <f>SUM(I7:I10)</f>
        <v>4.300000000000001</v>
      </c>
    </row>
  </sheetData>
  <sheetProtection/>
  <mergeCells count="4">
    <mergeCell ref="B4:I4"/>
    <mergeCell ref="D5:E5"/>
    <mergeCell ref="F5:G5"/>
    <mergeCell ref="H5:I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F24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5.421875" style="2" customWidth="1"/>
    <col min="2" max="2" width="38.57421875" style="2" bestFit="1" customWidth="1"/>
    <col min="3" max="3" width="11.7109375" style="2" bestFit="1" customWidth="1"/>
    <col min="4" max="4" width="10.7109375" style="2" bestFit="1" customWidth="1"/>
    <col min="5" max="5" width="11.57421875" style="2" bestFit="1" customWidth="1"/>
    <col min="6" max="16384" width="11.421875" style="2" customWidth="1"/>
  </cols>
  <sheetData>
    <row r="2" spans="2:5" ht="23.25" customHeight="1">
      <c r="B2" s="289" t="s">
        <v>265</v>
      </c>
      <c r="C2" s="290"/>
      <c r="D2" s="291"/>
      <c r="E2" s="221"/>
    </row>
    <row r="3" spans="2:4" s="234" customFormat="1" ht="12.75">
      <c r="B3" s="233" t="s">
        <v>38</v>
      </c>
      <c r="C3" s="233" t="s">
        <v>39</v>
      </c>
      <c r="D3" s="233" t="s">
        <v>15</v>
      </c>
    </row>
    <row r="4" spans="2:4" ht="12.75">
      <c r="B4" s="31" t="s">
        <v>40</v>
      </c>
      <c r="C4" s="33"/>
      <c r="D4" s="33">
        <f>SUM(C5:C9)</f>
        <v>2100</v>
      </c>
    </row>
    <row r="5" spans="2:4" ht="12.75">
      <c r="B5" s="31" t="s">
        <v>107</v>
      </c>
      <c r="C5" s="33">
        <v>400</v>
      </c>
      <c r="D5" s="33"/>
    </row>
    <row r="6" spans="2:4" ht="12.75">
      <c r="B6" s="80" t="s">
        <v>41</v>
      </c>
      <c r="C6" s="33">
        <v>200</v>
      </c>
      <c r="D6" s="33"/>
    </row>
    <row r="7" spans="2:4" ht="12.75">
      <c r="B7" s="80" t="s">
        <v>43</v>
      </c>
      <c r="C7" s="33">
        <v>150</v>
      </c>
      <c r="D7" s="33"/>
    </row>
    <row r="8" spans="2:4" ht="12.75">
      <c r="B8" s="80" t="s">
        <v>42</v>
      </c>
      <c r="C8" s="33">
        <v>1100</v>
      </c>
      <c r="D8" s="33"/>
    </row>
    <row r="9" spans="2:6" ht="12.75">
      <c r="B9" s="80" t="s">
        <v>93</v>
      </c>
      <c r="C9" s="33">
        <v>250</v>
      </c>
      <c r="D9" s="33"/>
      <c r="F9" s="15"/>
    </row>
    <row r="10" spans="2:4" ht="13.5" thickBot="1">
      <c r="B10" s="31" t="s">
        <v>36</v>
      </c>
      <c r="C10" s="33"/>
      <c r="D10" s="34">
        <v>1000</v>
      </c>
    </row>
    <row r="11" spans="2:4" ht="13.5" thickTop="1">
      <c r="B11" s="288" t="s">
        <v>15</v>
      </c>
      <c r="C11" s="288"/>
      <c r="D11" s="46">
        <f>SUM(D4:D10)</f>
        <v>3100</v>
      </c>
    </row>
    <row r="13" spans="1:4" ht="12.75">
      <c r="A13" s="237"/>
      <c r="B13" s="235"/>
      <c r="C13" s="236"/>
      <c r="D13" s="218"/>
    </row>
    <row r="14" spans="2:3" ht="24.75" customHeight="1">
      <c r="B14" s="292" t="s">
        <v>69</v>
      </c>
      <c r="C14" s="292"/>
    </row>
    <row r="15" spans="2:3" ht="12.75">
      <c r="B15" s="22" t="s">
        <v>28</v>
      </c>
      <c r="C15" s="22" t="s">
        <v>37</v>
      </c>
    </row>
    <row r="16" spans="2:3" ht="12.75">
      <c r="B16" s="31" t="s">
        <v>121</v>
      </c>
      <c r="C16" s="33">
        <f>+EQUIPOS!E10</f>
        <v>39000</v>
      </c>
    </row>
    <row r="17" spans="2:3" ht="12.75">
      <c r="B17" s="31" t="s">
        <v>242</v>
      </c>
      <c r="C17" s="33">
        <v>70820</v>
      </c>
    </row>
    <row r="18" spans="2:3" ht="12.75">
      <c r="B18" s="31" t="s">
        <v>230</v>
      </c>
      <c r="C18" s="33">
        <v>22500</v>
      </c>
    </row>
    <row r="19" spans="2:3" ht="12.75">
      <c r="B19" s="31" t="s">
        <v>0</v>
      </c>
      <c r="C19" s="33">
        <f>+Equipamiento!E15</f>
        <v>1570</v>
      </c>
    </row>
    <row r="20" spans="2:3" ht="12.75">
      <c r="B20" s="31" t="s">
        <v>1</v>
      </c>
      <c r="C20" s="33">
        <f>+Equipamiento!E24</f>
        <v>5350</v>
      </c>
    </row>
    <row r="21" spans="2:3" ht="12.75">
      <c r="B21" s="31" t="s">
        <v>20</v>
      </c>
      <c r="C21" s="33">
        <f>+Equipamiento!E33</f>
        <v>1830</v>
      </c>
    </row>
    <row r="22" spans="2:3" ht="12.75">
      <c r="B22" s="31" t="s">
        <v>40</v>
      </c>
      <c r="C22" s="33">
        <f>+D4</f>
        <v>2100</v>
      </c>
    </row>
    <row r="23" spans="2:3" ht="13.5" thickBot="1">
      <c r="B23" s="31" t="s">
        <v>36</v>
      </c>
      <c r="C23" s="34">
        <f>+D10</f>
        <v>1000</v>
      </c>
    </row>
    <row r="24" spans="2:3" ht="13.5" thickTop="1">
      <c r="B24" s="22" t="s">
        <v>46</v>
      </c>
      <c r="C24" s="46">
        <f>SUM(C16:C23)</f>
        <v>144170</v>
      </c>
    </row>
  </sheetData>
  <sheetProtection/>
  <mergeCells count="3">
    <mergeCell ref="B11:C11"/>
    <mergeCell ref="B2:D2"/>
    <mergeCell ref="B14:C14"/>
  </mergeCells>
  <printOptions/>
  <pageMargins left="0.75" right="0.75" top="1" bottom="1" header="0" footer="0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35"/>
  <sheetViews>
    <sheetView zoomScale="75" zoomScaleNormal="75" zoomScalePageLayoutView="0" workbookViewId="0" topLeftCell="A1">
      <selection activeCell="D8" sqref="D8"/>
    </sheetView>
  </sheetViews>
  <sheetFormatPr defaultColWidth="11.421875" defaultRowHeight="12.75"/>
  <cols>
    <col min="1" max="1" width="6.421875" style="2" customWidth="1"/>
    <col min="2" max="2" width="47.8515625" style="2" bestFit="1" customWidth="1"/>
    <col min="3" max="3" width="11.28125" style="2" customWidth="1"/>
    <col min="4" max="4" width="9.7109375" style="2" customWidth="1"/>
    <col min="5" max="5" width="12.28125" style="2" bestFit="1" customWidth="1"/>
    <col min="6" max="6" width="12.140625" style="2" customWidth="1"/>
    <col min="7" max="16384" width="11.421875" style="2" customWidth="1"/>
  </cols>
  <sheetData>
    <row r="1" spans="2:3" ht="15">
      <c r="B1" s="43" t="s">
        <v>105</v>
      </c>
      <c r="C1" s="43"/>
    </row>
    <row r="3" ht="15">
      <c r="B3" s="43" t="s">
        <v>68</v>
      </c>
    </row>
    <row r="4" spans="1:7" ht="12.75">
      <c r="A4" s="30"/>
      <c r="B4" s="29"/>
      <c r="C4" s="29"/>
      <c r="D4" s="29"/>
      <c r="E4" s="29"/>
      <c r="F4" s="29"/>
      <c r="G4" s="30"/>
    </row>
    <row r="5" spans="1:7" ht="25.5">
      <c r="A5" s="30"/>
      <c r="B5" s="38" t="s">
        <v>3</v>
      </c>
      <c r="C5" s="38" t="s">
        <v>4</v>
      </c>
      <c r="D5" s="38" t="s">
        <v>5</v>
      </c>
      <c r="E5" s="38" t="s">
        <v>6</v>
      </c>
      <c r="F5" s="38" t="s">
        <v>7</v>
      </c>
      <c r="G5" s="30"/>
    </row>
    <row r="6" spans="1:7" ht="12.75">
      <c r="A6" s="30"/>
      <c r="B6" s="32" t="s">
        <v>177</v>
      </c>
      <c r="C6" s="31"/>
      <c r="D6" s="31"/>
      <c r="E6" s="31"/>
      <c r="F6" s="31"/>
      <c r="G6" s="30"/>
    </row>
    <row r="7" spans="1:7" ht="12.75">
      <c r="A7" s="30"/>
      <c r="B7" s="31" t="s">
        <v>8</v>
      </c>
      <c r="C7" s="35">
        <v>3</v>
      </c>
      <c r="D7" s="33">
        <v>50</v>
      </c>
      <c r="E7" s="33">
        <f aca="true" t="shared" si="0" ref="E7:E14">+C7*D7</f>
        <v>150</v>
      </c>
      <c r="F7" s="31">
        <v>10</v>
      </c>
      <c r="G7" s="30"/>
    </row>
    <row r="8" spans="1:7" ht="12.75">
      <c r="A8" s="30"/>
      <c r="B8" s="31" t="s">
        <v>9</v>
      </c>
      <c r="C8" s="35">
        <v>1</v>
      </c>
      <c r="D8" s="33">
        <v>200</v>
      </c>
      <c r="E8" s="33">
        <f t="shared" si="0"/>
        <v>200</v>
      </c>
      <c r="F8" s="31">
        <v>10</v>
      </c>
      <c r="G8" s="30"/>
    </row>
    <row r="9" spans="1:7" ht="12.75">
      <c r="A9" s="30"/>
      <c r="B9" s="31" t="s">
        <v>10</v>
      </c>
      <c r="C9" s="35">
        <v>1</v>
      </c>
      <c r="D9" s="33">
        <v>70</v>
      </c>
      <c r="E9" s="33">
        <f t="shared" si="0"/>
        <v>70</v>
      </c>
      <c r="F9" s="31">
        <v>10</v>
      </c>
      <c r="G9" s="30"/>
    </row>
    <row r="10" spans="1:6" ht="12.75">
      <c r="A10" s="30"/>
      <c r="B10" s="31" t="s">
        <v>11</v>
      </c>
      <c r="C10" s="35">
        <v>1</v>
      </c>
      <c r="D10" s="33">
        <v>80</v>
      </c>
      <c r="E10" s="33">
        <f t="shared" si="0"/>
        <v>80</v>
      </c>
      <c r="F10" s="31">
        <v>10</v>
      </c>
    </row>
    <row r="11" spans="1:6" ht="12.75">
      <c r="A11" s="30"/>
      <c r="B11" s="31" t="s">
        <v>14</v>
      </c>
      <c r="C11" s="35">
        <v>2</v>
      </c>
      <c r="D11" s="33">
        <v>60</v>
      </c>
      <c r="E11" s="33">
        <f t="shared" si="0"/>
        <v>120</v>
      </c>
      <c r="F11" s="31">
        <v>10</v>
      </c>
    </row>
    <row r="12" spans="1:7" ht="12.75">
      <c r="A12" s="30"/>
      <c r="B12" s="31" t="s">
        <v>178</v>
      </c>
      <c r="C12" s="35">
        <v>4</v>
      </c>
      <c r="D12" s="33">
        <v>30</v>
      </c>
      <c r="E12" s="33">
        <f t="shared" si="0"/>
        <v>120</v>
      </c>
      <c r="F12" s="31">
        <v>10</v>
      </c>
      <c r="G12" s="30"/>
    </row>
    <row r="13" spans="1:7" ht="12.75">
      <c r="A13" s="30"/>
      <c r="B13" s="5" t="s">
        <v>103</v>
      </c>
      <c r="C13" s="36">
        <v>4</v>
      </c>
      <c r="D13" s="33">
        <v>150</v>
      </c>
      <c r="E13" s="33">
        <f t="shared" si="0"/>
        <v>600</v>
      </c>
      <c r="F13" s="31">
        <v>10</v>
      </c>
      <c r="G13" s="30"/>
    </row>
    <row r="14" spans="1:7" ht="12.75">
      <c r="A14" s="30"/>
      <c r="B14" s="5" t="s">
        <v>12</v>
      </c>
      <c r="C14" s="36">
        <v>1</v>
      </c>
      <c r="D14" s="33">
        <v>230</v>
      </c>
      <c r="E14" s="33">
        <f t="shared" si="0"/>
        <v>230</v>
      </c>
      <c r="F14" s="31">
        <v>10</v>
      </c>
      <c r="G14" s="30"/>
    </row>
    <row r="15" spans="1:7" ht="12.75">
      <c r="A15" s="30"/>
      <c r="B15" s="279" t="s">
        <v>15</v>
      </c>
      <c r="C15" s="279"/>
      <c r="D15" s="279"/>
      <c r="E15" s="46">
        <f>SUM(E7:E14)</f>
        <v>1570</v>
      </c>
      <c r="F15" s="29"/>
      <c r="G15" s="30"/>
    </row>
    <row r="16" spans="1:7" ht="12.75">
      <c r="A16" s="30"/>
      <c r="B16" s="29"/>
      <c r="C16" s="29"/>
      <c r="D16" s="29"/>
      <c r="E16" s="29"/>
      <c r="F16" s="29"/>
      <c r="G16" s="30"/>
    </row>
    <row r="17" spans="1:7" ht="25.5">
      <c r="A17" s="30"/>
      <c r="B17" s="38" t="s">
        <v>1</v>
      </c>
      <c r="C17" s="38" t="s">
        <v>4</v>
      </c>
      <c r="D17" s="38" t="s">
        <v>5</v>
      </c>
      <c r="E17" s="38" t="s">
        <v>6</v>
      </c>
      <c r="F17" s="38" t="s">
        <v>7</v>
      </c>
      <c r="G17" s="30"/>
    </row>
    <row r="18" spans="1:7" ht="12.75">
      <c r="A18" s="30"/>
      <c r="B18" s="32" t="s">
        <v>13</v>
      </c>
      <c r="C18" s="31"/>
      <c r="D18" s="31"/>
      <c r="E18" s="31"/>
      <c r="F18" s="31"/>
      <c r="G18" s="30"/>
    </row>
    <row r="19" spans="1:7" ht="12.75">
      <c r="A19" s="30"/>
      <c r="B19" s="31" t="s">
        <v>16</v>
      </c>
      <c r="C19" s="35">
        <v>3</v>
      </c>
      <c r="D19" s="33">
        <v>600</v>
      </c>
      <c r="E19" s="33">
        <f>+C19*D19</f>
        <v>1800</v>
      </c>
      <c r="F19" s="31">
        <v>3</v>
      </c>
      <c r="G19" s="30"/>
    </row>
    <row r="20" spans="1:7" ht="12.75">
      <c r="A20" s="30"/>
      <c r="B20" s="31" t="s">
        <v>179</v>
      </c>
      <c r="C20" s="35">
        <v>2</v>
      </c>
      <c r="D20" s="33">
        <v>200</v>
      </c>
      <c r="E20" s="33">
        <f>+C20*D20</f>
        <v>400</v>
      </c>
      <c r="F20" s="31">
        <v>3</v>
      </c>
      <c r="G20" s="30"/>
    </row>
    <row r="21" spans="1:7" ht="12.75">
      <c r="A21" s="30"/>
      <c r="B21" s="31" t="s">
        <v>17</v>
      </c>
      <c r="C21" s="35">
        <v>1</v>
      </c>
      <c r="D21" s="33">
        <v>1500</v>
      </c>
      <c r="E21" s="33">
        <f>+C21*D21</f>
        <v>1500</v>
      </c>
      <c r="F21" s="31">
        <v>3</v>
      </c>
      <c r="G21" s="30"/>
    </row>
    <row r="22" spans="1:7" ht="12.75">
      <c r="A22" s="30"/>
      <c r="B22" s="31" t="s">
        <v>18</v>
      </c>
      <c r="C22" s="35">
        <v>1</v>
      </c>
      <c r="D22" s="33">
        <v>1500</v>
      </c>
      <c r="E22" s="33">
        <f>+C22*D22</f>
        <v>1500</v>
      </c>
      <c r="F22" s="31">
        <v>3</v>
      </c>
      <c r="G22" s="30"/>
    </row>
    <row r="23" spans="1:7" ht="13.5" thickBot="1">
      <c r="A23" s="30"/>
      <c r="B23" s="31" t="s">
        <v>19</v>
      </c>
      <c r="C23" s="45">
        <v>1</v>
      </c>
      <c r="D23" s="33">
        <v>150</v>
      </c>
      <c r="E23" s="34">
        <f>+D23</f>
        <v>150</v>
      </c>
      <c r="F23" s="31">
        <v>3</v>
      </c>
      <c r="G23" s="30"/>
    </row>
    <row r="24" spans="1:7" ht="13.5" thickTop="1">
      <c r="A24" s="30"/>
      <c r="B24" s="279" t="s">
        <v>15</v>
      </c>
      <c r="C24" s="279"/>
      <c r="D24" s="279"/>
      <c r="E24" s="46">
        <f>SUM(E19:E23)</f>
        <v>5350</v>
      </c>
      <c r="F24" s="29"/>
      <c r="G24" s="30"/>
    </row>
    <row r="25" spans="1:7" ht="12.75">
      <c r="A25" s="30"/>
      <c r="B25" s="29"/>
      <c r="C25" s="29"/>
      <c r="D25" s="29"/>
      <c r="E25" s="29"/>
      <c r="F25" s="29"/>
      <c r="G25" s="30"/>
    </row>
    <row r="26" spans="1:7" ht="25.5">
      <c r="A26" s="30"/>
      <c r="B26" s="38" t="s">
        <v>20</v>
      </c>
      <c r="C26" s="38" t="s">
        <v>4</v>
      </c>
      <c r="D26" s="38" t="s">
        <v>5</v>
      </c>
      <c r="E26" s="38" t="s">
        <v>6</v>
      </c>
      <c r="F26" s="38" t="s">
        <v>7</v>
      </c>
      <c r="G26" s="30"/>
    </row>
    <row r="27" spans="1:7" ht="12.75">
      <c r="A27" s="30"/>
      <c r="B27" s="32" t="s">
        <v>13</v>
      </c>
      <c r="C27" s="41"/>
      <c r="D27" s="41"/>
      <c r="E27" s="41"/>
      <c r="F27" s="31"/>
      <c r="G27" s="30"/>
    </row>
    <row r="28" spans="1:7" ht="12.75">
      <c r="A28" s="30"/>
      <c r="B28" s="31" t="s">
        <v>21</v>
      </c>
      <c r="C28" s="35">
        <v>1</v>
      </c>
      <c r="D28" s="33">
        <v>50</v>
      </c>
      <c r="E28" s="33">
        <f>+C28*D28</f>
        <v>50</v>
      </c>
      <c r="F28" s="31">
        <v>5</v>
      </c>
      <c r="G28" s="30"/>
    </row>
    <row r="29" spans="1:7" ht="12.75">
      <c r="A29" s="30"/>
      <c r="B29" s="31" t="s">
        <v>22</v>
      </c>
      <c r="C29" s="35">
        <v>1</v>
      </c>
      <c r="D29" s="33">
        <v>120</v>
      </c>
      <c r="E29" s="33">
        <f>+C29*D29</f>
        <v>120</v>
      </c>
      <c r="F29" s="31">
        <v>5</v>
      </c>
      <c r="G29" s="30"/>
    </row>
    <row r="30" spans="1:7" ht="12.75">
      <c r="A30" s="30"/>
      <c r="B30" s="31" t="s">
        <v>23</v>
      </c>
      <c r="C30" s="35">
        <v>4</v>
      </c>
      <c r="D30" s="33">
        <v>40</v>
      </c>
      <c r="E30" s="33">
        <f>+C30*D30</f>
        <v>160</v>
      </c>
      <c r="F30" s="31">
        <v>5</v>
      </c>
      <c r="G30" s="30"/>
    </row>
    <row r="31" spans="1:7" ht="12.75">
      <c r="A31" s="30"/>
      <c r="B31" s="31" t="s">
        <v>24</v>
      </c>
      <c r="C31" s="35">
        <v>2</v>
      </c>
      <c r="D31" s="33">
        <v>450</v>
      </c>
      <c r="E31" s="33">
        <f>+C31*D31</f>
        <v>900</v>
      </c>
      <c r="F31" s="31">
        <v>5</v>
      </c>
      <c r="G31" s="30"/>
    </row>
    <row r="32" spans="1:7" ht="13.5" thickBot="1">
      <c r="A32" s="30"/>
      <c r="B32" s="31" t="s">
        <v>104</v>
      </c>
      <c r="C32" s="35">
        <v>1</v>
      </c>
      <c r="D32" s="33">
        <v>600</v>
      </c>
      <c r="E32" s="34">
        <f>+C32*D32</f>
        <v>600</v>
      </c>
      <c r="F32" s="31">
        <v>5</v>
      </c>
      <c r="G32" s="30"/>
    </row>
    <row r="33" spans="1:7" ht="13.5" thickTop="1">
      <c r="A33" s="30"/>
      <c r="B33" s="279" t="s">
        <v>15</v>
      </c>
      <c r="C33" s="279"/>
      <c r="D33" s="279"/>
      <c r="E33" s="46">
        <f>SUM(E28:E32)</f>
        <v>1830</v>
      </c>
      <c r="F33" s="29"/>
      <c r="G33" s="30"/>
    </row>
    <row r="34" spans="1:7" ht="12.75">
      <c r="A34" s="30"/>
      <c r="B34" s="279" t="s">
        <v>25</v>
      </c>
      <c r="C34" s="279"/>
      <c r="D34" s="279"/>
      <c r="E34" s="46">
        <f>+E15+E24+E33</f>
        <v>8750</v>
      </c>
      <c r="F34" s="29"/>
      <c r="G34" s="30"/>
    </row>
    <row r="35" spans="1:7" ht="12.75">
      <c r="A35" s="30"/>
      <c r="B35" s="29"/>
      <c r="C35" s="29"/>
      <c r="D35" s="29"/>
      <c r="E35" s="29" t="s">
        <v>180</v>
      </c>
      <c r="F35" s="29"/>
      <c r="G35" s="30"/>
    </row>
  </sheetData>
  <sheetProtection/>
  <mergeCells count="4">
    <mergeCell ref="B34:D34"/>
    <mergeCell ref="B15:D15"/>
    <mergeCell ref="B24:D24"/>
    <mergeCell ref="B33:D33"/>
  </mergeCells>
  <printOptions/>
  <pageMargins left="0.43" right="0.23" top="1" bottom="1" header="0" footer="0"/>
  <pageSetup horizontalDpi="180" verticalDpi="18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H13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11.421875" style="2" customWidth="1"/>
    <col min="2" max="2" width="29.00390625" style="2" bestFit="1" customWidth="1"/>
    <col min="3" max="3" width="12.8515625" style="2" customWidth="1"/>
    <col min="4" max="5" width="11.28125" style="2" customWidth="1"/>
    <col min="6" max="6" width="14.28125" style="2" customWidth="1"/>
    <col min="7" max="7" width="11.421875" style="2" customWidth="1"/>
    <col min="8" max="8" width="12.140625" style="2" bestFit="1" customWidth="1"/>
    <col min="9" max="16384" width="11.421875" style="2" customWidth="1"/>
  </cols>
  <sheetData>
    <row r="2" spans="2:6" ht="22.5" customHeight="1">
      <c r="B2" s="293" t="s">
        <v>263</v>
      </c>
      <c r="C2" s="293"/>
      <c r="D2" s="293"/>
      <c r="E2" s="293"/>
      <c r="F2" s="293"/>
    </row>
    <row r="3" spans="2:6" ht="12.75">
      <c r="B3" s="30"/>
      <c r="C3" s="30"/>
      <c r="D3" s="279" t="s">
        <v>60</v>
      </c>
      <c r="E3" s="279"/>
      <c r="F3" s="279"/>
    </row>
    <row r="4" spans="2:6" ht="25.5">
      <c r="B4" s="37" t="s">
        <v>61</v>
      </c>
      <c r="C4" s="38" t="s">
        <v>62</v>
      </c>
      <c r="D4" s="38" t="s">
        <v>120</v>
      </c>
      <c r="E4" s="38" t="s">
        <v>44</v>
      </c>
      <c r="F4" s="38" t="s">
        <v>45</v>
      </c>
    </row>
    <row r="5" spans="2:6" s="3" customFormat="1" ht="12.75">
      <c r="B5" s="1" t="s">
        <v>160</v>
      </c>
      <c r="C5" s="107">
        <v>1</v>
      </c>
      <c r="D5" s="111">
        <v>240</v>
      </c>
      <c r="E5" s="112">
        <f aca="true" t="shared" si="0" ref="E5:E11">+D5*C5</f>
        <v>240</v>
      </c>
      <c r="F5" s="112">
        <f aca="true" t="shared" si="1" ref="F5:F11">+E5*12</f>
        <v>2880</v>
      </c>
    </row>
    <row r="6" spans="2:6" ht="12.75">
      <c r="B6" s="1" t="s">
        <v>161</v>
      </c>
      <c r="C6" s="107">
        <v>1</v>
      </c>
      <c r="D6" s="111">
        <v>240</v>
      </c>
      <c r="E6" s="112">
        <f t="shared" si="0"/>
        <v>240</v>
      </c>
      <c r="F6" s="112">
        <f t="shared" si="1"/>
        <v>2880</v>
      </c>
    </row>
    <row r="7" spans="2:6" ht="12.75">
      <c r="B7" s="110" t="s">
        <v>176</v>
      </c>
      <c r="C7" s="107">
        <v>2</v>
      </c>
      <c r="D7" s="111">
        <v>240</v>
      </c>
      <c r="E7" s="112">
        <f t="shared" si="0"/>
        <v>480</v>
      </c>
      <c r="F7" s="112">
        <f t="shared" si="1"/>
        <v>5760</v>
      </c>
    </row>
    <row r="8" spans="2:8" ht="12.75">
      <c r="B8" s="1" t="s">
        <v>163</v>
      </c>
      <c r="C8" s="107">
        <v>3</v>
      </c>
      <c r="D8" s="111">
        <v>300</v>
      </c>
      <c r="E8" s="112">
        <f t="shared" si="0"/>
        <v>900</v>
      </c>
      <c r="F8" s="112">
        <f t="shared" si="1"/>
        <v>10800</v>
      </c>
      <c r="H8" s="247"/>
    </row>
    <row r="9" spans="2:6" ht="12.75">
      <c r="B9" s="105" t="s">
        <v>164</v>
      </c>
      <c r="C9" s="108">
        <v>1</v>
      </c>
      <c r="D9" s="113">
        <v>350</v>
      </c>
      <c r="E9" s="112">
        <f t="shared" si="0"/>
        <v>350</v>
      </c>
      <c r="F9" s="112">
        <f t="shared" si="1"/>
        <v>4200</v>
      </c>
    </row>
    <row r="10" spans="2:6" ht="12.75">
      <c r="B10" s="1" t="s">
        <v>165</v>
      </c>
      <c r="C10" s="107">
        <v>1</v>
      </c>
      <c r="D10" s="111">
        <v>500</v>
      </c>
      <c r="E10" s="112">
        <f t="shared" si="0"/>
        <v>500</v>
      </c>
      <c r="F10" s="112">
        <f t="shared" si="1"/>
        <v>6000</v>
      </c>
    </row>
    <row r="11" spans="2:6" ht="13.5" thickBot="1">
      <c r="B11" s="1" t="s">
        <v>166</v>
      </c>
      <c r="C11" s="240">
        <v>1</v>
      </c>
      <c r="D11" s="241">
        <v>700</v>
      </c>
      <c r="E11" s="127">
        <f t="shared" si="0"/>
        <v>700</v>
      </c>
      <c r="F11" s="127">
        <f t="shared" si="1"/>
        <v>8400</v>
      </c>
    </row>
    <row r="12" spans="2:6" ht="13.5" thickTop="1">
      <c r="B12" s="39" t="s">
        <v>262</v>
      </c>
      <c r="C12" s="42">
        <f>SUM(C5:C11)</f>
        <v>10</v>
      </c>
      <c r="D12" s="114">
        <f>SUM(D5:D11)</f>
        <v>2570</v>
      </c>
      <c r="E12" s="114">
        <f>SUM(E5:E11)</f>
        <v>3410</v>
      </c>
      <c r="F12" s="115">
        <f>SUM(F5:F11)</f>
        <v>40920</v>
      </c>
    </row>
    <row r="13" spans="2:6" ht="12.75">
      <c r="B13" s="29"/>
      <c r="C13" s="30"/>
      <c r="D13" s="30"/>
      <c r="E13" s="30"/>
      <c r="F13" s="30"/>
    </row>
  </sheetData>
  <sheetProtection/>
  <mergeCells count="2">
    <mergeCell ref="D3:F3"/>
    <mergeCell ref="B2:F2"/>
  </mergeCells>
  <printOptions/>
  <pageMargins left="0.75" right="0.75" top="1" bottom="1" header="0" footer="0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F49"/>
  <sheetViews>
    <sheetView zoomScalePageLayoutView="0" workbookViewId="0" topLeftCell="A26">
      <selection activeCell="B44" sqref="B44"/>
    </sheetView>
  </sheetViews>
  <sheetFormatPr defaultColWidth="11.421875" defaultRowHeight="12.75"/>
  <cols>
    <col min="1" max="1" width="11.421875" style="2" customWidth="1"/>
    <col min="2" max="2" width="38.57421875" style="2" customWidth="1"/>
    <col min="3" max="3" width="12.7109375" style="2" customWidth="1"/>
    <col min="4" max="4" width="13.57421875" style="2" customWidth="1"/>
    <col min="5" max="16384" width="11.421875" style="2" customWidth="1"/>
  </cols>
  <sheetData>
    <row r="2" spans="2:4" ht="15">
      <c r="B2" s="294" t="s">
        <v>84</v>
      </c>
      <c r="C2" s="295"/>
      <c r="D2" s="296"/>
    </row>
    <row r="3" spans="2:4" ht="12.75">
      <c r="B3" s="22" t="s">
        <v>38</v>
      </c>
      <c r="C3" s="47" t="s">
        <v>44</v>
      </c>
      <c r="D3" s="22" t="s">
        <v>45</v>
      </c>
    </row>
    <row r="4" spans="2:4" ht="12.75">
      <c r="B4" s="5" t="s">
        <v>99</v>
      </c>
      <c r="C4" s="118">
        <v>60</v>
      </c>
      <c r="D4" s="116">
        <f>+C4*12</f>
        <v>720</v>
      </c>
    </row>
    <row r="5" spans="2:4" ht="12.75">
      <c r="B5" s="19" t="s">
        <v>64</v>
      </c>
      <c r="C5" s="118">
        <v>150</v>
      </c>
      <c r="D5" s="116">
        <f>+C5*12</f>
        <v>1800</v>
      </c>
    </row>
    <row r="6" spans="2:4" ht="13.5" thickBot="1">
      <c r="B6" s="19" t="s">
        <v>65</v>
      </c>
      <c r="C6" s="119">
        <v>100</v>
      </c>
      <c r="D6" s="119">
        <f>+C6*12</f>
        <v>1200</v>
      </c>
    </row>
    <row r="7" spans="2:4" ht="13.5" thickTop="1">
      <c r="B7" s="48" t="s">
        <v>83</v>
      </c>
      <c r="C7" s="120">
        <f>SUM(C4:C6)</f>
        <v>310</v>
      </c>
      <c r="D7" s="120">
        <f>SUM(D4:D6)</f>
        <v>3720</v>
      </c>
    </row>
    <row r="8" spans="1:5" ht="12.75">
      <c r="A8" s="237"/>
      <c r="C8" s="243"/>
      <c r="D8" s="242"/>
      <c r="E8" s="221"/>
    </row>
    <row r="9" spans="2:4" ht="24" customHeight="1">
      <c r="B9" s="297" t="s">
        <v>81</v>
      </c>
      <c r="C9" s="298"/>
      <c r="D9" s="299"/>
    </row>
    <row r="10" spans="2:4" ht="12.75">
      <c r="B10" s="22" t="s">
        <v>38</v>
      </c>
      <c r="C10" s="47" t="s">
        <v>44</v>
      </c>
      <c r="D10" s="22" t="s">
        <v>45</v>
      </c>
    </row>
    <row r="11" spans="2:4" ht="12.75">
      <c r="B11" s="5" t="s">
        <v>63</v>
      </c>
      <c r="C11" s="121">
        <v>20</v>
      </c>
      <c r="D11" s="122">
        <f>+C11*12</f>
        <v>240</v>
      </c>
    </row>
    <row r="12" spans="2:4" s="3" customFormat="1" ht="12.75">
      <c r="B12" s="19" t="s">
        <v>80</v>
      </c>
      <c r="C12" s="121">
        <v>80</v>
      </c>
      <c r="D12" s="122">
        <f>+C12*12</f>
        <v>960</v>
      </c>
    </row>
    <row r="13" spans="2:4" s="3" customFormat="1" ht="12.75">
      <c r="B13" s="19" t="s">
        <v>181</v>
      </c>
      <c r="C13" s="121">
        <f>+C25</f>
        <v>1800</v>
      </c>
      <c r="D13" s="122">
        <f>+C13*12</f>
        <v>21600</v>
      </c>
    </row>
    <row r="14" spans="2:4" ht="12.75">
      <c r="B14" s="19" t="s">
        <v>66</v>
      </c>
      <c r="C14" s="121">
        <v>15</v>
      </c>
      <c r="D14" s="122">
        <f>+C14*12</f>
        <v>180</v>
      </c>
    </row>
    <row r="15" spans="2:4" ht="13.5" thickBot="1">
      <c r="B15" s="19" t="s">
        <v>100</v>
      </c>
      <c r="C15" s="123">
        <f>0.015*(C7+SUM(C11:C14))</f>
        <v>33.375</v>
      </c>
      <c r="D15" s="124">
        <f>+C15*12</f>
        <v>400.5</v>
      </c>
    </row>
    <row r="16" spans="2:4" ht="13.5" thickTop="1">
      <c r="B16" s="49" t="s">
        <v>82</v>
      </c>
      <c r="C16" s="125">
        <f>SUM(C11:C15)</f>
        <v>1948.375</v>
      </c>
      <c r="D16" s="125">
        <f>SUM(D11:D15)</f>
        <v>23380.5</v>
      </c>
    </row>
    <row r="18" spans="2:6" ht="15">
      <c r="B18" s="294" t="s">
        <v>260</v>
      </c>
      <c r="C18" s="295"/>
      <c r="D18" s="296"/>
      <c r="F18" s="40"/>
    </row>
    <row r="19" spans="2:4" ht="12.75">
      <c r="B19" s="22" t="s">
        <v>186</v>
      </c>
      <c r="C19" s="22" t="s">
        <v>44</v>
      </c>
      <c r="D19" s="22" t="s">
        <v>45</v>
      </c>
    </row>
    <row r="20" spans="2:4" ht="12.75">
      <c r="B20" s="5" t="s">
        <v>182</v>
      </c>
      <c r="C20" s="116">
        <v>400</v>
      </c>
      <c r="D20" s="116">
        <f aca="true" t="shared" si="0" ref="D20:D25">+C20*12</f>
        <v>4800</v>
      </c>
    </row>
    <row r="21" spans="2:4" ht="12.75">
      <c r="B21" s="19" t="s">
        <v>183</v>
      </c>
      <c r="C21" s="117">
        <v>400</v>
      </c>
      <c r="D21" s="116">
        <f t="shared" si="0"/>
        <v>4800</v>
      </c>
    </row>
    <row r="22" spans="2:4" ht="12.75">
      <c r="B22" s="19" t="s">
        <v>184</v>
      </c>
      <c r="C22" s="117">
        <v>400</v>
      </c>
      <c r="D22" s="116">
        <f t="shared" si="0"/>
        <v>4800</v>
      </c>
    </row>
    <row r="23" spans="2:4" ht="12.75">
      <c r="B23" s="19" t="s">
        <v>191</v>
      </c>
      <c r="C23" s="117">
        <v>400</v>
      </c>
      <c r="D23" s="116">
        <f t="shared" si="0"/>
        <v>4800</v>
      </c>
    </row>
    <row r="24" spans="2:4" ht="13.5" thickBot="1">
      <c r="B24" s="19" t="s">
        <v>185</v>
      </c>
      <c r="C24" s="244">
        <f>100*2</f>
        <v>200</v>
      </c>
      <c r="D24" s="119">
        <f t="shared" si="0"/>
        <v>2400</v>
      </c>
    </row>
    <row r="25" spans="2:4" ht="13.5" thickTop="1">
      <c r="B25" s="22" t="s">
        <v>187</v>
      </c>
      <c r="C25" s="125">
        <f>+SUM(C20:C24)</f>
        <v>1800</v>
      </c>
      <c r="D25" s="125">
        <f t="shared" si="0"/>
        <v>21600</v>
      </c>
    </row>
    <row r="27" spans="2:4" ht="12.75">
      <c r="B27" s="22" t="s">
        <v>38</v>
      </c>
      <c r="C27" s="47" t="s">
        <v>44</v>
      </c>
      <c r="D27" s="22" t="s">
        <v>45</v>
      </c>
    </row>
    <row r="28" spans="2:4" ht="12.75">
      <c r="B28" s="5" t="s">
        <v>101</v>
      </c>
      <c r="C28" s="170">
        <v>350</v>
      </c>
      <c r="D28" s="132">
        <f>+C28*12</f>
        <v>4200</v>
      </c>
    </row>
    <row r="29" spans="2:4" ht="13.5" thickBot="1">
      <c r="B29" s="19" t="s">
        <v>102</v>
      </c>
      <c r="C29" s="171">
        <v>800</v>
      </c>
      <c r="D29" s="172">
        <f>+C29*12</f>
        <v>9600</v>
      </c>
    </row>
    <row r="30" spans="2:4" ht="13.5" thickTop="1">
      <c r="B30" s="49" t="s">
        <v>228</v>
      </c>
      <c r="C30" s="173">
        <f>SUM(C28:C29)</f>
        <v>1150</v>
      </c>
      <c r="D30" s="173">
        <f>SUM(D28:D29)</f>
        <v>13800</v>
      </c>
    </row>
    <row r="32" spans="2:4" ht="15">
      <c r="B32" s="294" t="s">
        <v>256</v>
      </c>
      <c r="C32" s="295"/>
      <c r="D32" s="296"/>
    </row>
    <row r="33" spans="2:4" ht="12.75">
      <c r="B33" s="22" t="s">
        <v>258</v>
      </c>
      <c r="C33" s="22" t="s">
        <v>44</v>
      </c>
      <c r="D33" s="22" t="s">
        <v>45</v>
      </c>
    </row>
    <row r="34" spans="2:4" ht="12.75">
      <c r="B34" s="5" t="s">
        <v>63</v>
      </c>
      <c r="C34" s="121">
        <v>20</v>
      </c>
      <c r="D34" s="122">
        <f aca="true" t="shared" si="1" ref="D34:D41">+C34*12</f>
        <v>240</v>
      </c>
    </row>
    <row r="35" spans="2:4" ht="12.75">
      <c r="B35" s="19" t="s">
        <v>80</v>
      </c>
      <c r="C35" s="121">
        <v>80</v>
      </c>
      <c r="D35" s="122">
        <f t="shared" si="1"/>
        <v>960</v>
      </c>
    </row>
    <row r="36" spans="2:4" ht="12.75">
      <c r="B36" s="19" t="s">
        <v>181</v>
      </c>
      <c r="C36" s="121">
        <f>+C25</f>
        <v>1800</v>
      </c>
      <c r="D36" s="122">
        <f t="shared" si="1"/>
        <v>21600</v>
      </c>
    </row>
    <row r="37" spans="2:4" ht="12.75">
      <c r="B37" s="19" t="s">
        <v>66</v>
      </c>
      <c r="C37" s="121">
        <v>15</v>
      </c>
      <c r="D37" s="122">
        <f t="shared" si="1"/>
        <v>180</v>
      </c>
    </row>
    <row r="38" spans="2:4" ht="12.75">
      <c r="B38" s="19" t="s">
        <v>100</v>
      </c>
      <c r="C38" s="121">
        <f>+C15</f>
        <v>33.375</v>
      </c>
      <c r="D38" s="122">
        <f t="shared" si="1"/>
        <v>400.5</v>
      </c>
    </row>
    <row r="39" spans="2:4" ht="12.75">
      <c r="B39" s="5" t="s">
        <v>99</v>
      </c>
      <c r="C39" s="118">
        <v>60</v>
      </c>
      <c r="D39" s="116">
        <f t="shared" si="1"/>
        <v>720</v>
      </c>
    </row>
    <row r="40" spans="2:4" ht="12.75">
      <c r="B40" s="19" t="s">
        <v>64</v>
      </c>
      <c r="C40" s="118">
        <v>150</v>
      </c>
      <c r="D40" s="116">
        <f t="shared" si="1"/>
        <v>1800</v>
      </c>
    </row>
    <row r="41" spans="2:4" ht="12.75">
      <c r="B41" s="19" t="s">
        <v>65</v>
      </c>
      <c r="C41" s="116">
        <v>100</v>
      </c>
      <c r="D41" s="116">
        <f t="shared" si="1"/>
        <v>1200</v>
      </c>
    </row>
    <row r="42" spans="2:4" ht="12.75">
      <c r="B42" s="1" t="s">
        <v>160</v>
      </c>
      <c r="C42" s="208">
        <f>+Sueldos!E5</f>
        <v>240</v>
      </c>
      <c r="D42" s="208">
        <f aca="true" t="shared" si="2" ref="D42:D48">+C42*12</f>
        <v>2880</v>
      </c>
    </row>
    <row r="43" spans="2:4" ht="12.75">
      <c r="B43" s="1" t="s">
        <v>161</v>
      </c>
      <c r="C43" s="208">
        <f>+Sueldos!E6</f>
        <v>240</v>
      </c>
      <c r="D43" s="208">
        <f t="shared" si="2"/>
        <v>2880</v>
      </c>
    </row>
    <row r="44" spans="2:4" ht="12.75">
      <c r="B44" s="110" t="s">
        <v>176</v>
      </c>
      <c r="C44" s="208">
        <f>+Sueldos!E7</f>
        <v>480</v>
      </c>
      <c r="D44" s="208">
        <f t="shared" si="2"/>
        <v>5760</v>
      </c>
    </row>
    <row r="45" spans="2:4" ht="12.75">
      <c r="B45" s="1" t="s">
        <v>163</v>
      </c>
      <c r="C45" s="208">
        <f>+Sueldos!E8</f>
        <v>900</v>
      </c>
      <c r="D45" s="208">
        <f t="shared" si="2"/>
        <v>10800</v>
      </c>
    </row>
    <row r="46" spans="2:4" ht="12.75">
      <c r="B46" s="105" t="s">
        <v>164</v>
      </c>
      <c r="C46" s="208">
        <f>+Sueldos!E9</f>
        <v>350</v>
      </c>
      <c r="D46" s="208">
        <f t="shared" si="2"/>
        <v>4200</v>
      </c>
    </row>
    <row r="47" spans="2:4" ht="12.75">
      <c r="B47" s="1" t="s">
        <v>165</v>
      </c>
      <c r="C47" s="208">
        <f>+Sueldos!E10</f>
        <v>500</v>
      </c>
      <c r="D47" s="208">
        <f t="shared" si="2"/>
        <v>6000</v>
      </c>
    </row>
    <row r="48" spans="2:4" ht="13.5" thickBot="1">
      <c r="B48" s="1" t="s">
        <v>166</v>
      </c>
      <c r="C48" s="209">
        <f>+Sueldos!E11</f>
        <v>700</v>
      </c>
      <c r="D48" s="209">
        <f t="shared" si="2"/>
        <v>8400</v>
      </c>
    </row>
    <row r="49" spans="2:4" ht="13.5" thickTop="1">
      <c r="B49" s="49" t="s">
        <v>257</v>
      </c>
      <c r="C49" s="173">
        <f>+SUM(C34:C48)</f>
        <v>5668.375</v>
      </c>
      <c r="D49" s="173">
        <f>+SUM(D34:D48)</f>
        <v>68020.5</v>
      </c>
    </row>
  </sheetData>
  <sheetProtection/>
  <mergeCells count="4">
    <mergeCell ref="B2:D2"/>
    <mergeCell ref="B9:D9"/>
    <mergeCell ref="B32:D32"/>
    <mergeCell ref="B18:D1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</dc:creator>
  <cp:keywords/>
  <dc:description/>
  <cp:lastModifiedBy>Grace Palacios</cp:lastModifiedBy>
  <cp:lastPrinted>2007-08-30T15:17:48Z</cp:lastPrinted>
  <dcterms:created xsi:type="dcterms:W3CDTF">2007-06-26T23:20:27Z</dcterms:created>
  <dcterms:modified xsi:type="dcterms:W3CDTF">2010-02-22T07:20:01Z</dcterms:modified>
  <cp:category/>
  <cp:version/>
  <cp:contentType/>
  <cp:contentStatus/>
</cp:coreProperties>
</file>