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315" windowHeight="4935" tabRatio="786" firstSheet="6" activeTab="13"/>
  </bookViews>
  <sheets>
    <sheet name="Datos" sheetId="1" r:id="rId1"/>
    <sheet name="Tamaño optimo" sheetId="9" r:id="rId2"/>
    <sheet name="Demanda" sheetId="2" r:id="rId3"/>
    <sheet name="Costos O." sheetId="3" r:id="rId4"/>
    <sheet name="Costos N.O." sheetId="10" r:id="rId5"/>
    <sheet name="Inversiones" sheetId="4" r:id="rId6"/>
    <sheet name="Depreciación" sheetId="5" r:id="rId7"/>
    <sheet name="Capital de Trabajo" sheetId="6" r:id="rId8"/>
    <sheet name="Financiamiento" sheetId="7" r:id="rId9"/>
    <sheet name="Flujo accio" sheetId="8" r:id="rId10"/>
    <sheet name="Flujo proy" sheetId="15" r:id="rId11"/>
    <sheet name="Capm" sheetId="11" r:id="rId12"/>
    <sheet name="Wacc" sheetId="12" r:id="rId13"/>
    <sheet name="Payback" sheetId="13" r:id="rId14"/>
    <sheet name="Hoja2" sheetId="14" r:id="rId15"/>
  </sheets>
  <calcPr calcId="125725"/>
</workbook>
</file>

<file path=xl/calcChain.xml><?xml version="1.0" encoding="utf-8"?>
<calcChain xmlns="http://schemas.openxmlformats.org/spreadsheetml/2006/main">
  <c r="C28" i="15"/>
  <c r="M17"/>
  <c r="M22"/>
  <c r="L17"/>
  <c r="L22"/>
  <c r="K17"/>
  <c r="K22"/>
  <c r="J17"/>
  <c r="J22"/>
  <c r="I17"/>
  <c r="I22"/>
  <c r="H17"/>
  <c r="H22"/>
  <c r="G17"/>
  <c r="G22"/>
  <c r="F17"/>
  <c r="F22"/>
  <c r="E17"/>
  <c r="E22"/>
  <c r="D17"/>
  <c r="D22"/>
  <c r="D18" i="8"/>
  <c r="D24"/>
  <c r="E18"/>
  <c r="E24"/>
  <c r="F18"/>
  <c r="F24"/>
  <c r="G18"/>
  <c r="G24"/>
  <c r="H18"/>
  <c r="H24"/>
  <c r="I18"/>
  <c r="I24"/>
  <c r="J18"/>
  <c r="J24"/>
  <c r="K18"/>
  <c r="K24"/>
  <c r="L18"/>
  <c r="L24"/>
  <c r="M18"/>
  <c r="M24"/>
  <c r="D17" i="5"/>
  <c r="F17"/>
  <c r="H17" s="1"/>
  <c r="I17"/>
  <c r="D16"/>
  <c r="F16"/>
  <c r="H16" s="1"/>
  <c r="D15"/>
  <c r="F15" s="1"/>
  <c r="I15" s="1"/>
  <c r="H15"/>
  <c r="E19" i="4"/>
  <c r="D18"/>
  <c r="D17"/>
  <c r="C23"/>
  <c r="C24"/>
  <c r="C22"/>
  <c r="F24" i="5"/>
  <c r="G24"/>
  <c r="H24"/>
  <c r="I24"/>
  <c r="J24"/>
  <c r="K24"/>
  <c r="L24"/>
  <c r="M24"/>
  <c r="N24"/>
  <c r="E24"/>
  <c r="D25"/>
  <c r="G25"/>
  <c r="N23"/>
  <c r="F23"/>
  <c r="G23"/>
  <c r="H23"/>
  <c r="I23"/>
  <c r="J23"/>
  <c r="K23"/>
  <c r="L23"/>
  <c r="M23"/>
  <c r="E23"/>
  <c r="D32" i="10"/>
  <c r="E32"/>
  <c r="F32"/>
  <c r="G32"/>
  <c r="H32"/>
  <c r="I32"/>
  <c r="J32"/>
  <c r="K32"/>
  <c r="L32"/>
  <c r="M32"/>
  <c r="N32"/>
  <c r="D31"/>
  <c r="E31"/>
  <c r="F31"/>
  <c r="G31"/>
  <c r="H31"/>
  <c r="I31"/>
  <c r="J31"/>
  <c r="K31"/>
  <c r="L31"/>
  <c r="M31"/>
  <c r="N31"/>
  <c r="D30"/>
  <c r="E30"/>
  <c r="F30"/>
  <c r="G30"/>
  <c r="H30"/>
  <c r="I30"/>
  <c r="J30"/>
  <c r="K30"/>
  <c r="L30"/>
  <c r="M30"/>
  <c r="N30"/>
  <c r="D29"/>
  <c r="E29"/>
  <c r="F29"/>
  <c r="G29"/>
  <c r="H29"/>
  <c r="I29"/>
  <c r="J29"/>
  <c r="K29"/>
  <c r="L29"/>
  <c r="M29"/>
  <c r="N29"/>
  <c r="D28"/>
  <c r="E28"/>
  <c r="F28"/>
  <c r="G28"/>
  <c r="H28"/>
  <c r="I28"/>
  <c r="J28"/>
  <c r="K28"/>
  <c r="L28"/>
  <c r="M28"/>
  <c r="N28"/>
  <c r="D27"/>
  <c r="E27"/>
  <c r="F27"/>
  <c r="G27"/>
  <c r="H27"/>
  <c r="I27"/>
  <c r="J27"/>
  <c r="K27"/>
  <c r="L27"/>
  <c r="M27"/>
  <c r="N27"/>
  <c r="D26"/>
  <c r="E26"/>
  <c r="F26"/>
  <c r="G26"/>
  <c r="H26"/>
  <c r="I26"/>
  <c r="J26"/>
  <c r="K26"/>
  <c r="L26"/>
  <c r="M26"/>
  <c r="N26"/>
  <c r="C32"/>
  <c r="O32" s="1"/>
  <c r="P32" s="1"/>
  <c r="Q32" s="1"/>
  <c r="R32" s="1"/>
  <c r="C31"/>
  <c r="C30"/>
  <c r="O30" s="1"/>
  <c r="P30" s="1"/>
  <c r="Q30" s="1"/>
  <c r="R30" s="1"/>
  <c r="C29"/>
  <c r="C28"/>
  <c r="O28" s="1"/>
  <c r="P28" s="1"/>
  <c r="Q28" s="1"/>
  <c r="R28" s="1"/>
  <c r="C27"/>
  <c r="C26"/>
  <c r="O26" s="1"/>
  <c r="P26" s="1"/>
  <c r="I5"/>
  <c r="H5"/>
  <c r="F24" i="3"/>
  <c r="H24"/>
  <c r="J24"/>
  <c r="L24"/>
  <c r="N24"/>
  <c r="D21" i="10"/>
  <c r="D11"/>
  <c r="C11" i="11"/>
  <c r="D8" i="12"/>
  <c r="E8" i="7"/>
  <c r="D14" i="10"/>
  <c r="D9"/>
  <c r="D10"/>
  <c r="D8"/>
  <c r="C13"/>
  <c r="C22" s="1"/>
  <c r="I7" i="6" s="1"/>
  <c r="C6" i="10"/>
  <c r="D8" i="3"/>
  <c r="E8" s="1"/>
  <c r="C9"/>
  <c r="C24" i="1"/>
  <c r="C25"/>
  <c r="C26"/>
  <c r="E36"/>
  <c r="E37"/>
  <c r="E38"/>
  <c r="E39"/>
  <c r="E40"/>
  <c r="E41"/>
  <c r="E43"/>
  <c r="E44"/>
  <c r="E35"/>
  <c r="G5" i="2"/>
  <c r="G6"/>
  <c r="G7"/>
  <c r="G8"/>
  <c r="G9"/>
  <c r="J9" s="1"/>
  <c r="I22" i="1"/>
  <c r="I18"/>
  <c r="K15" i="4"/>
  <c r="K16"/>
  <c r="K17"/>
  <c r="K18"/>
  <c r="K19"/>
  <c r="K21"/>
  <c r="K14"/>
  <c r="J6"/>
  <c r="K6" s="1"/>
  <c r="K10" s="1"/>
  <c r="C25" s="1"/>
  <c r="K8"/>
  <c r="K9"/>
  <c r="J7"/>
  <c r="K7"/>
  <c r="C6"/>
  <c r="C22" i="1"/>
  <c r="E20"/>
  <c r="C42"/>
  <c r="D19"/>
  <c r="D27" i="9"/>
  <c r="D11"/>
  <c r="D19"/>
  <c r="G11"/>
  <c r="G5"/>
  <c r="G6"/>
  <c r="G7"/>
  <c r="G4"/>
  <c r="F28"/>
  <c r="G28"/>
  <c r="G30"/>
  <c r="H28"/>
  <c r="I28"/>
  <c r="I30"/>
  <c r="J28"/>
  <c r="J30"/>
  <c r="K28"/>
  <c r="K30"/>
  <c r="L28"/>
  <c r="M28"/>
  <c r="M30"/>
  <c r="N28"/>
  <c r="E28"/>
  <c r="F20"/>
  <c r="G20"/>
  <c r="H20"/>
  <c r="I20"/>
  <c r="J20"/>
  <c r="K20"/>
  <c r="L20"/>
  <c r="L22"/>
  <c r="M20"/>
  <c r="M22"/>
  <c r="N20"/>
  <c r="E20"/>
  <c r="E22"/>
  <c r="K22"/>
  <c r="J22"/>
  <c r="I22"/>
  <c r="H22"/>
  <c r="G22"/>
  <c r="F22"/>
  <c r="D22"/>
  <c r="L30"/>
  <c r="H30"/>
  <c r="E30"/>
  <c r="H12"/>
  <c r="I12"/>
  <c r="J12"/>
  <c r="K12"/>
  <c r="L12"/>
  <c r="M12"/>
  <c r="N12"/>
  <c r="G12"/>
  <c r="H14"/>
  <c r="I14"/>
  <c r="J14"/>
  <c r="K14"/>
  <c r="L14"/>
  <c r="M14"/>
  <c r="F12"/>
  <c r="E12"/>
  <c r="D30"/>
  <c r="D14"/>
  <c r="I16" i="5"/>
  <c r="C24" i="3"/>
  <c r="M24"/>
  <c r="K24"/>
  <c r="I24"/>
  <c r="G24"/>
  <c r="E24"/>
  <c r="O24" s="1"/>
  <c r="D24"/>
  <c r="O27" i="10"/>
  <c r="P27" s="1"/>
  <c r="Q27" s="1"/>
  <c r="R27" s="1"/>
  <c r="O29"/>
  <c r="P29" s="1"/>
  <c r="Q29" s="1"/>
  <c r="R29" s="1"/>
  <c r="O31"/>
  <c r="P31" s="1"/>
  <c r="Q31" s="1"/>
  <c r="R31" s="1"/>
  <c r="C31" i="3"/>
  <c r="I8"/>
  <c r="E25" i="5"/>
  <c r="N25"/>
  <c r="L25"/>
  <c r="J25"/>
  <c r="H25"/>
  <c r="F25"/>
  <c r="M25"/>
  <c r="K25"/>
  <c r="I25"/>
  <c r="K22" i="4"/>
  <c r="C26"/>
  <c r="D13" i="10"/>
  <c r="J8" i="3"/>
  <c r="E7" i="6"/>
  <c r="M7"/>
  <c r="H7"/>
  <c r="D6" i="10"/>
  <c r="D9" i="3"/>
  <c r="E9"/>
  <c r="G14" i="9"/>
  <c r="E14"/>
  <c r="F30"/>
  <c r="N21"/>
  <c r="N22"/>
  <c r="D23"/>
  <c r="I38"/>
  <c r="I39"/>
  <c r="I40"/>
  <c r="I41"/>
  <c r="I37"/>
  <c r="G38"/>
  <c r="G39"/>
  <c r="G40"/>
  <c r="G41"/>
  <c r="G37"/>
  <c r="E38"/>
  <c r="E39"/>
  <c r="E40"/>
  <c r="E41"/>
  <c r="E37"/>
  <c r="C42"/>
  <c r="N36"/>
  <c r="N37"/>
  <c r="N35"/>
  <c r="D8" i="1"/>
  <c r="C17" i="2"/>
  <c r="C21" i="3"/>
  <c r="I4" i="1"/>
  <c r="D9"/>
  <c r="C27" i="3"/>
  <c r="J10" s="1"/>
  <c r="C28"/>
  <c r="J11" s="1"/>
  <c r="I25"/>
  <c r="I12" s="1"/>
  <c r="M25"/>
  <c r="F25"/>
  <c r="J25"/>
  <c r="N25"/>
  <c r="K25"/>
  <c r="D11" i="1"/>
  <c r="C28"/>
  <c r="D42"/>
  <c r="E42"/>
  <c r="N29" i="9"/>
  <c r="N30"/>
  <c r="D31"/>
  <c r="G42"/>
  <c r="G13"/>
  <c r="F14"/>
  <c r="D15"/>
  <c r="N13"/>
  <c r="N14"/>
  <c r="E42"/>
  <c r="I42"/>
  <c r="D12" i="1"/>
  <c r="C4" i="2"/>
  <c r="D10" i="3"/>
  <c r="E10" s="1"/>
  <c r="C30" i="1"/>
  <c r="D12" i="3"/>
  <c r="E12" s="1"/>
  <c r="C29" i="1"/>
  <c r="D11" i="3"/>
  <c r="E11"/>
  <c r="D13"/>
  <c r="H7" i="2"/>
  <c r="H8"/>
  <c r="H5"/>
  <c r="H6"/>
  <c r="H9"/>
  <c r="I9" s="1"/>
  <c r="D4"/>
  <c r="D15"/>
  <c r="K9"/>
  <c r="I5"/>
  <c r="K5" s="1"/>
  <c r="J5"/>
  <c r="D19" i="3"/>
  <c r="I6" i="2"/>
  <c r="K6"/>
  <c r="I8"/>
  <c r="J8"/>
  <c r="E45" i="1"/>
  <c r="C27" i="4" l="1"/>
  <c r="D14" i="5"/>
  <c r="F14" s="1"/>
  <c r="C28" i="4"/>
  <c r="Q26" i="10"/>
  <c r="P33"/>
  <c r="E15" i="2"/>
  <c r="D22"/>
  <c r="D23" s="1"/>
  <c r="I7"/>
  <c r="K7" s="1"/>
  <c r="J7"/>
  <c r="G25" i="3"/>
  <c r="D25"/>
  <c r="H25"/>
  <c r="L25"/>
  <c r="E25"/>
  <c r="C25"/>
  <c r="O25" s="1"/>
  <c r="G10" i="2"/>
  <c r="J6"/>
  <c r="J10" s="1"/>
  <c r="D7" i="12"/>
  <c r="L7" i="6"/>
  <c r="D7"/>
  <c r="K8" i="2"/>
  <c r="K10" s="1"/>
  <c r="F6" i="6"/>
  <c r="F8" s="1"/>
  <c r="H6"/>
  <c r="H8" s="1"/>
  <c r="J6"/>
  <c r="L6"/>
  <c r="N6"/>
  <c r="N8" s="1"/>
  <c r="C6"/>
  <c r="E6"/>
  <c r="E8" s="1"/>
  <c r="G6"/>
  <c r="I6"/>
  <c r="I8" s="1"/>
  <c r="K6"/>
  <c r="M6"/>
  <c r="M8" s="1"/>
  <c r="D6"/>
  <c r="D8" s="1"/>
  <c r="J12" i="3"/>
  <c r="I13"/>
  <c r="G7" i="6"/>
  <c r="K7"/>
  <c r="C7"/>
  <c r="F7"/>
  <c r="J7"/>
  <c r="N7"/>
  <c r="O26" i="3"/>
  <c r="C26" s="1"/>
  <c r="J9" s="1"/>
  <c r="I10" i="6" l="1"/>
  <c r="H10"/>
  <c r="G10"/>
  <c r="F10"/>
  <c r="L10"/>
  <c r="J10"/>
  <c r="N10"/>
  <c r="D10"/>
  <c r="E10"/>
  <c r="C10"/>
  <c r="M10"/>
  <c r="K10"/>
  <c r="D24" i="2"/>
  <c r="D25"/>
  <c r="I6" i="10"/>
  <c r="C15" i="15"/>
  <c r="C23" s="1"/>
  <c r="D12" i="12"/>
  <c r="C1" i="7"/>
  <c r="C16" i="8"/>
  <c r="J8" i="6"/>
  <c r="J13" i="3"/>
  <c r="K8" i="6"/>
  <c r="G8"/>
  <c r="C8"/>
  <c r="L8"/>
  <c r="E13" i="3"/>
  <c r="D20" s="1"/>
  <c r="D16" i="2"/>
  <c r="C18"/>
  <c r="F15"/>
  <c r="E22"/>
  <c r="E23" s="1"/>
  <c r="E16"/>
  <c r="E19" i="3"/>
  <c r="E20" s="1"/>
  <c r="Q33" i="10"/>
  <c r="I7" s="1"/>
  <c r="R26"/>
  <c r="R33" s="1"/>
  <c r="I8" s="1"/>
  <c r="F18" i="5"/>
  <c r="H14"/>
  <c r="I14" s="1"/>
  <c r="I18" s="1"/>
  <c r="M9" i="8" l="1"/>
  <c r="M8" i="15"/>
  <c r="E11"/>
  <c r="E12" i="8"/>
  <c r="E24" i="2"/>
  <c r="E25" s="1"/>
  <c r="D12" i="8"/>
  <c r="D11" i="15"/>
  <c r="D2" i="7"/>
  <c r="D11" i="12" s="1"/>
  <c r="C7" i="15"/>
  <c r="C9" s="1"/>
  <c r="C14" s="1"/>
  <c r="D3" i="7"/>
  <c r="R36" i="10"/>
  <c r="L16" i="15"/>
  <c r="L21" s="1"/>
  <c r="H16"/>
  <c r="H21" s="1"/>
  <c r="D16"/>
  <c r="D21" s="1"/>
  <c r="L17" i="8"/>
  <c r="L23" s="1"/>
  <c r="F17"/>
  <c r="F23" s="1"/>
  <c r="M16" i="15"/>
  <c r="M21" s="1"/>
  <c r="I16"/>
  <c r="I21" s="1"/>
  <c r="E16"/>
  <c r="E21" s="1"/>
  <c r="K17" i="8"/>
  <c r="K23" s="1"/>
  <c r="E17"/>
  <c r="E23" s="1"/>
  <c r="J16" i="15"/>
  <c r="J21" s="1"/>
  <c r="F16"/>
  <c r="F21" s="1"/>
  <c r="J17" i="8"/>
  <c r="J23" s="1"/>
  <c r="H17"/>
  <c r="H23" s="1"/>
  <c r="D17"/>
  <c r="D23" s="1"/>
  <c r="K16" i="15"/>
  <c r="K21" s="1"/>
  <c r="G16"/>
  <c r="G21" s="1"/>
  <c r="I17" i="8"/>
  <c r="I23" s="1"/>
  <c r="M17"/>
  <c r="M23" s="1"/>
  <c r="G17"/>
  <c r="G23" s="1"/>
  <c r="E5"/>
  <c r="E10" s="1"/>
  <c r="E5" i="15"/>
  <c r="E9" s="1"/>
  <c r="F16" i="2"/>
  <c r="F19" i="3"/>
  <c r="F20" s="1"/>
  <c r="F22" i="2"/>
  <c r="F23" s="1"/>
  <c r="G15"/>
  <c r="D5" i="15"/>
  <c r="D9" s="1"/>
  <c r="D5" i="8"/>
  <c r="D10" s="1"/>
  <c r="I10" i="10"/>
  <c r="D22"/>
  <c r="D9" i="6"/>
  <c r="E9"/>
  <c r="F9" s="1"/>
  <c r="G9" s="1"/>
  <c r="H9" s="1"/>
  <c r="I9" s="1"/>
  <c r="J9" s="1"/>
  <c r="K9" s="1"/>
  <c r="L9" s="1"/>
  <c r="M9" s="1"/>
  <c r="N9" s="1"/>
  <c r="J12" i="15" l="1"/>
  <c r="F12"/>
  <c r="M12"/>
  <c r="I12"/>
  <c r="E12"/>
  <c r="I13" i="8"/>
  <c r="G13"/>
  <c r="F13"/>
  <c r="D13"/>
  <c r="L13"/>
  <c r="L12" i="15"/>
  <c r="D12"/>
  <c r="G12"/>
  <c r="M13" i="8"/>
  <c r="J13"/>
  <c r="H12" i="15"/>
  <c r="K12"/>
  <c r="E13" i="8"/>
  <c r="K13"/>
  <c r="H13"/>
  <c r="G16" i="2"/>
  <c r="G19" i="3"/>
  <c r="G20" s="1"/>
  <c r="H15" i="2"/>
  <c r="G22"/>
  <c r="G23" s="1"/>
  <c r="F11" i="15"/>
  <c r="F13" s="1"/>
  <c r="F12" i="8"/>
  <c r="F14" s="1"/>
  <c r="G9" i="7"/>
  <c r="C8" i="8"/>
  <c r="C10" s="1"/>
  <c r="C15" s="1"/>
  <c r="C26" s="1"/>
  <c r="D14"/>
  <c r="D15" s="1"/>
  <c r="E13" i="15"/>
  <c r="E14" s="1"/>
  <c r="F24" i="2"/>
  <c r="F25" s="1"/>
  <c r="F5" i="8"/>
  <c r="F10" s="1"/>
  <c r="F15" s="1"/>
  <c r="F5" i="15"/>
  <c r="F9" s="1"/>
  <c r="F14" s="1"/>
  <c r="D13"/>
  <c r="D14" s="1"/>
  <c r="E14" i="8"/>
  <c r="E15" s="1"/>
  <c r="E20" l="1"/>
  <c r="D20"/>
  <c r="D21"/>
  <c r="D22" s="1"/>
  <c r="D18" i="15"/>
  <c r="D20" s="1"/>
  <c r="D23" s="1"/>
  <c r="D19"/>
  <c r="E18"/>
  <c r="E19"/>
  <c r="E20" s="1"/>
  <c r="E23" s="1"/>
  <c r="D9" i="13" s="1"/>
  <c r="F20" i="8"/>
  <c r="F21" s="1"/>
  <c r="F22" s="1"/>
  <c r="D10" i="12"/>
  <c r="D14" s="1"/>
  <c r="C31" i="8" s="1"/>
  <c r="G11" i="7"/>
  <c r="F17"/>
  <c r="F12"/>
  <c r="C8" i="13"/>
  <c r="F13" i="7"/>
  <c r="F15"/>
  <c r="F16"/>
  <c r="F14"/>
  <c r="F18"/>
  <c r="H16" i="2"/>
  <c r="H22"/>
  <c r="H23" s="1"/>
  <c r="H19" i="3"/>
  <c r="H20" s="1"/>
  <c r="I15" i="2"/>
  <c r="G5" i="15"/>
  <c r="G9" s="1"/>
  <c r="G5" i="8"/>
  <c r="G10" s="1"/>
  <c r="F18" i="15"/>
  <c r="F20" s="1"/>
  <c r="F23" s="1"/>
  <c r="D10" i="13" s="1"/>
  <c r="F19" i="15"/>
  <c r="G24" i="2"/>
  <c r="G25" s="1"/>
  <c r="G11" i="15"/>
  <c r="G13" s="1"/>
  <c r="G12" i="8"/>
  <c r="G14" s="1"/>
  <c r="D8" i="13" l="1"/>
  <c r="J15" i="2"/>
  <c r="I22"/>
  <c r="I23" s="1"/>
  <c r="I19" i="3"/>
  <c r="I20" s="1"/>
  <c r="I16" i="2"/>
  <c r="H24"/>
  <c r="H25" s="1"/>
  <c r="F19" i="7"/>
  <c r="E12"/>
  <c r="G15" i="8"/>
  <c r="E21"/>
  <c r="E22" s="1"/>
  <c r="H12"/>
  <c r="H14" s="1"/>
  <c r="H11" i="15"/>
  <c r="H13" s="1"/>
  <c r="H5"/>
  <c r="H9" s="1"/>
  <c r="H14" s="1"/>
  <c r="H5" i="8"/>
  <c r="H10" s="1"/>
  <c r="H15" s="1"/>
  <c r="E8" i="13"/>
  <c r="G14" i="15"/>
  <c r="H20" i="8" l="1"/>
  <c r="H22" s="1"/>
  <c r="H21"/>
  <c r="G20"/>
  <c r="I11" i="15"/>
  <c r="I13" s="1"/>
  <c r="I12" i="8"/>
  <c r="I14" s="1"/>
  <c r="K15" i="2"/>
  <c r="J22"/>
  <c r="J23" s="1"/>
  <c r="J19" i="3"/>
  <c r="J20" s="1"/>
  <c r="J16" i="2"/>
  <c r="D12" i="7"/>
  <c r="F8" i="13"/>
  <c r="C9" s="1"/>
  <c r="G18" i="15"/>
  <c r="G19"/>
  <c r="G20" s="1"/>
  <c r="G23" s="1"/>
  <c r="H19"/>
  <c r="H18"/>
  <c r="H20"/>
  <c r="H23" s="1"/>
  <c r="D12" i="13" s="1"/>
  <c r="I5" i="8"/>
  <c r="I10" s="1"/>
  <c r="I15" s="1"/>
  <c r="I5" i="15"/>
  <c r="I9" s="1"/>
  <c r="I14" s="1"/>
  <c r="I24" i="2"/>
  <c r="I25"/>
  <c r="D11" i="13" l="1"/>
  <c r="I18" i="15"/>
  <c r="I20" s="1"/>
  <c r="I23" s="1"/>
  <c r="I19"/>
  <c r="I20" i="8"/>
  <c r="I21"/>
  <c r="I22"/>
  <c r="D25"/>
  <c r="D26" s="1"/>
  <c r="G12" i="7"/>
  <c r="J5" i="8"/>
  <c r="J10" s="1"/>
  <c r="J5" i="15"/>
  <c r="J9" s="1"/>
  <c r="J24" i="2"/>
  <c r="J25" s="1"/>
  <c r="G21" i="8"/>
  <c r="G22" s="1"/>
  <c r="E9" i="13"/>
  <c r="F9" s="1"/>
  <c r="C10" s="1"/>
  <c r="J11" i="15"/>
  <c r="J13" s="1"/>
  <c r="J12" i="8"/>
  <c r="J14" s="1"/>
  <c r="L15" i="2"/>
  <c r="K22"/>
  <c r="K23" s="1"/>
  <c r="K16"/>
  <c r="K19" i="3"/>
  <c r="K20" s="1"/>
  <c r="E10" i="13" l="1"/>
  <c r="F10" s="1"/>
  <c r="C11" s="1"/>
  <c r="D13"/>
  <c r="K12" i="8"/>
  <c r="K14" s="1"/>
  <c r="K11" i="15"/>
  <c r="K13" s="1"/>
  <c r="K24" i="2"/>
  <c r="K25" s="1"/>
  <c r="J15" i="8"/>
  <c r="K5"/>
  <c r="K10" s="1"/>
  <c r="K15" s="1"/>
  <c r="K5" i="15"/>
  <c r="K9" s="1"/>
  <c r="K14" s="1"/>
  <c r="L19" i="3"/>
  <c r="L20" s="1"/>
  <c r="M15" i="2"/>
  <c r="L22"/>
  <c r="L23" s="1"/>
  <c r="L16"/>
  <c r="E13" i="7"/>
  <c r="J14" i="15"/>
  <c r="E11" i="13" l="1"/>
  <c r="F11" s="1"/>
  <c r="C12" s="1"/>
  <c r="J18" i="15"/>
  <c r="J19" s="1"/>
  <c r="J20" s="1"/>
  <c r="J23" s="1"/>
  <c r="L25" i="2"/>
  <c r="L24"/>
  <c r="L11" i="15"/>
  <c r="L13" s="1"/>
  <c r="L12" i="8"/>
  <c r="L14" s="1"/>
  <c r="K20"/>
  <c r="K22" s="1"/>
  <c r="K26" s="1"/>
  <c r="K21"/>
  <c r="J20"/>
  <c r="D13" i="7"/>
  <c r="L5" i="8"/>
  <c r="L10" s="1"/>
  <c r="L15" s="1"/>
  <c r="L5" i="15"/>
  <c r="L9" s="1"/>
  <c r="L14" s="1"/>
  <c r="N15" i="2"/>
  <c r="M19" i="3"/>
  <c r="M20" s="1"/>
  <c r="M22" i="2"/>
  <c r="M23" s="1"/>
  <c r="M16"/>
  <c r="K18" i="15"/>
  <c r="E12" i="13" l="1"/>
  <c r="F12" s="1"/>
  <c r="C13" s="1"/>
  <c r="D14"/>
  <c r="M24" i="2"/>
  <c r="M25"/>
  <c r="N16" i="3"/>
  <c r="N17" s="1"/>
  <c r="N22" i="2"/>
  <c r="N23" s="1"/>
  <c r="N16"/>
  <c r="L20" i="8"/>
  <c r="L21"/>
  <c r="L22"/>
  <c r="L26" s="1"/>
  <c r="E25"/>
  <c r="E26" s="1"/>
  <c r="G13" i="7"/>
  <c r="K19" i="15"/>
  <c r="K20" s="1"/>
  <c r="K23" s="1"/>
  <c r="D15" i="13" s="1"/>
  <c r="J21" i="8"/>
  <c r="J22" s="1"/>
  <c r="M5"/>
  <c r="M10" s="1"/>
  <c r="M5" i="15"/>
  <c r="M9" s="1"/>
  <c r="M11"/>
  <c r="M13" s="1"/>
  <c r="M12" i="8"/>
  <c r="M14" s="1"/>
  <c r="L18" i="15"/>
  <c r="L19"/>
  <c r="L20" s="1"/>
  <c r="L23" s="1"/>
  <c r="D16" i="13" s="1"/>
  <c r="E13" l="1"/>
  <c r="F13" s="1"/>
  <c r="C14" s="1"/>
  <c r="N24" i="2"/>
  <c r="N25"/>
  <c r="M15" i="8"/>
  <c r="E14" i="7"/>
  <c r="M14" i="15"/>
  <c r="E14" i="13" l="1"/>
  <c r="F14" s="1"/>
  <c r="C15" s="1"/>
  <c r="M19" i="15"/>
  <c r="M18"/>
  <c r="M20"/>
  <c r="M23" s="1"/>
  <c r="D14" i="7"/>
  <c r="M20" i="8"/>
  <c r="M21" s="1"/>
  <c r="M22" s="1"/>
  <c r="M26" s="1"/>
  <c r="E15" i="13" l="1"/>
  <c r="F15" s="1"/>
  <c r="C16" s="1"/>
  <c r="D17"/>
  <c r="C26" i="15"/>
  <c r="C27"/>
  <c r="F25" i="8"/>
  <c r="F26" s="1"/>
  <c r="G14" i="7"/>
  <c r="E16" i="13" l="1"/>
  <c r="F16" s="1"/>
  <c r="C17" s="1"/>
  <c r="E17" s="1"/>
  <c r="F17" s="1"/>
  <c r="E15" i="7"/>
  <c r="D15" l="1"/>
  <c r="G25" i="8" l="1"/>
  <c r="G26" s="1"/>
  <c r="G15" i="7"/>
  <c r="G16" l="1"/>
  <c r="E16"/>
  <c r="D16" s="1"/>
  <c r="G17" l="1"/>
  <c r="E17"/>
  <c r="D17" s="1"/>
  <c r="I25" i="8" s="1"/>
  <c r="I26" s="1"/>
  <c r="H25"/>
  <c r="H26" s="1"/>
  <c r="E18" i="7" l="1"/>
  <c r="D18" l="1"/>
  <c r="E19"/>
  <c r="J25" i="8" l="1"/>
  <c r="J26" s="1"/>
  <c r="D19" i="7"/>
  <c r="G18"/>
  <c r="C29" i="8" l="1"/>
  <c r="C30"/>
</calcChain>
</file>

<file path=xl/sharedStrings.xml><?xml version="1.0" encoding="utf-8"?>
<sst xmlns="http://schemas.openxmlformats.org/spreadsheetml/2006/main" count="536" uniqueCount="307">
  <si>
    <t>Producción</t>
  </si>
  <si>
    <t>Tasa de crecimiento</t>
  </si>
  <si>
    <t>Producción diaria(libras)</t>
  </si>
  <si>
    <t>mensual</t>
  </si>
  <si>
    <t>Materia prima (libras)</t>
  </si>
  <si>
    <t>Ratio MP/producción</t>
  </si>
  <si>
    <t>volumen de producción</t>
  </si>
  <si>
    <t>Envíos mensuales</t>
  </si>
  <si>
    <t>Producción mensual(libras)</t>
  </si>
  <si>
    <t>Producción anual (libras)</t>
  </si>
  <si>
    <t>Porcentajes por cada línea</t>
  </si>
  <si>
    <t>Lump</t>
  </si>
  <si>
    <t>Colossal</t>
  </si>
  <si>
    <t>Backfin</t>
  </si>
  <si>
    <t>Claw Meat</t>
  </si>
  <si>
    <t>Culinary</t>
  </si>
  <si>
    <t>Supuestos de Demanda</t>
  </si>
  <si>
    <t>Supuestos de Ventas</t>
  </si>
  <si>
    <t>anual</t>
  </si>
  <si>
    <t>Mensual</t>
  </si>
  <si>
    <t>Anual</t>
  </si>
  <si>
    <t>TOTAL</t>
  </si>
  <si>
    <t>Año 0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</si>
  <si>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</si>
  <si>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</si>
  <si>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</si>
  <si>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</si>
  <si>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</si>
  <si>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</si>
  <si>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</si>
  <si>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</si>
  <si>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</si>
  <si>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</si>
  <si>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Ingresos Anuales</t>
  </si>
  <si>
    <t>Crecimiento</t>
  </si>
  <si>
    <t>Jaiba lbs</t>
  </si>
  <si>
    <t>Subtotales</t>
  </si>
  <si>
    <t>Líneas</t>
  </si>
  <si>
    <t>Precio</t>
  </si>
  <si>
    <t>Por libra</t>
  </si>
  <si>
    <t>Factor conservador</t>
  </si>
  <si>
    <t>Tasa de crecimiento real</t>
  </si>
  <si>
    <t>Materia prima</t>
  </si>
  <si>
    <t>Opción Tecnológica</t>
  </si>
  <si>
    <t>Inversión</t>
  </si>
  <si>
    <t>A</t>
  </si>
  <si>
    <t>B</t>
  </si>
  <si>
    <t>Producción mensual</t>
  </si>
  <si>
    <t>Producción diaria</t>
  </si>
  <si>
    <t>Capacidad requerida</t>
  </si>
  <si>
    <t>Costo Mantenimiento</t>
  </si>
  <si>
    <t>Capacidad (Libras)</t>
  </si>
  <si>
    <t>Valor de desecho</t>
  </si>
  <si>
    <t xml:space="preserve">Dirección </t>
  </si>
  <si>
    <t>Costo</t>
  </si>
  <si>
    <t>Metros cuadrados</t>
  </si>
  <si>
    <t>Costo por m</t>
  </si>
  <si>
    <t>Km 20 vía a la costa</t>
  </si>
  <si>
    <t>Lotización Inmaconsa</t>
  </si>
  <si>
    <t>Km   vía Daule</t>
  </si>
  <si>
    <t>C</t>
  </si>
  <si>
    <t>Factor relevante</t>
  </si>
  <si>
    <t>Peso</t>
  </si>
  <si>
    <t>Calif.</t>
  </si>
  <si>
    <t>Ponderado</t>
  </si>
  <si>
    <t>Transporte</t>
  </si>
  <si>
    <t>Costo de MOD</t>
  </si>
  <si>
    <t>Cercanía proveedores</t>
  </si>
  <si>
    <t xml:space="preserve">Costo y topografía </t>
  </si>
  <si>
    <t>SUMA</t>
  </si>
  <si>
    <t>Cercanía aeropuerto</t>
  </si>
  <si>
    <t>Cantidad</t>
  </si>
  <si>
    <t>Escritorio</t>
  </si>
  <si>
    <t>Teléfono</t>
  </si>
  <si>
    <t>Archivador</t>
  </si>
  <si>
    <t>Inversión en Terreno</t>
  </si>
  <si>
    <t>Terreno m2</t>
  </si>
  <si>
    <t>Costo por m2</t>
  </si>
  <si>
    <t>Inversión en Adecuaciones</t>
  </si>
  <si>
    <t>Puerta principal</t>
  </si>
  <si>
    <t>Rampa en la entrada</t>
  </si>
  <si>
    <t>Cerramiento</t>
  </si>
  <si>
    <t>Capital propio</t>
  </si>
  <si>
    <t>Financiamiento</t>
  </si>
  <si>
    <t>MATRIZ DE LOCALIZACIÓN</t>
  </si>
  <si>
    <t>COSTOS</t>
  </si>
  <si>
    <t>INVERSIÓN</t>
  </si>
  <si>
    <t>DESECHO</t>
  </si>
  <si>
    <t>Año1</t>
  </si>
  <si>
    <t>FLUJO</t>
  </si>
  <si>
    <t>VAN</t>
  </si>
  <si>
    <t>TASA</t>
  </si>
  <si>
    <t>OPCIÓN A</t>
  </si>
  <si>
    <t>OPCIÓN B</t>
  </si>
  <si>
    <t>OPCIÓN C</t>
  </si>
  <si>
    <t>Inversión en Edificación</t>
  </si>
  <si>
    <t>Inversión en Maquinaria</t>
  </si>
  <si>
    <t>Maquinaria</t>
  </si>
  <si>
    <t>Costo Unitario</t>
  </si>
  <si>
    <t>Costo Total</t>
  </si>
  <si>
    <t>Vida Útil</t>
  </si>
  <si>
    <t>Valor de Desecho</t>
  </si>
  <si>
    <t>Equipo de enfriamiento</t>
  </si>
  <si>
    <t>Autoclave</t>
  </si>
  <si>
    <t>Mesas</t>
  </si>
  <si>
    <t>Central  aire acondicionado</t>
  </si>
  <si>
    <t>MD</t>
  </si>
  <si>
    <t>MT</t>
  </si>
  <si>
    <t>personas</t>
  </si>
  <si>
    <t>Labor force ratio</t>
  </si>
  <si>
    <t>Cada persona en un dia</t>
  </si>
  <si>
    <t>10 años</t>
  </si>
  <si>
    <t>Computadora</t>
  </si>
  <si>
    <t>Silla</t>
  </si>
  <si>
    <t>Copiadora/Impresora/Fax</t>
  </si>
  <si>
    <t>Dispensador de agua</t>
  </si>
  <si>
    <t>Insumos de oficina</t>
  </si>
  <si>
    <t>Central aire acondicionado</t>
  </si>
  <si>
    <t>4 oficinas</t>
  </si>
  <si>
    <t>Cargo/Función</t>
  </si>
  <si>
    <t>Suma</t>
  </si>
  <si>
    <t>en una libra hay gramos</t>
  </si>
  <si>
    <t>x</t>
  </si>
  <si>
    <t>Precio culinary</t>
  </si>
  <si>
    <t>y</t>
  </si>
  <si>
    <t>Precio Claw meat</t>
  </si>
  <si>
    <t>RATIO PROD.</t>
  </si>
  <si>
    <t>PROMEDIO PONDERADO</t>
  </si>
  <si>
    <t>Producción/Ingresos Proyectados</t>
  </si>
  <si>
    <t>Precio Ponderado</t>
  </si>
  <si>
    <t>Supuestos de Costos Operativos</t>
  </si>
  <si>
    <t>MOD</t>
  </si>
  <si>
    <t>Supuestos de Gastos Administrativos</t>
  </si>
  <si>
    <t>Rubros</t>
  </si>
  <si>
    <t>Laboral-administrativo</t>
  </si>
  <si>
    <t xml:space="preserve">Sueldos </t>
  </si>
  <si>
    <t>Luz</t>
  </si>
  <si>
    <t>Agua</t>
  </si>
  <si>
    <t>Imprenta y suministros</t>
  </si>
  <si>
    <t>Suministros de oficina</t>
  </si>
  <si>
    <t>Limpieza y mantenimiento</t>
  </si>
  <si>
    <t>UNITARIOS</t>
  </si>
  <si>
    <t>Despulpadores</t>
  </si>
  <si>
    <t>Balances de Sueldos</t>
  </si>
  <si>
    <t>Gerente General</t>
  </si>
  <si>
    <t>Gerente Financiero</t>
  </si>
  <si>
    <t>Gerente Marketing</t>
  </si>
  <si>
    <t>Contador</t>
  </si>
  <si>
    <t xml:space="preserve">Secretaria </t>
  </si>
  <si>
    <t>Asistente Financiero</t>
  </si>
  <si>
    <t>Gerente de Producción</t>
  </si>
  <si>
    <t>Guardia</t>
  </si>
  <si>
    <t>Limpieza</t>
  </si>
  <si>
    <t>Empleados</t>
  </si>
  <si>
    <t>Sueldo</t>
  </si>
  <si>
    <t>Sueldo x libra despulp</t>
  </si>
  <si>
    <t>Sueldo x trabajador</t>
  </si>
  <si>
    <t>Sueldo mensual</t>
  </si>
  <si>
    <t xml:space="preserve"> </t>
  </si>
  <si>
    <t>Sueldo anual</t>
  </si>
  <si>
    <t>Costos de Materia prima/lb</t>
  </si>
  <si>
    <t>Costos Proyectados</t>
  </si>
  <si>
    <t>Costos Anuales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</si>
  <si>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</si>
  <si>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</si>
  <si>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</si>
  <si>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</si>
  <si>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</si>
  <si>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</si>
  <si>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</si>
  <si>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</si>
  <si>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</si>
  <si>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</si>
  <si>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</si>
  <si>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</si>
  <si>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C.O.</t>
  </si>
  <si>
    <t>C.N.O.</t>
  </si>
  <si>
    <t>TOTAL MENSUAL</t>
  </si>
  <si>
    <t>COSTO ACUMULAD</t>
  </si>
  <si>
    <t>INGRESO MENSUAL</t>
  </si>
  <si>
    <t>TABLA DE AMORTIZACIÓN DE DEUDA</t>
  </si>
  <si>
    <t>Tasa de interés:</t>
  </si>
  <si>
    <t>Capital:</t>
  </si>
  <si>
    <t>Moneda:</t>
  </si>
  <si>
    <t>Dólares</t>
  </si>
  <si>
    <t>Capital</t>
  </si>
  <si>
    <t>Intereses</t>
  </si>
  <si>
    <t>Pago</t>
  </si>
  <si>
    <t>Saldo</t>
  </si>
  <si>
    <t>inversión</t>
  </si>
  <si>
    <t>Ecuadorian Jaiba Corp.</t>
  </si>
  <si>
    <t>Años:</t>
  </si>
  <si>
    <t>Años</t>
  </si>
  <si>
    <t>INGRESOS</t>
  </si>
  <si>
    <t>Operativos</t>
  </si>
  <si>
    <t>No operativos</t>
  </si>
  <si>
    <t>Capital social</t>
  </si>
  <si>
    <t>Deuda adquirida</t>
  </si>
  <si>
    <t>TOTAL INGRESOS</t>
  </si>
  <si>
    <t>EGRESOS</t>
  </si>
  <si>
    <t>Costo operativo</t>
  </si>
  <si>
    <t>Costo no operativo</t>
  </si>
  <si>
    <t>TOTAL EGRESOS</t>
  </si>
  <si>
    <t>UTILIDAD BRUTA</t>
  </si>
  <si>
    <t>(-)Depreciación</t>
  </si>
  <si>
    <t>UTILIDAD NETA</t>
  </si>
  <si>
    <t xml:space="preserve">VAN      </t>
  </si>
  <si>
    <t>TIR</t>
  </si>
  <si>
    <t>TASA DE DESCUENTO</t>
  </si>
  <si>
    <t>Rf</t>
  </si>
  <si>
    <t>Rm</t>
  </si>
  <si>
    <t>β</t>
  </si>
  <si>
    <t>RIESGO PAIS</t>
  </si>
  <si>
    <t>Ke</t>
  </si>
  <si>
    <t>sysco</t>
  </si>
  <si>
    <t>bonos globales</t>
  </si>
  <si>
    <t>seafood</t>
  </si>
  <si>
    <t>Kd</t>
  </si>
  <si>
    <t>t</t>
  </si>
  <si>
    <t>D</t>
  </si>
  <si>
    <t>P</t>
  </si>
  <si>
    <t>V</t>
  </si>
  <si>
    <t>Ko</t>
  </si>
  <si>
    <t>duda si es la deuda total con intereses</t>
  </si>
  <si>
    <t>revisar tasa cfn</t>
  </si>
  <si>
    <t>patrimonio ?? Q no mas</t>
  </si>
  <si>
    <t>inversion en todo??</t>
  </si>
  <si>
    <t>Activo Fijo</t>
  </si>
  <si>
    <t>Muebles y Equipo de oficina</t>
  </si>
  <si>
    <t>5 años, 20%</t>
  </si>
  <si>
    <t>Equipo de computación</t>
  </si>
  <si>
    <t>3 años, 33,33%</t>
  </si>
  <si>
    <t>Oficina</t>
  </si>
  <si>
    <t>20 años, 5%</t>
  </si>
  <si>
    <t>TOTAL DE ACTIVO FIJO</t>
  </si>
  <si>
    <t>Publicidad</t>
  </si>
  <si>
    <t>Internet</t>
  </si>
  <si>
    <t xml:space="preserve">Servicios </t>
  </si>
  <si>
    <t>Ferias internacionales</t>
  </si>
  <si>
    <t>Pasajes</t>
  </si>
  <si>
    <t>Viaticos</t>
  </si>
  <si>
    <t>Dominios</t>
  </si>
  <si>
    <t>1 principal y 5 secundarios</t>
  </si>
  <si>
    <t>-</t>
  </si>
  <si>
    <t>Tarrinas</t>
  </si>
  <si>
    <t>Cartones</t>
  </si>
  <si>
    <t>Etiquetas</t>
  </si>
  <si>
    <t>Por libra/u</t>
  </si>
  <si>
    <t>insumos tarrinas</t>
  </si>
  <si>
    <t>insumos cartones</t>
  </si>
  <si>
    <t>insumos etiquetas</t>
  </si>
  <si>
    <t>Supuestos de Beneficios a Trabajadores</t>
  </si>
  <si>
    <t>Rubro</t>
  </si>
  <si>
    <t>Comida</t>
  </si>
  <si>
    <t>Décimo tercero</t>
  </si>
  <si>
    <t>Décimo cuarto</t>
  </si>
  <si>
    <t>Fondos de reserva</t>
  </si>
  <si>
    <t>Horas extras</t>
  </si>
  <si>
    <t>hora normal</t>
  </si>
  <si>
    <t>a partir del 1 año</t>
  </si>
  <si>
    <t>totales!</t>
  </si>
  <si>
    <t>logo, papeleria, uniformes, etc</t>
  </si>
  <si>
    <t>Valor de Salvamento</t>
  </si>
  <si>
    <t>TMAR (CAPM)</t>
  </si>
  <si>
    <t>AMORTIZACION</t>
  </si>
  <si>
    <t>Descripción</t>
  </si>
  <si>
    <t>Valor</t>
  </si>
  <si>
    <t>Total</t>
  </si>
  <si>
    <t>Gastos de constitución</t>
  </si>
  <si>
    <t>Gastos de funcionamiento</t>
  </si>
  <si>
    <t>ACTIVO</t>
  </si>
  <si>
    <t>VALOR DE COMPRA</t>
  </si>
  <si>
    <t>VIDA CONTABLE</t>
  </si>
  <si>
    <t>DEPREC. ANUAL</t>
  </si>
  <si>
    <t>AÑO DEPREC.</t>
  </si>
  <si>
    <t>DEPREC. ACUMUL.</t>
  </si>
  <si>
    <t>VALOR EN LIBRO</t>
  </si>
  <si>
    <t>Depreciación Acumulada</t>
  </si>
  <si>
    <t>Imagen de la empresa</t>
  </si>
  <si>
    <t>INVERSIONES</t>
  </si>
  <si>
    <t>TERRENO</t>
  </si>
  <si>
    <t>ADECUACIONES</t>
  </si>
  <si>
    <t>EDIFICACIÓN</t>
  </si>
  <si>
    <t>Inversión en Equipo de oficina</t>
  </si>
  <si>
    <t>MAQUINARIA</t>
  </si>
  <si>
    <t>EQUIPO DE OFICINA</t>
  </si>
  <si>
    <t>IMPREVISTOS (1%)</t>
  </si>
  <si>
    <t>Galpón</t>
  </si>
  <si>
    <t>m2</t>
  </si>
  <si>
    <t>costo por m2</t>
  </si>
  <si>
    <t>Muebles y equipo de oficina</t>
  </si>
  <si>
    <t>(-) Amortización intangible</t>
  </si>
  <si>
    <t>(+) Amortización intangible</t>
  </si>
  <si>
    <t>(+) Depreciación</t>
  </si>
  <si>
    <t>Saldo Final</t>
  </si>
  <si>
    <t>(-) Amortización deuda</t>
  </si>
  <si>
    <t>(-) Impuesto a la renta (25%)</t>
  </si>
  <si>
    <t>(-) Particip. Trabajad. (15%)</t>
  </si>
  <si>
    <t>(-) Pago de intereses</t>
  </si>
  <si>
    <t>Valor de salvamento</t>
  </si>
  <si>
    <t>TMAR (WACC)</t>
  </si>
  <si>
    <t>PAYBACK</t>
  </si>
  <si>
    <t>Período (años)</t>
  </si>
  <si>
    <t>Saldo Inversion</t>
  </si>
  <si>
    <t>Flujo de Caja</t>
  </si>
  <si>
    <t>Rentabilidad Exigida</t>
  </si>
  <si>
    <t>Recuperación Inversión</t>
  </si>
</sst>
</file>

<file path=xl/styles.xml><?xml version="1.0" encoding="utf-8"?>
<styleSheet xmlns="http://schemas.openxmlformats.org/spreadsheetml/2006/main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300A]\ #,##0.00"/>
    <numFmt numFmtId="165" formatCode="_-[$$-300A]\ * #,##0.00_ ;_-[$$-300A]\ * \-#,##0.00\ ;_-[$$-300A]\ * &quot;-&quot;??_ ;_-@_ "/>
    <numFmt numFmtId="166" formatCode="[$$-2C0A]\ #,##0.00"/>
    <numFmt numFmtId="167" formatCode="[$$-409]#,##0.00"/>
    <numFmt numFmtId="168" formatCode="_ &quot;$&quot;\ * #,##0.00_ ;_ &quot;$&quot;\ * \-#,##0.00_ ;_ &quot;$&quot;\ * &quot;-&quot;??_ ;_ @_ "/>
    <numFmt numFmtId="169" formatCode="#,##0.00\ _€"/>
    <numFmt numFmtId="176" formatCode="[$$-409]#,##0.00;[Red][$$-409]#,##0.00"/>
  </numFmts>
  <fonts count="22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3"/>
      <name val="Arial"/>
      <family val="2"/>
    </font>
    <font>
      <u/>
      <sz val="13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4"/>
      <color theme="1"/>
      <name val="Calibri"/>
      <family val="2"/>
      <scheme val="minor"/>
    </font>
    <font>
      <b/>
      <u/>
      <sz val="14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21">
    <xf numFmtId="0" fontId="0" fillId="0" borderId="0" xfId="0"/>
    <xf numFmtId="10" fontId="0" fillId="0" borderId="0" xfId="0" applyNumberFormat="1"/>
    <xf numFmtId="0" fontId="9" fillId="0" borderId="0" xfId="0" applyFont="1"/>
    <xf numFmtId="1" fontId="0" fillId="0" borderId="0" xfId="0" applyNumberFormat="1"/>
    <xf numFmtId="43" fontId="6" fillId="0" borderId="0" xfId="1" applyFont="1"/>
    <xf numFmtId="43" fontId="0" fillId="0" borderId="0" xfId="0" applyNumberFormat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0" fillId="4" borderId="0" xfId="0" applyNumberFormat="1" applyFill="1"/>
    <xf numFmtId="2" fontId="0" fillId="0" borderId="0" xfId="0" applyNumberFormat="1"/>
    <xf numFmtId="1" fontId="0" fillId="0" borderId="0" xfId="0" applyNumberFormat="1" applyAlignment="1">
      <alignment vertical="center"/>
    </xf>
    <xf numFmtId="1" fontId="0" fillId="0" borderId="2" xfId="0" applyNumberFormat="1" applyBorder="1"/>
    <xf numFmtId="0" fontId="9" fillId="0" borderId="1" xfId="0" applyFont="1" applyFill="1" applyBorder="1" applyAlignment="1">
      <alignment horizontal="center"/>
    </xf>
    <xf numFmtId="0" fontId="0" fillId="0" borderId="1" xfId="0" applyFill="1" applyBorder="1"/>
    <xf numFmtId="2" fontId="13" fillId="0" borderId="1" xfId="0" applyNumberFormat="1" applyFont="1" applyFill="1" applyBorder="1" applyAlignment="1">
      <alignment horizontal="center"/>
    </xf>
    <xf numFmtId="9" fontId="0" fillId="0" borderId="0" xfId="0" applyNumberFormat="1"/>
    <xf numFmtId="0" fontId="9" fillId="0" borderId="1" xfId="0" applyFont="1" applyFill="1" applyBorder="1" applyAlignment="1"/>
    <xf numFmtId="0" fontId="14" fillId="0" borderId="3" xfId="0" applyFont="1" applyFill="1" applyBorder="1" applyAlignment="1">
      <alignment horizontal="justify" vertical="top"/>
    </xf>
    <xf numFmtId="0" fontId="9" fillId="0" borderId="4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right" vertical="top"/>
    </xf>
    <xf numFmtId="0" fontId="9" fillId="0" borderId="6" xfId="0" applyFont="1" applyFill="1" applyBorder="1" applyAlignment="1">
      <alignment horizontal="center"/>
    </xf>
    <xf numFmtId="0" fontId="0" fillId="0" borderId="6" xfId="0" applyFill="1" applyBorder="1"/>
    <xf numFmtId="0" fontId="14" fillId="0" borderId="7" xfId="0" applyFont="1" applyFill="1" applyBorder="1" applyAlignment="1">
      <alignment horizontal="center"/>
    </xf>
    <xf numFmtId="0" fontId="15" fillId="0" borderId="8" xfId="0" applyFont="1" applyBorder="1"/>
    <xf numFmtId="0" fontId="15" fillId="0" borderId="9" xfId="0" applyFont="1" applyBorder="1"/>
    <xf numFmtId="0" fontId="15" fillId="0" borderId="10" xfId="0" applyFont="1" applyBorder="1"/>
    <xf numFmtId="0" fontId="15" fillId="0" borderId="3" xfId="0" applyFont="1" applyBorder="1"/>
    <xf numFmtId="0" fontId="15" fillId="0" borderId="1" xfId="0" applyFont="1" applyBorder="1"/>
    <xf numFmtId="2" fontId="15" fillId="0" borderId="4" xfId="0" applyNumberFormat="1" applyFont="1" applyBorder="1"/>
    <xf numFmtId="0" fontId="15" fillId="0" borderId="5" xfId="0" applyFont="1" applyBorder="1"/>
    <xf numFmtId="0" fontId="15" fillId="0" borderId="6" xfId="0" applyFont="1" applyBorder="1"/>
    <xf numFmtId="2" fontId="15" fillId="0" borderId="7" xfId="0" applyNumberFormat="1" applyFont="1" applyBorder="1"/>
    <xf numFmtId="0" fontId="0" fillId="0" borderId="0" xfId="0" applyFill="1" applyBorder="1"/>
    <xf numFmtId="0" fontId="15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15" fillId="0" borderId="4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10" fontId="0" fillId="0" borderId="1" xfId="0" applyNumberFormat="1" applyBorder="1"/>
    <xf numFmtId="0" fontId="0" fillId="0" borderId="11" xfId="0" applyBorder="1"/>
    <xf numFmtId="10" fontId="0" fillId="0" borderId="12" xfId="0" applyNumberFormat="1" applyBorder="1"/>
    <xf numFmtId="165" fontId="0" fillId="0" borderId="1" xfId="0" applyNumberForma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65" fontId="15" fillId="4" borderId="1" xfId="0" applyNumberFormat="1" applyFont="1" applyFill="1" applyBorder="1" applyAlignment="1">
      <alignment horizontal="center" vertical="center"/>
    </xf>
    <xf numFmtId="165" fontId="15" fillId="4" borderId="4" xfId="0" applyNumberFormat="1" applyFont="1" applyFill="1" applyBorder="1" applyAlignment="1">
      <alignment horizontal="center" vertical="center"/>
    </xf>
    <xf numFmtId="9" fontId="0" fillId="0" borderId="1" xfId="0" applyNumberFormat="1" applyBorder="1"/>
    <xf numFmtId="165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0" fillId="0" borderId="1" xfId="0" applyBorder="1" applyAlignment="1">
      <alignment horizontal="right"/>
    </xf>
    <xf numFmtId="164" fontId="15" fillId="0" borderId="1" xfId="0" applyNumberFormat="1" applyFont="1" applyBorder="1"/>
    <xf numFmtId="0" fontId="16" fillId="0" borderId="0" xfId="0" applyFont="1" applyBorder="1" applyAlignment="1"/>
    <xf numFmtId="164" fontId="0" fillId="0" borderId="0" xfId="0" applyNumberFormat="1"/>
    <xf numFmtId="164" fontId="0" fillId="4" borderId="0" xfId="0" applyNumberFormat="1" applyFill="1"/>
    <xf numFmtId="0" fontId="0" fillId="0" borderId="3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3" xfId="0" applyFont="1" applyBorder="1"/>
    <xf numFmtId="164" fontId="0" fillId="5" borderId="6" xfId="0" applyNumberFormat="1" applyFill="1" applyBorder="1"/>
    <xf numFmtId="164" fontId="0" fillId="5" borderId="7" xfId="0" applyNumberFormat="1" applyFill="1" applyBorder="1"/>
    <xf numFmtId="2" fontId="0" fillId="0" borderId="1" xfId="0" applyNumberFormat="1" applyBorder="1"/>
    <xf numFmtId="165" fontId="0" fillId="0" borderId="1" xfId="0" applyNumberFormat="1" applyBorder="1"/>
    <xf numFmtId="165" fontId="0" fillId="0" borderId="13" xfId="0" applyNumberFormat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16" fillId="0" borderId="0" xfId="0" applyFont="1" applyFill="1" applyBorder="1" applyAlignment="1"/>
    <xf numFmtId="165" fontId="0" fillId="0" borderId="14" xfId="0" applyNumberFormat="1" applyBorder="1"/>
    <xf numFmtId="1" fontId="0" fillId="0" borderId="1" xfId="0" applyNumberFormat="1" applyFill="1" applyBorder="1"/>
    <xf numFmtId="0" fontId="0" fillId="0" borderId="15" xfId="0" applyBorder="1"/>
    <xf numFmtId="166" fontId="0" fillId="0" borderId="1" xfId="0" applyNumberFormat="1" applyBorder="1"/>
    <xf numFmtId="166" fontId="0" fillId="5" borderId="1" xfId="0" applyNumberFormat="1" applyFill="1" applyBorder="1"/>
    <xf numFmtId="0" fontId="8" fillId="0" borderId="1" xfId="0" applyFont="1" applyBorder="1"/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10" fontId="15" fillId="0" borderId="0" xfId="3" applyNumberFormat="1" applyFont="1" applyBorder="1" applyAlignment="1">
      <alignment horizontal="right" vertical="center"/>
    </xf>
    <xf numFmtId="168" fontId="1" fillId="0" borderId="17" xfId="2" applyNumberFormat="1" applyFont="1" applyBorder="1"/>
    <xf numFmtId="167" fontId="0" fillId="0" borderId="0" xfId="0" applyNumberFormat="1" applyBorder="1"/>
    <xf numFmtId="164" fontId="0" fillId="0" borderId="0" xfId="0" applyNumberFormat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2" fontId="0" fillId="0" borderId="0" xfId="0" applyNumberFormat="1" applyAlignment="1">
      <alignment horizontal="center"/>
    </xf>
    <xf numFmtId="0" fontId="17" fillId="0" borderId="0" xfId="0" applyFont="1" applyAlignment="1">
      <alignment horizontal="right"/>
    </xf>
    <xf numFmtId="169" fontId="0" fillId="0" borderId="0" xfId="0" applyNumberFormat="1" applyAlignment="1"/>
    <xf numFmtId="0" fontId="0" fillId="0" borderId="0" xfId="0" applyAlignment="1">
      <alignment horizontal="right"/>
    </xf>
    <xf numFmtId="169" fontId="0" fillId="0" borderId="18" xfId="0" applyNumberFormat="1" applyBorder="1" applyAlignment="1"/>
    <xf numFmtId="0" fontId="12" fillId="0" borderId="0" xfId="0" applyFont="1"/>
    <xf numFmtId="169" fontId="8" fillId="0" borderId="0" xfId="0" applyNumberFormat="1" applyFont="1" applyAlignment="1"/>
    <xf numFmtId="0" fontId="12" fillId="0" borderId="0" xfId="0" applyFont="1" applyFill="1"/>
    <xf numFmtId="169" fontId="8" fillId="0" borderId="2" xfId="0" applyNumberFormat="1" applyFont="1" applyBorder="1" applyAlignment="1"/>
    <xf numFmtId="0" fontId="0" fillId="0" borderId="0" xfId="0" applyFill="1" applyAlignment="1">
      <alignment horizontal="right"/>
    </xf>
    <xf numFmtId="169" fontId="8" fillId="0" borderId="0" xfId="0" applyNumberFormat="1" applyFont="1" applyBorder="1" applyAlignment="1"/>
    <xf numFmtId="169" fontId="0" fillId="0" borderId="0" xfId="0" applyNumberFormat="1" applyFont="1" applyBorder="1" applyAlignment="1"/>
    <xf numFmtId="169" fontId="0" fillId="0" borderId="0" xfId="0" applyNumberFormat="1"/>
    <xf numFmtId="0" fontId="18" fillId="0" borderId="0" xfId="0" applyFont="1"/>
    <xf numFmtId="169" fontId="0" fillId="6" borderId="0" xfId="0" applyNumberFormat="1" applyFill="1" applyAlignment="1">
      <alignment horizontal="center"/>
    </xf>
    <xf numFmtId="4" fontId="0" fillId="0" borderId="0" xfId="0" applyNumberFormat="1"/>
    <xf numFmtId="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/>
    </xf>
    <xf numFmtId="164" fontId="16" fillId="0" borderId="0" xfId="0" applyNumberFormat="1" applyFont="1" applyFill="1" applyBorder="1" applyAlignment="1"/>
    <xf numFmtId="0" fontId="0" fillId="7" borderId="0" xfId="0" applyFill="1"/>
    <xf numFmtId="10" fontId="6" fillId="0" borderId="0" xfId="3" applyNumberFormat="1" applyFont="1"/>
    <xf numFmtId="0" fontId="19" fillId="0" borderId="0" xfId="0" applyFont="1"/>
    <xf numFmtId="2" fontId="6" fillId="4" borderId="0" xfId="3" applyNumberFormat="1" applyFont="1" applyFill="1"/>
    <xf numFmtId="2" fontId="0" fillId="4" borderId="0" xfId="0" applyNumberFormat="1" applyFill="1"/>
    <xf numFmtId="0" fontId="0" fillId="0" borderId="0" xfId="0" applyBorder="1" applyAlignment="1"/>
    <xf numFmtId="0" fontId="0" fillId="0" borderId="4" xfId="0" applyBorder="1"/>
    <xf numFmtId="0" fontId="16" fillId="0" borderId="19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164" fontId="0" fillId="0" borderId="1" xfId="0" applyNumberForma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center" vertical="center"/>
    </xf>
    <xf numFmtId="0" fontId="17" fillId="0" borderId="1" xfId="0" applyFont="1" applyBorder="1" applyAlignment="1"/>
    <xf numFmtId="166" fontId="0" fillId="0" borderId="0" xfId="0" applyNumberFormat="1"/>
    <xf numFmtId="166" fontId="17" fillId="0" borderId="1" xfId="0" applyNumberFormat="1" applyFont="1" applyBorder="1" applyAlignment="1"/>
    <xf numFmtId="0" fontId="0" fillId="0" borderId="21" xfId="0" applyFill="1" applyBorder="1"/>
    <xf numFmtId="0" fontId="2" fillId="0" borderId="1" xfId="0" applyFont="1" applyBorder="1" applyAlignment="1">
      <alignment horizontal="center"/>
    </xf>
    <xf numFmtId="176" fontId="0" fillId="0" borderId="1" xfId="0" applyNumberFormat="1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7" fillId="0" borderId="23" xfId="0" applyFont="1" applyBorder="1"/>
    <xf numFmtId="0" fontId="0" fillId="0" borderId="23" xfId="0" applyBorder="1" applyAlignment="1">
      <alignment horizontal="right"/>
    </xf>
    <xf numFmtId="0" fontId="8" fillId="0" borderId="24" xfId="0" applyFont="1" applyBorder="1" applyAlignment="1">
      <alignment horizontal="right"/>
    </xf>
    <xf numFmtId="2" fontId="0" fillId="2" borderId="1" xfId="0" applyNumberFormat="1" applyFill="1" applyBorder="1"/>
    <xf numFmtId="176" fontId="17" fillId="0" borderId="1" xfId="0" applyNumberFormat="1" applyFont="1" applyBorder="1"/>
    <xf numFmtId="0" fontId="0" fillId="0" borderId="3" xfId="0" applyBorder="1"/>
    <xf numFmtId="0" fontId="0" fillId="0" borderId="7" xfId="0" applyBorder="1"/>
    <xf numFmtId="0" fontId="0" fillId="0" borderId="0" xfId="0" applyFill="1" applyBorder="1" applyAlignment="1"/>
    <xf numFmtId="2" fontId="0" fillId="3" borderId="1" xfId="0" applyNumberFormat="1" applyFill="1" applyBorder="1"/>
    <xf numFmtId="0" fontId="20" fillId="0" borderId="0" xfId="0" applyFont="1" applyFill="1" applyAlignment="1">
      <alignment horizontal="right"/>
    </xf>
    <xf numFmtId="169" fontId="0" fillId="0" borderId="0" xfId="0" applyNumberFormat="1" applyFill="1" applyBorder="1" applyAlignment="1"/>
    <xf numFmtId="169" fontId="0" fillId="0" borderId="0" xfId="0" applyNumberFormat="1" applyFill="1" applyBorder="1"/>
    <xf numFmtId="169" fontId="10" fillId="4" borderId="25" xfId="0" applyNumberFormat="1" applyFont="1" applyFill="1" applyBorder="1" applyAlignment="1"/>
    <xf numFmtId="169" fontId="0" fillId="0" borderId="0" xfId="0" applyNumberFormat="1" applyBorder="1" applyAlignment="1"/>
    <xf numFmtId="169" fontId="8" fillId="0" borderId="26" xfId="0" applyNumberFormat="1" applyFont="1" applyBorder="1" applyAlignment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2" fontId="0" fillId="8" borderId="1" xfId="0" applyNumberFormat="1" applyFill="1" applyBorder="1"/>
    <xf numFmtId="0" fontId="8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17" fillId="0" borderId="2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justify" wrapText="1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895350</xdr:colOff>
      <xdr:row>1</xdr:row>
      <xdr:rowOff>161925</xdr:rowOff>
    </xdr:from>
    <xdr:to>
      <xdr:col>4</xdr:col>
      <xdr:colOff>752475</xdr:colOff>
      <xdr:row>3</xdr:row>
      <xdr:rowOff>38100</xdr:rowOff>
    </xdr:to>
    <xdr:cxnSp macro="">
      <xdr:nvCxnSpPr>
        <xdr:cNvPr id="4" name="3 Conector angular"/>
        <xdr:cNvCxnSpPr/>
      </xdr:nvCxnSpPr>
      <xdr:spPr>
        <a:xfrm>
          <a:off x="4114800" y="542925"/>
          <a:ext cx="762000" cy="31432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13</xdr:row>
      <xdr:rowOff>38099</xdr:rowOff>
    </xdr:from>
    <xdr:to>
      <xdr:col>9</xdr:col>
      <xdr:colOff>323851</xdr:colOff>
      <xdr:row>13</xdr:row>
      <xdr:rowOff>85724</xdr:rowOff>
    </xdr:to>
    <xdr:cxnSp macro="">
      <xdr:nvCxnSpPr>
        <xdr:cNvPr id="3" name="2 Conector angular"/>
        <xdr:cNvCxnSpPr/>
      </xdr:nvCxnSpPr>
      <xdr:spPr>
        <a:xfrm rot="10800000" flipV="1">
          <a:off x="5086351" y="2581274"/>
          <a:ext cx="3476625" cy="4762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2.bin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45"/>
  <sheetViews>
    <sheetView topLeftCell="A36" workbookViewId="0">
      <selection activeCell="E52" sqref="E52"/>
    </sheetView>
  </sheetViews>
  <sheetFormatPr baseColWidth="10" defaultRowHeight="15"/>
  <cols>
    <col min="2" max="2" width="25.42578125" bestFit="1" customWidth="1"/>
    <col min="3" max="3" width="13.28515625" customWidth="1"/>
    <col min="4" max="4" width="14.140625" bestFit="1" customWidth="1"/>
    <col min="5" max="5" width="14.5703125" bestFit="1" customWidth="1"/>
    <col min="6" max="6" width="11.5703125" bestFit="1" customWidth="1"/>
    <col min="8" max="9" width="12.5703125" bestFit="1" customWidth="1"/>
  </cols>
  <sheetData>
    <row r="4" spans="2:10">
      <c r="B4" t="s">
        <v>2</v>
      </c>
      <c r="D4" s="3">
        <v>715</v>
      </c>
      <c r="G4" t="s">
        <v>6</v>
      </c>
      <c r="I4">
        <f>I6/I5</f>
        <v>0.23813606142005297</v>
      </c>
    </row>
    <row r="5" spans="2:10" ht="15.75">
      <c r="B5" t="s">
        <v>4</v>
      </c>
      <c r="D5">
        <v>5000</v>
      </c>
      <c r="H5" t="s">
        <v>106</v>
      </c>
      <c r="I5" s="2">
        <v>17.636976000000001</v>
      </c>
    </row>
    <row r="6" spans="2:10" ht="15.75">
      <c r="B6" t="s">
        <v>1</v>
      </c>
      <c r="D6" s="1">
        <v>8.6400000000000005E-2</v>
      </c>
      <c r="G6" s="3"/>
      <c r="H6" t="s">
        <v>107</v>
      </c>
      <c r="I6" s="2">
        <v>4.2</v>
      </c>
    </row>
    <row r="7" spans="2:10">
      <c r="B7" t="s">
        <v>40</v>
      </c>
      <c r="D7" s="1">
        <v>0.4</v>
      </c>
      <c r="I7" s="5"/>
    </row>
    <row r="8" spans="2:10">
      <c r="B8" t="s">
        <v>41</v>
      </c>
      <c r="D8" s="1">
        <f>D6*D7</f>
        <v>3.456E-2</v>
      </c>
      <c r="I8" s="5"/>
    </row>
    <row r="9" spans="2:10">
      <c r="B9" t="s">
        <v>5</v>
      </c>
      <c r="D9">
        <f>I4</f>
        <v>0.23813606142005297</v>
      </c>
    </row>
    <row r="10" spans="2:10">
      <c r="B10" t="s">
        <v>7</v>
      </c>
      <c r="D10" s="14">
        <v>12</v>
      </c>
    </row>
    <row r="11" spans="2:10">
      <c r="B11" t="s">
        <v>8</v>
      </c>
      <c r="D11" s="3">
        <f>$D$4*$D$10</f>
        <v>8580</v>
      </c>
    </row>
    <row r="12" spans="2:10">
      <c r="B12" t="s">
        <v>9</v>
      </c>
      <c r="D12" s="3">
        <f>$D$11*12</f>
        <v>102960</v>
      </c>
      <c r="E12" s="3"/>
    </row>
    <row r="13" spans="2:10">
      <c r="B13" t="s">
        <v>10</v>
      </c>
      <c r="E13" s="4"/>
      <c r="F13" s="3"/>
    </row>
    <row r="14" spans="2:10">
      <c r="C14" s="11" t="s">
        <v>11</v>
      </c>
      <c r="D14" s="65">
        <v>0.12</v>
      </c>
      <c r="E14" s="68">
        <v>6.12</v>
      </c>
      <c r="F14" s="126">
        <v>6.12</v>
      </c>
      <c r="H14" t="s">
        <v>121</v>
      </c>
      <c r="J14" s="3" t="s">
        <v>158</v>
      </c>
    </row>
    <row r="15" spans="2:10">
      <c r="C15" s="11" t="s">
        <v>12</v>
      </c>
      <c r="D15" s="65">
        <v>0.1</v>
      </c>
      <c r="E15" s="68">
        <v>7.15</v>
      </c>
      <c r="F15" s="126">
        <v>7.15</v>
      </c>
    </row>
    <row r="16" spans="2:10">
      <c r="C16" s="11" t="s">
        <v>13</v>
      </c>
      <c r="D16" s="65">
        <v>0.15</v>
      </c>
      <c r="E16" s="68">
        <v>8</v>
      </c>
      <c r="F16" s="126">
        <v>8</v>
      </c>
      <c r="H16" s="3">
        <v>340</v>
      </c>
      <c r="I16">
        <v>6.6</v>
      </c>
    </row>
    <row r="17" spans="2:10">
      <c r="C17" s="11" t="s">
        <v>14</v>
      </c>
      <c r="D17" s="65">
        <v>0.2</v>
      </c>
      <c r="E17" s="15">
        <v>9.34</v>
      </c>
      <c r="F17" s="126">
        <v>9.3470588235294123</v>
      </c>
      <c r="H17">
        <v>454</v>
      </c>
      <c r="I17" t="s">
        <v>122</v>
      </c>
    </row>
    <row r="18" spans="2:10">
      <c r="C18" s="11" t="s">
        <v>15</v>
      </c>
      <c r="D18" s="65">
        <v>0.43</v>
      </c>
      <c r="E18" s="15">
        <v>8.81</v>
      </c>
      <c r="F18" s="126">
        <v>8.8129411764705878</v>
      </c>
      <c r="H18" t="s">
        <v>122</v>
      </c>
      <c r="I18" s="15">
        <f>(H17*I16)/H16</f>
        <v>8.8129411764705878</v>
      </c>
      <c r="J18" t="s">
        <v>123</v>
      </c>
    </row>
    <row r="19" spans="2:10">
      <c r="C19" s="69" t="s">
        <v>120</v>
      </c>
      <c r="D19" s="65">
        <f>SUM(D14:D18)</f>
        <v>1</v>
      </c>
    </row>
    <row r="20" spans="2:10">
      <c r="E20" s="3">
        <f>D5/C21</f>
        <v>45.454545454545453</v>
      </c>
      <c r="F20" t="s">
        <v>108</v>
      </c>
      <c r="H20">
        <v>340</v>
      </c>
      <c r="I20">
        <v>7</v>
      </c>
    </row>
    <row r="21" spans="2:10">
      <c r="B21" t="s">
        <v>110</v>
      </c>
      <c r="C21">
        <v>110</v>
      </c>
      <c r="H21">
        <v>454</v>
      </c>
      <c r="I21" t="s">
        <v>124</v>
      </c>
    </row>
    <row r="22" spans="2:10">
      <c r="B22" t="s">
        <v>109</v>
      </c>
      <c r="C22">
        <f>1/C21</f>
        <v>9.0909090909090905E-3</v>
      </c>
      <c r="E22" s="3"/>
      <c r="H22" t="s">
        <v>124</v>
      </c>
      <c r="I22" s="15">
        <f>(H21*I20)/H20</f>
        <v>9.3470588235294123</v>
      </c>
      <c r="J22" t="s">
        <v>125</v>
      </c>
    </row>
    <row r="23" spans="2:10">
      <c r="B23" t="s">
        <v>155</v>
      </c>
      <c r="C23" s="68">
        <v>0.18</v>
      </c>
      <c r="I23" s="15"/>
    </row>
    <row r="24" spans="2:10">
      <c r="B24" t="s">
        <v>156</v>
      </c>
      <c r="C24" s="15">
        <f>C23*C21</f>
        <v>19.8</v>
      </c>
      <c r="I24" s="15"/>
    </row>
    <row r="25" spans="2:10">
      <c r="B25" t="s">
        <v>157</v>
      </c>
      <c r="C25" s="3">
        <f>C24*24</f>
        <v>475.20000000000005</v>
      </c>
      <c r="E25" s="15"/>
    </row>
    <row r="26" spans="2:10">
      <c r="B26" t="s">
        <v>159</v>
      </c>
      <c r="C26" s="3">
        <f>C25*12</f>
        <v>5702.4000000000005</v>
      </c>
    </row>
    <row r="27" spans="2:10">
      <c r="B27" t="s">
        <v>160</v>
      </c>
      <c r="C27">
        <v>1.5</v>
      </c>
    </row>
    <row r="28" spans="2:10">
      <c r="B28" t="s">
        <v>248</v>
      </c>
      <c r="C28" s="3">
        <f>D4</f>
        <v>715</v>
      </c>
    </row>
    <row r="29" spans="2:10">
      <c r="B29" t="s">
        <v>249</v>
      </c>
      <c r="C29" s="3">
        <f>C28/6</f>
        <v>119.16666666666667</v>
      </c>
    </row>
    <row r="30" spans="2:10">
      <c r="B30" t="s">
        <v>250</v>
      </c>
      <c r="C30" s="3">
        <f>C28</f>
        <v>715</v>
      </c>
    </row>
    <row r="33" spans="2:5">
      <c r="B33" s="176" t="s">
        <v>143</v>
      </c>
      <c r="C33" s="176"/>
      <c r="D33" s="176"/>
      <c r="E33" s="176"/>
    </row>
    <row r="34" spans="2:5">
      <c r="B34" s="51" t="s">
        <v>119</v>
      </c>
      <c r="C34" s="51" t="s">
        <v>153</v>
      </c>
      <c r="D34" s="51" t="s">
        <v>154</v>
      </c>
      <c r="E34" s="51" t="s">
        <v>36</v>
      </c>
    </row>
    <row r="35" spans="2:5">
      <c r="B35" s="69" t="s">
        <v>144</v>
      </c>
      <c r="C35" s="11">
        <v>1</v>
      </c>
      <c r="D35" s="80">
        <v>1200</v>
      </c>
      <c r="E35" s="80">
        <f>C35*D35</f>
        <v>1200</v>
      </c>
    </row>
    <row r="36" spans="2:5">
      <c r="B36" s="69" t="s">
        <v>145</v>
      </c>
      <c r="C36" s="11">
        <v>1</v>
      </c>
      <c r="D36" s="80">
        <v>800</v>
      </c>
      <c r="E36" s="80">
        <f t="shared" ref="E36:E44" si="0">C36*D36</f>
        <v>800</v>
      </c>
    </row>
    <row r="37" spans="2:5">
      <c r="B37" s="69" t="s">
        <v>146</v>
      </c>
      <c r="C37" s="11">
        <v>1</v>
      </c>
      <c r="D37" s="80">
        <v>800</v>
      </c>
      <c r="E37" s="80">
        <f t="shared" si="0"/>
        <v>800</v>
      </c>
    </row>
    <row r="38" spans="2:5">
      <c r="B38" s="69" t="s">
        <v>150</v>
      </c>
      <c r="C38" s="11">
        <v>1</v>
      </c>
      <c r="D38" s="80">
        <v>800</v>
      </c>
      <c r="E38" s="80">
        <f t="shared" si="0"/>
        <v>800</v>
      </c>
    </row>
    <row r="39" spans="2:5">
      <c r="B39" s="69" t="s">
        <v>147</v>
      </c>
      <c r="C39" s="11">
        <v>1</v>
      </c>
      <c r="D39" s="80">
        <v>500</v>
      </c>
      <c r="E39" s="80">
        <f t="shared" si="0"/>
        <v>500</v>
      </c>
    </row>
    <row r="40" spans="2:5">
      <c r="B40" s="69" t="s">
        <v>148</v>
      </c>
      <c r="C40" s="11">
        <v>1</v>
      </c>
      <c r="D40" s="80">
        <v>280</v>
      </c>
      <c r="E40" s="80">
        <f t="shared" si="0"/>
        <v>280</v>
      </c>
    </row>
    <row r="41" spans="2:5">
      <c r="B41" s="69" t="s">
        <v>149</v>
      </c>
      <c r="C41" s="11">
        <v>1</v>
      </c>
      <c r="D41" s="80">
        <v>250</v>
      </c>
      <c r="E41" s="80">
        <f t="shared" si="0"/>
        <v>250</v>
      </c>
    </row>
    <row r="42" spans="2:5">
      <c r="B42" s="69" t="s">
        <v>142</v>
      </c>
      <c r="C42" s="9">
        <f>E20</f>
        <v>45.454545454545453</v>
      </c>
      <c r="D42" s="80">
        <f>C25</f>
        <v>475.20000000000005</v>
      </c>
      <c r="E42" s="80">
        <f t="shared" si="0"/>
        <v>21600</v>
      </c>
    </row>
    <row r="43" spans="2:5">
      <c r="B43" s="69" t="s">
        <v>151</v>
      </c>
      <c r="C43" s="11">
        <v>2</v>
      </c>
      <c r="D43" s="80">
        <v>250</v>
      </c>
      <c r="E43" s="80">
        <f t="shared" si="0"/>
        <v>500</v>
      </c>
    </row>
    <row r="44" spans="2:5">
      <c r="B44" s="69" t="s">
        <v>152</v>
      </c>
      <c r="C44" s="11">
        <v>1</v>
      </c>
      <c r="D44" s="80">
        <v>230</v>
      </c>
      <c r="E44" s="80">
        <f t="shared" si="0"/>
        <v>230</v>
      </c>
    </row>
    <row r="45" spans="2:5">
      <c r="D45" s="11" t="s">
        <v>21</v>
      </c>
      <c r="E45" s="80">
        <f>SUM(E35:E44)</f>
        <v>26960</v>
      </c>
    </row>
  </sheetData>
  <mergeCells count="1">
    <mergeCell ref="B33:E3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N31"/>
  <sheetViews>
    <sheetView topLeftCell="A19" zoomScaleNormal="100" workbookViewId="0">
      <selection activeCell="D31" sqref="D31"/>
    </sheetView>
  </sheetViews>
  <sheetFormatPr baseColWidth="10" defaultRowHeight="15"/>
  <cols>
    <col min="2" max="2" width="23.7109375" bestFit="1" customWidth="1"/>
    <col min="3" max="3" width="17.7109375" customWidth="1"/>
    <col min="4" max="4" width="14.140625" customWidth="1"/>
    <col min="5" max="5" width="12.85546875" customWidth="1"/>
    <col min="6" max="13" width="13.28515625" bestFit="1" customWidth="1"/>
  </cols>
  <sheetData>
    <row r="3" spans="2:13">
      <c r="C3" s="105" t="s">
        <v>22</v>
      </c>
      <c r="D3" s="105" t="s">
        <v>23</v>
      </c>
      <c r="E3" s="105" t="s">
        <v>24</v>
      </c>
      <c r="F3" s="105" t="s">
        <v>25</v>
      </c>
      <c r="G3" s="105" t="s">
        <v>26</v>
      </c>
      <c r="H3" s="105" t="s">
        <v>27</v>
      </c>
      <c r="I3" s="105" t="s">
        <v>28</v>
      </c>
      <c r="J3" s="105" t="s">
        <v>29</v>
      </c>
      <c r="K3" s="105" t="s">
        <v>30</v>
      </c>
      <c r="L3" s="105" t="s">
        <v>31</v>
      </c>
      <c r="M3" s="105" t="s">
        <v>32</v>
      </c>
    </row>
    <row r="4" spans="2:13">
      <c r="B4" s="106" t="s">
        <v>193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2:13">
      <c r="B5" s="108" t="s">
        <v>194</v>
      </c>
      <c r="C5" s="109"/>
      <c r="D5" s="109">
        <f>Demanda!D16</f>
        <v>855154.87199999997</v>
      </c>
      <c r="E5" s="109">
        <f>Demanda!E16</f>
        <v>884709.02437631995</v>
      </c>
      <c r="F5" s="109">
        <f>Demanda!F16</f>
        <v>915284.5682587655</v>
      </c>
      <c r="G5" s="109">
        <f>Demanda!G16</f>
        <v>946916.80293778831</v>
      </c>
      <c r="H5" s="109">
        <f>Demanda!H16</f>
        <v>979642.24764731817</v>
      </c>
      <c r="I5" s="109">
        <f>Demanda!I16</f>
        <v>1013498.6837260093</v>
      </c>
      <c r="J5" s="109">
        <f>Demanda!J16</f>
        <v>1048525.1982355801</v>
      </c>
      <c r="K5" s="109">
        <f>Demanda!K16</f>
        <v>1084762.2290866016</v>
      </c>
      <c r="L5" s="109">
        <f>Demanda!L16</f>
        <v>1122251.6117238346</v>
      </c>
      <c r="M5" s="109">
        <f>Demanda!M16</f>
        <v>1161036.6274250103</v>
      </c>
    </row>
    <row r="6" spans="2:13">
      <c r="B6" s="108" t="s">
        <v>195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2:13">
      <c r="B7" s="110" t="s">
        <v>196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2:13">
      <c r="B8" s="110" t="s">
        <v>197</v>
      </c>
      <c r="C8" s="169">
        <f>Financiamiento!D3</f>
        <v>290698.28584999999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2:13">
      <c r="B9" s="110" t="s">
        <v>299</v>
      </c>
      <c r="C9" s="53"/>
      <c r="D9" s="111"/>
      <c r="E9" s="111"/>
      <c r="F9" s="111"/>
      <c r="G9" s="111"/>
      <c r="H9" s="111"/>
      <c r="I9" s="111"/>
      <c r="J9" s="111"/>
      <c r="K9" s="111"/>
      <c r="L9" s="111"/>
      <c r="M9" s="109">
        <f>Depreciación!$I$18</f>
        <v>28582.833333333332</v>
      </c>
    </row>
    <row r="10" spans="2:13">
      <c r="B10" s="112" t="s">
        <v>198</v>
      </c>
      <c r="C10" s="170">
        <f>SUM(C5:C8)</f>
        <v>290698.28584999999</v>
      </c>
      <c r="D10" s="113">
        <f>SUM(D5:D9)</f>
        <v>855154.87199999997</v>
      </c>
      <c r="E10" s="113">
        <f t="shared" ref="E10:L10" si="0">SUM(E5:E9)</f>
        <v>884709.02437631995</v>
      </c>
      <c r="F10" s="113">
        <f t="shared" si="0"/>
        <v>915284.5682587655</v>
      </c>
      <c r="G10" s="113">
        <f t="shared" si="0"/>
        <v>946916.80293778831</v>
      </c>
      <c r="H10" s="113">
        <f t="shared" si="0"/>
        <v>979642.24764731817</v>
      </c>
      <c r="I10" s="113">
        <f t="shared" si="0"/>
        <v>1013498.6837260093</v>
      </c>
      <c r="J10" s="113">
        <f t="shared" si="0"/>
        <v>1048525.1982355801</v>
      </c>
      <c r="K10" s="113">
        <f t="shared" si="0"/>
        <v>1084762.2290866016</v>
      </c>
      <c r="L10" s="113">
        <f t="shared" si="0"/>
        <v>1122251.6117238346</v>
      </c>
      <c r="M10" s="170">
        <f>SUM(M5:M9)</f>
        <v>1189619.4607583436</v>
      </c>
    </row>
    <row r="11" spans="2:13">
      <c r="B11" s="106" t="s">
        <v>199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2:13">
      <c r="B12" s="108" t="s">
        <v>200</v>
      </c>
      <c r="C12" s="109"/>
      <c r="D12" s="109">
        <f>'Costos O.'!D20</f>
        <v>580920.36818181816</v>
      </c>
      <c r="E12" s="109">
        <f>'Costos O.'!E20</f>
        <v>600996.97610618174</v>
      </c>
      <c r="F12" s="109">
        <f>'Costos O.'!F20</f>
        <v>621767.43160041142</v>
      </c>
      <c r="G12" s="109">
        <f>'Costos O.'!G20</f>
        <v>643255.71403652162</v>
      </c>
      <c r="H12" s="109">
        <f>'Costos O.'!H20</f>
        <v>665486.63151362364</v>
      </c>
      <c r="I12" s="109">
        <f>'Costos O.'!I20</f>
        <v>688485.84949873434</v>
      </c>
      <c r="J12" s="109">
        <f>'Costos O.'!J20</f>
        <v>712279.92045741051</v>
      </c>
      <c r="K12" s="109">
        <f>'Costos O.'!K20</f>
        <v>736896.31450841855</v>
      </c>
      <c r="L12" s="109">
        <f>'Costos O.'!L20</f>
        <v>762363.45113782946</v>
      </c>
      <c r="M12" s="109">
        <f>'Costos O.'!M20</f>
        <v>788710.73200915277</v>
      </c>
    </row>
    <row r="13" spans="2:13">
      <c r="B13" s="108" t="s">
        <v>201</v>
      </c>
      <c r="C13" s="111"/>
      <c r="D13" s="111">
        <f>'Costos N.O.'!$D$22</f>
        <v>87102</v>
      </c>
      <c r="E13" s="111">
        <f>'Costos N.O.'!$D$22</f>
        <v>87102</v>
      </c>
      <c r="F13" s="111">
        <f>'Costos N.O.'!$D$22</f>
        <v>87102</v>
      </c>
      <c r="G13" s="111">
        <f>'Costos N.O.'!$D$22</f>
        <v>87102</v>
      </c>
      <c r="H13" s="111">
        <f>'Costos N.O.'!$D$22</f>
        <v>87102</v>
      </c>
      <c r="I13" s="111">
        <f>'Costos N.O.'!$D$22</f>
        <v>87102</v>
      </c>
      <c r="J13" s="111">
        <f>'Costos N.O.'!$D$22</f>
        <v>87102</v>
      </c>
      <c r="K13" s="111">
        <f>'Costos N.O.'!$D$22</f>
        <v>87102</v>
      </c>
      <c r="L13" s="111">
        <f>'Costos N.O.'!$D$22</f>
        <v>87102</v>
      </c>
      <c r="M13" s="111">
        <f>'Costos N.O.'!$D$22</f>
        <v>87102</v>
      </c>
    </row>
    <row r="14" spans="2:13">
      <c r="B14" s="114" t="s">
        <v>202</v>
      </c>
      <c r="C14" s="115"/>
      <c r="D14" s="115">
        <f t="shared" ref="D14:M14" si="1">SUM(D12:D13)</f>
        <v>668022.36818181816</v>
      </c>
      <c r="E14" s="115">
        <f t="shared" si="1"/>
        <v>688098.97610618174</v>
      </c>
      <c r="F14" s="115">
        <f t="shared" si="1"/>
        <v>708869.43160041142</v>
      </c>
      <c r="G14" s="115">
        <f t="shared" si="1"/>
        <v>730357.71403652162</v>
      </c>
      <c r="H14" s="115">
        <f t="shared" si="1"/>
        <v>752588.63151362364</v>
      </c>
      <c r="I14" s="115">
        <f t="shared" si="1"/>
        <v>775587.84949873434</v>
      </c>
      <c r="J14" s="115">
        <f t="shared" si="1"/>
        <v>799381.92045741051</v>
      </c>
      <c r="K14" s="115">
        <f t="shared" si="1"/>
        <v>823998.31450841855</v>
      </c>
      <c r="L14" s="115">
        <f t="shared" si="1"/>
        <v>849465.45113782946</v>
      </c>
      <c r="M14" s="115">
        <f t="shared" si="1"/>
        <v>875812.73200915277</v>
      </c>
    </row>
    <row r="15" spans="2:13">
      <c r="B15" s="114" t="s">
        <v>203</v>
      </c>
      <c r="C15" s="113">
        <f>(C10-C14)</f>
        <v>290698.28584999999</v>
      </c>
      <c r="D15" s="113">
        <f t="shared" ref="D15:M15" si="2">(D10-D14)</f>
        <v>187132.50381818181</v>
      </c>
      <c r="E15" s="113">
        <f t="shared" si="2"/>
        <v>196610.04827013821</v>
      </c>
      <c r="F15" s="113">
        <f t="shared" si="2"/>
        <v>206415.13665835408</v>
      </c>
      <c r="G15" s="113">
        <f t="shared" si="2"/>
        <v>216559.08890126669</v>
      </c>
      <c r="H15" s="113">
        <f t="shared" si="2"/>
        <v>227053.61613369454</v>
      </c>
      <c r="I15" s="113">
        <f t="shared" si="2"/>
        <v>237910.83422727499</v>
      </c>
      <c r="J15" s="113">
        <f t="shared" si="2"/>
        <v>249143.27777816961</v>
      </c>
      <c r="K15" s="113">
        <f t="shared" si="2"/>
        <v>260763.91457818309</v>
      </c>
      <c r="L15" s="113">
        <f t="shared" si="2"/>
        <v>272786.16058600519</v>
      </c>
      <c r="M15" s="113">
        <f t="shared" si="2"/>
        <v>313806.72874919081</v>
      </c>
    </row>
    <row r="16" spans="2:13">
      <c r="B16" s="116" t="s">
        <v>44</v>
      </c>
      <c r="C16" s="109">
        <f>Inversiones!$C$28</f>
        <v>581396.57169999997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</row>
    <row r="17" spans="2:14">
      <c r="B17" s="116" t="s">
        <v>204</v>
      </c>
      <c r="C17" s="109"/>
      <c r="D17" s="109">
        <f>Depreciación!$F$18</f>
        <v>7167.6666666666661</v>
      </c>
      <c r="E17" s="109">
        <f>Depreciación!$F$18</f>
        <v>7167.6666666666661</v>
      </c>
      <c r="F17" s="109">
        <f>Depreciación!$F$18</f>
        <v>7167.6666666666661</v>
      </c>
      <c r="G17" s="109">
        <f>Depreciación!$F$18</f>
        <v>7167.6666666666661</v>
      </c>
      <c r="H17" s="109">
        <f>Depreciación!$F$18</f>
        <v>7167.6666666666661</v>
      </c>
      <c r="I17" s="109">
        <f>Depreciación!$F$18</f>
        <v>7167.6666666666661</v>
      </c>
      <c r="J17" s="109">
        <f>Depreciación!$F$18</f>
        <v>7167.6666666666661</v>
      </c>
      <c r="K17" s="109">
        <f>Depreciación!$F$18</f>
        <v>7167.6666666666661</v>
      </c>
      <c r="L17" s="109">
        <f>Depreciación!$F$18</f>
        <v>7167.6666666666661</v>
      </c>
      <c r="M17" s="109">
        <f>Depreciación!$F$18</f>
        <v>7167.6666666666661</v>
      </c>
    </row>
    <row r="18" spans="2:14">
      <c r="B18" s="116" t="s">
        <v>291</v>
      </c>
      <c r="C18" s="109"/>
      <c r="D18" s="109">
        <f>Depreciación!E25</f>
        <v>236.5</v>
      </c>
      <c r="E18" s="109">
        <f>Depreciación!F25</f>
        <v>236.5</v>
      </c>
      <c r="F18" s="109">
        <f>Depreciación!G25</f>
        <v>236.5</v>
      </c>
      <c r="G18" s="109">
        <f>Depreciación!H25</f>
        <v>236.5</v>
      </c>
      <c r="H18" s="109">
        <f>Depreciación!I25</f>
        <v>236.5</v>
      </c>
      <c r="I18" s="109">
        <f>Depreciación!J25</f>
        <v>236.5</v>
      </c>
      <c r="J18" s="109">
        <f>Depreciación!K25</f>
        <v>236.5</v>
      </c>
      <c r="K18" s="109">
        <f>Depreciación!L25</f>
        <v>236.5</v>
      </c>
      <c r="L18" s="109">
        <f>Depreciación!M25</f>
        <v>236.5</v>
      </c>
      <c r="M18" s="109">
        <f>Depreciación!N25</f>
        <v>236.5</v>
      </c>
    </row>
    <row r="19" spans="2:14">
      <c r="B19" s="116" t="s">
        <v>298</v>
      </c>
      <c r="C19" s="109"/>
      <c r="D19" s="109">
        <v>21002.184221999996</v>
      </c>
      <c r="E19" s="109">
        <v>18729.9234744108</v>
      </c>
      <c r="F19" s="109">
        <v>16249.750868417193</v>
      </c>
      <c r="G19" s="109">
        <v>13542.642468975169</v>
      </c>
      <c r="H19" s="109">
        <v>10587.833650984201</v>
      </c>
      <c r="I19" s="109">
        <v>7362.6598261470608</v>
      </c>
      <c r="J19" s="109">
        <v>3842.382596337321</v>
      </c>
      <c r="K19" s="109">
        <v>0</v>
      </c>
      <c r="L19" s="109">
        <v>0</v>
      </c>
      <c r="M19" s="109">
        <v>0</v>
      </c>
    </row>
    <row r="20" spans="2:14">
      <c r="B20" s="116" t="s">
        <v>297</v>
      </c>
      <c r="C20" s="109"/>
      <c r="D20" s="109">
        <f>(D15-D17-D18-D19)*15%</f>
        <v>23808.922939427273</v>
      </c>
      <c r="E20" s="109">
        <f t="shared" ref="E20:M20" si="3">(E15-E17-E18-E19)*15%</f>
        <v>25571.393719359112</v>
      </c>
      <c r="F20" s="109">
        <f t="shared" si="3"/>
        <v>27414.18286849053</v>
      </c>
      <c r="G20" s="109">
        <f t="shared" si="3"/>
        <v>29341.84196484373</v>
      </c>
      <c r="H20" s="109">
        <f t="shared" si="3"/>
        <v>31359.242372406552</v>
      </c>
      <c r="I20" s="109">
        <f t="shared" si="3"/>
        <v>33471.601160169193</v>
      </c>
      <c r="J20" s="109">
        <f t="shared" si="3"/>
        <v>35684.509277274839</v>
      </c>
      <c r="K20" s="109">
        <f t="shared" si="3"/>
        <v>38003.962186727462</v>
      </c>
      <c r="L20" s="109">
        <f t="shared" si="3"/>
        <v>39807.299087900778</v>
      </c>
      <c r="M20" s="109">
        <f t="shared" si="3"/>
        <v>45960.384312378614</v>
      </c>
    </row>
    <row r="21" spans="2:14">
      <c r="B21" s="116" t="s">
        <v>296</v>
      </c>
      <c r="C21" s="111"/>
      <c r="D21" s="111">
        <f>(D15-D17-D18-D19-D20)*25%</f>
        <v>33729.307497521972</v>
      </c>
      <c r="E21" s="111">
        <f t="shared" ref="E21:M21" si="4">(E15-E17-E18-E19-E20)*25%</f>
        <v>36226.141102425405</v>
      </c>
      <c r="F21" s="111">
        <f t="shared" si="4"/>
        <v>38836.759063694924</v>
      </c>
      <c r="G21" s="111">
        <f t="shared" si="4"/>
        <v>41567.609450195283</v>
      </c>
      <c r="H21" s="111">
        <f t="shared" si="4"/>
        <v>44425.593360909283</v>
      </c>
      <c r="I21" s="111">
        <f t="shared" si="4"/>
        <v>47418.10164357302</v>
      </c>
      <c r="J21" s="111">
        <f t="shared" si="4"/>
        <v>50553.054809472698</v>
      </c>
      <c r="K21" s="111">
        <f t="shared" si="4"/>
        <v>53838.946431197241</v>
      </c>
      <c r="L21" s="111">
        <f t="shared" si="4"/>
        <v>56393.673707859431</v>
      </c>
      <c r="M21" s="111">
        <f t="shared" si="4"/>
        <v>65110.544442536375</v>
      </c>
    </row>
    <row r="22" spans="2:14">
      <c r="B22" s="114" t="s">
        <v>205</v>
      </c>
      <c r="C22" s="117">
        <v>0</v>
      </c>
      <c r="D22" s="117">
        <f>D15-D17-D18-D19-D20-D21</f>
        <v>101187.92249256591</v>
      </c>
      <c r="E22" s="117">
        <f t="shared" ref="E22:M22" si="5">E15-E17-E18-E19-E20-E21</f>
        <v>108678.42330727621</v>
      </c>
      <c r="F22" s="117">
        <f t="shared" si="5"/>
        <v>116510.27719108478</v>
      </c>
      <c r="G22" s="117">
        <f t="shared" si="5"/>
        <v>124702.82835058586</v>
      </c>
      <c r="H22" s="117">
        <f t="shared" si="5"/>
        <v>133276.78008272784</v>
      </c>
      <c r="I22" s="117">
        <f t="shared" si="5"/>
        <v>142254.30493071905</v>
      </c>
      <c r="J22" s="117">
        <f t="shared" si="5"/>
        <v>151659.16442841809</v>
      </c>
      <c r="K22" s="117">
        <f t="shared" si="5"/>
        <v>161516.83929359174</v>
      </c>
      <c r="L22" s="117">
        <f t="shared" si="5"/>
        <v>169181.02112357831</v>
      </c>
      <c r="M22" s="117">
        <f t="shared" si="5"/>
        <v>195331.63332760913</v>
      </c>
      <c r="N22" s="119"/>
    </row>
    <row r="23" spans="2:14">
      <c r="B23" s="116" t="s">
        <v>293</v>
      </c>
      <c r="C23" s="118"/>
      <c r="D23" s="118">
        <f t="shared" ref="D23:M23" si="6">D17</f>
        <v>7167.6666666666661</v>
      </c>
      <c r="E23" s="118">
        <f t="shared" si="6"/>
        <v>7167.6666666666661</v>
      </c>
      <c r="F23" s="118">
        <f t="shared" si="6"/>
        <v>7167.6666666666661</v>
      </c>
      <c r="G23" s="118">
        <f t="shared" si="6"/>
        <v>7167.6666666666661</v>
      </c>
      <c r="H23" s="118">
        <f t="shared" si="6"/>
        <v>7167.6666666666661</v>
      </c>
      <c r="I23" s="118">
        <f t="shared" si="6"/>
        <v>7167.6666666666661</v>
      </c>
      <c r="J23" s="118">
        <f t="shared" si="6"/>
        <v>7167.6666666666661</v>
      </c>
      <c r="K23" s="118">
        <f t="shared" si="6"/>
        <v>7167.6666666666661</v>
      </c>
      <c r="L23" s="118">
        <f t="shared" si="6"/>
        <v>7167.6666666666661</v>
      </c>
      <c r="M23" s="118">
        <f t="shared" si="6"/>
        <v>7167.6666666666661</v>
      </c>
    </row>
    <row r="24" spans="2:14">
      <c r="B24" s="116" t="s">
        <v>292</v>
      </c>
      <c r="C24" s="118"/>
      <c r="D24" s="118">
        <f>D18</f>
        <v>236.5</v>
      </c>
      <c r="E24" s="118">
        <f t="shared" ref="E24:M24" si="7">E18</f>
        <v>236.5</v>
      </c>
      <c r="F24" s="118">
        <f t="shared" si="7"/>
        <v>236.5</v>
      </c>
      <c r="G24" s="118">
        <f t="shared" si="7"/>
        <v>236.5</v>
      </c>
      <c r="H24" s="118">
        <f t="shared" si="7"/>
        <v>236.5</v>
      </c>
      <c r="I24" s="118">
        <f t="shared" si="7"/>
        <v>236.5</v>
      </c>
      <c r="J24" s="118">
        <f t="shared" si="7"/>
        <v>236.5</v>
      </c>
      <c r="K24" s="118">
        <f t="shared" si="7"/>
        <v>236.5</v>
      </c>
      <c r="L24" s="118">
        <f t="shared" si="7"/>
        <v>236.5</v>
      </c>
      <c r="M24" s="118">
        <f t="shared" si="7"/>
        <v>236.5</v>
      </c>
    </row>
    <row r="25" spans="2:14" ht="15.75" thickBot="1">
      <c r="B25" s="116" t="s">
        <v>295</v>
      </c>
      <c r="C25" s="109"/>
      <c r="D25" s="109">
        <f>Financiamiento!D12</f>
        <v>31451.124194810862</v>
      </c>
      <c r="E25" s="109">
        <f>Financiamiento!D13</f>
        <v>34328.902058636057</v>
      </c>
      <c r="F25" s="109">
        <f>Financiamiento!D14</f>
        <v>37469.996597001256</v>
      </c>
      <c r="G25" s="109">
        <f>Financiamiento!D15</f>
        <v>40898.501285626873</v>
      </c>
      <c r="H25" s="109">
        <f>Financiamiento!D16</f>
        <v>44640.714153261732</v>
      </c>
      <c r="I25" s="109">
        <f>Financiamiento!D17</f>
        <v>48725.339498285175</v>
      </c>
      <c r="J25" s="109">
        <f>Financiamiento!D18</f>
        <v>53183.708062378275</v>
      </c>
      <c r="K25" s="109">
        <v>0</v>
      </c>
      <c r="L25" s="109">
        <v>0</v>
      </c>
      <c r="M25" s="109">
        <v>0</v>
      </c>
    </row>
    <row r="26" spans="2:14" ht="19.5" thickTop="1">
      <c r="B26" s="165" t="s">
        <v>294</v>
      </c>
      <c r="C26" s="168">
        <f>C15-C16</f>
        <v>-290698.28584999999</v>
      </c>
      <c r="D26" s="168">
        <f>D22+D23+D24-D25</f>
        <v>77140.964964421713</v>
      </c>
      <c r="E26" s="168">
        <f t="shared" ref="E26:M26" si="8">E22+E23+E24-E25</f>
        <v>81753.687915306829</v>
      </c>
      <c r="F26" s="168">
        <f t="shared" si="8"/>
        <v>86444.447260750196</v>
      </c>
      <c r="G26" s="168">
        <f t="shared" si="8"/>
        <v>91208.49373162564</v>
      </c>
      <c r="H26" s="168">
        <f t="shared" si="8"/>
        <v>96040.232596132759</v>
      </c>
      <c r="I26" s="168">
        <f t="shared" si="8"/>
        <v>100933.13209910053</v>
      </c>
      <c r="J26" s="168">
        <f t="shared" si="8"/>
        <v>105879.62303270647</v>
      </c>
      <c r="K26" s="168">
        <f t="shared" si="8"/>
        <v>168921.00596025839</v>
      </c>
      <c r="L26" s="168">
        <f t="shared" si="8"/>
        <v>176585.18779024496</v>
      </c>
      <c r="M26" s="168">
        <f t="shared" si="8"/>
        <v>202735.79999427579</v>
      </c>
    </row>
    <row r="27" spans="2:14">
      <c r="B27" s="11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</row>
    <row r="28" spans="2:14"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</row>
    <row r="29" spans="2:14" ht="18.75">
      <c r="B29" s="120" t="s">
        <v>206</v>
      </c>
      <c r="C29" s="121">
        <f>NPV(C31,D26:M26)+C26</f>
        <v>265173.83720205363</v>
      </c>
      <c r="D29" s="122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2:14" ht="18.75">
      <c r="B30" s="120" t="s">
        <v>207</v>
      </c>
      <c r="C30" s="123">
        <f>IRR(C26:M26)</f>
        <v>0.30426608202232486</v>
      </c>
    </row>
    <row r="31" spans="2:14" ht="18.75">
      <c r="B31" s="120" t="s">
        <v>300</v>
      </c>
      <c r="C31" s="124">
        <f>Wacc!D14</f>
        <v>0.137455625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3:M28"/>
  <sheetViews>
    <sheetView topLeftCell="D15" workbookViewId="0">
      <selection activeCell="M23" sqref="M23"/>
    </sheetView>
  </sheetViews>
  <sheetFormatPr baseColWidth="10" defaultRowHeight="15"/>
  <cols>
    <col min="1" max="1" width="11.42578125" style="53"/>
    <col min="2" max="2" width="26.5703125" style="100" bestFit="1" customWidth="1"/>
    <col min="3" max="3" width="13.7109375" style="100" bestFit="1" customWidth="1"/>
    <col min="4" max="4" width="14.28515625" style="100" customWidth="1"/>
    <col min="5" max="8" width="12.85546875" style="100" bestFit="1" customWidth="1"/>
    <col min="9" max="9" width="13.42578125" style="100" customWidth="1"/>
    <col min="10" max="13" width="14" style="100" customWidth="1"/>
    <col min="14" max="16384" width="11.42578125" style="53"/>
  </cols>
  <sheetData>
    <row r="3" spans="2:13">
      <c r="B3"/>
      <c r="C3" s="105" t="s">
        <v>22</v>
      </c>
      <c r="D3" s="105" t="s">
        <v>23</v>
      </c>
      <c r="E3" s="105" t="s">
        <v>24</v>
      </c>
      <c r="F3" s="105" t="s">
        <v>25</v>
      </c>
      <c r="G3" s="105" t="s">
        <v>26</v>
      </c>
      <c r="H3" s="105" t="s">
        <v>27</v>
      </c>
      <c r="I3" s="105" t="s">
        <v>28</v>
      </c>
      <c r="J3" s="105" t="s">
        <v>29</v>
      </c>
      <c r="K3" s="105" t="s">
        <v>30</v>
      </c>
      <c r="L3" s="105" t="s">
        <v>31</v>
      </c>
      <c r="M3" s="105" t="s">
        <v>32</v>
      </c>
    </row>
    <row r="4" spans="2:13">
      <c r="B4" s="106" t="s">
        <v>193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2:13">
      <c r="B5" s="108" t="s">
        <v>194</v>
      </c>
      <c r="C5" s="109"/>
      <c r="D5" s="109">
        <f>Demanda!D16</f>
        <v>855154.87199999997</v>
      </c>
      <c r="E5" s="109">
        <f>Demanda!E16</f>
        <v>884709.02437631995</v>
      </c>
      <c r="F5" s="109">
        <f>Demanda!F16</f>
        <v>915284.5682587655</v>
      </c>
      <c r="G5" s="109">
        <f>Demanda!G16</f>
        <v>946916.80293778831</v>
      </c>
      <c r="H5" s="109">
        <f>Demanda!H16</f>
        <v>979642.24764731817</v>
      </c>
      <c r="I5" s="109">
        <f>Demanda!I16</f>
        <v>1013498.6837260093</v>
      </c>
      <c r="J5" s="109">
        <f>Demanda!J16</f>
        <v>1048525.1982355801</v>
      </c>
      <c r="K5" s="109">
        <f>Demanda!K16</f>
        <v>1084762.2290866016</v>
      </c>
      <c r="L5" s="109">
        <f>Demanda!L16</f>
        <v>1122251.6117238346</v>
      </c>
      <c r="M5" s="109">
        <f>Demanda!M16</f>
        <v>1161036.6274250103</v>
      </c>
    </row>
    <row r="6" spans="2:13">
      <c r="B6" s="108" t="s">
        <v>195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/>
    </row>
    <row r="7" spans="2:13">
      <c r="B7" s="110" t="s">
        <v>196</v>
      </c>
      <c r="C7" s="109">
        <f>Financiamiento!C1</f>
        <v>581396.57169999997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2:13">
      <c r="B8" s="110" t="s">
        <v>299</v>
      </c>
      <c r="C8" s="53"/>
      <c r="D8" s="111"/>
      <c r="E8" s="111"/>
      <c r="F8" s="111"/>
      <c r="G8" s="111"/>
      <c r="H8" s="111"/>
      <c r="I8" s="111"/>
      <c r="J8" s="111"/>
      <c r="K8" s="111"/>
      <c r="L8" s="111"/>
      <c r="M8" s="109">
        <f>Depreciación!$I$18</f>
        <v>28582.833333333332</v>
      </c>
    </row>
    <row r="9" spans="2:13">
      <c r="B9" s="112" t="s">
        <v>198</v>
      </c>
      <c r="C9" s="170">
        <f>SUM(C5:C7)</f>
        <v>581396.57169999997</v>
      </c>
      <c r="D9" s="113">
        <f t="shared" ref="D9:M9" si="0">SUM(D5:D8)</f>
        <v>855154.87199999997</v>
      </c>
      <c r="E9" s="113">
        <f t="shared" si="0"/>
        <v>884709.02437631995</v>
      </c>
      <c r="F9" s="113">
        <f t="shared" si="0"/>
        <v>915284.5682587655</v>
      </c>
      <c r="G9" s="113">
        <f t="shared" si="0"/>
        <v>946916.80293778831</v>
      </c>
      <c r="H9" s="113">
        <f t="shared" si="0"/>
        <v>979642.24764731817</v>
      </c>
      <c r="I9" s="113">
        <f t="shared" si="0"/>
        <v>1013498.6837260093</v>
      </c>
      <c r="J9" s="113">
        <f t="shared" si="0"/>
        <v>1048525.1982355801</v>
      </c>
      <c r="K9" s="113">
        <f t="shared" si="0"/>
        <v>1084762.2290866016</v>
      </c>
      <c r="L9" s="113">
        <f t="shared" si="0"/>
        <v>1122251.6117238346</v>
      </c>
      <c r="M9" s="170">
        <f t="shared" si="0"/>
        <v>1189619.4607583436</v>
      </c>
    </row>
    <row r="10" spans="2:13">
      <c r="B10" s="106" t="s">
        <v>199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</row>
    <row r="11" spans="2:13">
      <c r="B11" s="108" t="s">
        <v>200</v>
      </c>
      <c r="C11" s="109"/>
      <c r="D11" s="109">
        <f>'Costos O.'!D20</f>
        <v>580920.36818181816</v>
      </c>
      <c r="E11" s="109">
        <f>'Costos O.'!E20</f>
        <v>600996.97610618174</v>
      </c>
      <c r="F11" s="109">
        <f>'Costos O.'!F20</f>
        <v>621767.43160041142</v>
      </c>
      <c r="G11" s="109">
        <f>'Costos O.'!G20</f>
        <v>643255.71403652162</v>
      </c>
      <c r="H11" s="109">
        <f>'Costos O.'!H20</f>
        <v>665486.63151362364</v>
      </c>
      <c r="I11" s="109">
        <f>'Costos O.'!I20</f>
        <v>688485.84949873434</v>
      </c>
      <c r="J11" s="109">
        <f>'Costos O.'!J20</f>
        <v>712279.92045741051</v>
      </c>
      <c r="K11" s="109">
        <f>'Costos O.'!K20</f>
        <v>736896.31450841855</v>
      </c>
      <c r="L11" s="109">
        <f>'Costos O.'!L20</f>
        <v>762363.45113782946</v>
      </c>
      <c r="M11" s="109">
        <f>'Costos O.'!M20</f>
        <v>788710.73200915277</v>
      </c>
    </row>
    <row r="12" spans="2:13">
      <c r="B12" s="108" t="s">
        <v>201</v>
      </c>
      <c r="C12" s="111"/>
      <c r="D12" s="111">
        <f>'Costos N.O.'!$D$22</f>
        <v>87102</v>
      </c>
      <c r="E12" s="111">
        <f>'Costos N.O.'!$D$22</f>
        <v>87102</v>
      </c>
      <c r="F12" s="111">
        <f>'Costos N.O.'!$D$22</f>
        <v>87102</v>
      </c>
      <c r="G12" s="111">
        <f>'Costos N.O.'!$D$22</f>
        <v>87102</v>
      </c>
      <c r="H12" s="111">
        <f>'Costos N.O.'!$D$22</f>
        <v>87102</v>
      </c>
      <c r="I12" s="111">
        <f>'Costos N.O.'!$D$22</f>
        <v>87102</v>
      </c>
      <c r="J12" s="111">
        <f>'Costos N.O.'!$D$22</f>
        <v>87102</v>
      </c>
      <c r="K12" s="111">
        <f>'Costos N.O.'!$D$22</f>
        <v>87102</v>
      </c>
      <c r="L12" s="111">
        <f>'Costos N.O.'!$D$22</f>
        <v>87102</v>
      </c>
      <c r="M12" s="111">
        <f>'Costos N.O.'!$D$22</f>
        <v>87102</v>
      </c>
    </row>
    <row r="13" spans="2:13">
      <c r="B13" s="114" t="s">
        <v>202</v>
      </c>
      <c r="C13" s="115"/>
      <c r="D13" s="115">
        <f t="shared" ref="D13:M13" si="1">SUM(D11:D12)</f>
        <v>668022.36818181816</v>
      </c>
      <c r="E13" s="115">
        <f t="shared" si="1"/>
        <v>688098.97610618174</v>
      </c>
      <c r="F13" s="115">
        <f t="shared" si="1"/>
        <v>708869.43160041142</v>
      </c>
      <c r="G13" s="115">
        <f t="shared" si="1"/>
        <v>730357.71403652162</v>
      </c>
      <c r="H13" s="115">
        <f t="shared" si="1"/>
        <v>752588.63151362364</v>
      </c>
      <c r="I13" s="115">
        <f t="shared" si="1"/>
        <v>775587.84949873434</v>
      </c>
      <c r="J13" s="115">
        <f t="shared" si="1"/>
        <v>799381.92045741051</v>
      </c>
      <c r="K13" s="115">
        <f t="shared" si="1"/>
        <v>823998.31450841855</v>
      </c>
      <c r="L13" s="115">
        <f t="shared" si="1"/>
        <v>849465.45113782946</v>
      </c>
      <c r="M13" s="115">
        <f t="shared" si="1"/>
        <v>875812.73200915277</v>
      </c>
    </row>
    <row r="14" spans="2:13">
      <c r="B14" s="114" t="s">
        <v>203</v>
      </c>
      <c r="C14" s="113">
        <f>(C9-C13)</f>
        <v>581396.57169999997</v>
      </c>
      <c r="D14" s="113">
        <f t="shared" ref="D14:M14" si="2">(D9-D13)</f>
        <v>187132.50381818181</v>
      </c>
      <c r="E14" s="113">
        <f t="shared" si="2"/>
        <v>196610.04827013821</v>
      </c>
      <c r="F14" s="113">
        <f t="shared" si="2"/>
        <v>206415.13665835408</v>
      </c>
      <c r="G14" s="113">
        <f t="shared" si="2"/>
        <v>216559.08890126669</v>
      </c>
      <c r="H14" s="113">
        <f t="shared" si="2"/>
        <v>227053.61613369454</v>
      </c>
      <c r="I14" s="113">
        <f t="shared" si="2"/>
        <v>237910.83422727499</v>
      </c>
      <c r="J14" s="113">
        <f t="shared" si="2"/>
        <v>249143.27777816961</v>
      </c>
      <c r="K14" s="113">
        <f t="shared" si="2"/>
        <v>260763.91457818309</v>
      </c>
      <c r="L14" s="113">
        <f t="shared" si="2"/>
        <v>272786.16058600519</v>
      </c>
      <c r="M14" s="113">
        <f t="shared" si="2"/>
        <v>313806.72874919081</v>
      </c>
    </row>
    <row r="15" spans="2:13">
      <c r="B15" s="116" t="s">
        <v>44</v>
      </c>
      <c r="C15" s="109">
        <f>Inversiones!$C$28</f>
        <v>581396.57169999997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</row>
    <row r="16" spans="2:13">
      <c r="B16" s="116" t="s">
        <v>204</v>
      </c>
      <c r="C16" s="109"/>
      <c r="D16" s="109">
        <f>Depreciación!$F$18</f>
        <v>7167.6666666666661</v>
      </c>
      <c r="E16" s="109">
        <f>Depreciación!$F$18</f>
        <v>7167.6666666666661</v>
      </c>
      <c r="F16" s="109">
        <f>Depreciación!$F$18</f>
        <v>7167.6666666666661</v>
      </c>
      <c r="G16" s="109">
        <f>Depreciación!$F$18</f>
        <v>7167.6666666666661</v>
      </c>
      <c r="H16" s="109">
        <f>Depreciación!$F$18</f>
        <v>7167.6666666666661</v>
      </c>
      <c r="I16" s="109">
        <f>Depreciación!$F$18</f>
        <v>7167.6666666666661</v>
      </c>
      <c r="J16" s="109">
        <f>Depreciación!$F$18</f>
        <v>7167.6666666666661</v>
      </c>
      <c r="K16" s="109">
        <f>Depreciación!$F$18</f>
        <v>7167.6666666666661</v>
      </c>
      <c r="L16" s="109">
        <f>Depreciación!$F$18</f>
        <v>7167.6666666666661</v>
      </c>
      <c r="M16" s="109">
        <f>Depreciación!$F$18</f>
        <v>7167.6666666666661</v>
      </c>
    </row>
    <row r="17" spans="2:13">
      <c r="B17" s="116" t="s">
        <v>291</v>
      </c>
      <c r="C17" s="109"/>
      <c r="D17" s="109">
        <f>Depreciación!E25</f>
        <v>236.5</v>
      </c>
      <c r="E17" s="109">
        <f>Depreciación!F25</f>
        <v>236.5</v>
      </c>
      <c r="F17" s="109">
        <f>Depreciación!G25</f>
        <v>236.5</v>
      </c>
      <c r="G17" s="109">
        <f>Depreciación!H25</f>
        <v>236.5</v>
      </c>
      <c r="H17" s="109">
        <f>Depreciación!I25</f>
        <v>236.5</v>
      </c>
      <c r="I17" s="109">
        <f>Depreciación!J25</f>
        <v>236.5</v>
      </c>
      <c r="J17" s="109">
        <f>Depreciación!K25</f>
        <v>236.5</v>
      </c>
      <c r="K17" s="109">
        <f>Depreciación!L25</f>
        <v>236.5</v>
      </c>
      <c r="L17" s="109">
        <f>Depreciación!M25</f>
        <v>236.5</v>
      </c>
      <c r="M17" s="109">
        <f>Depreciación!N25</f>
        <v>236.5</v>
      </c>
    </row>
    <row r="18" spans="2:13">
      <c r="B18" s="116" t="s">
        <v>297</v>
      </c>
      <c r="C18" s="109"/>
      <c r="D18" s="109">
        <f>(D14-D16-D17)*15%</f>
        <v>26959.250572727273</v>
      </c>
      <c r="E18" s="109">
        <f t="shared" ref="E18:M18" si="3">(E14-E16-E17)*15%</f>
        <v>28380.882240520732</v>
      </c>
      <c r="F18" s="109">
        <f t="shared" si="3"/>
        <v>29851.645498753111</v>
      </c>
      <c r="G18" s="109">
        <f t="shared" si="3"/>
        <v>31373.238335190003</v>
      </c>
      <c r="H18" s="109">
        <f t="shared" si="3"/>
        <v>32947.417420054182</v>
      </c>
      <c r="I18" s="109">
        <f t="shared" si="3"/>
        <v>34576.000134091249</v>
      </c>
      <c r="J18" s="109">
        <f t="shared" si="3"/>
        <v>36260.866666725444</v>
      </c>
      <c r="K18" s="109">
        <f t="shared" si="3"/>
        <v>38003.962186727462</v>
      </c>
      <c r="L18" s="109">
        <f t="shared" si="3"/>
        <v>39807.299087900778</v>
      </c>
      <c r="M18" s="109">
        <f t="shared" si="3"/>
        <v>45960.384312378614</v>
      </c>
    </row>
    <row r="19" spans="2:13">
      <c r="B19" s="116" t="s">
        <v>296</v>
      </c>
      <c r="C19" s="111"/>
      <c r="D19" s="111">
        <f>(D14-D16-D17-D18)*25%</f>
        <v>38192.271644696972</v>
      </c>
      <c r="E19" s="111">
        <f t="shared" ref="E19:M19" si="4">(E14-E16-E17-E18)*25%</f>
        <v>40206.249840737706</v>
      </c>
      <c r="F19" s="111">
        <f t="shared" si="4"/>
        <v>42289.831123233576</v>
      </c>
      <c r="G19" s="111">
        <f t="shared" si="4"/>
        <v>44445.42097485251</v>
      </c>
      <c r="H19" s="111">
        <f t="shared" si="4"/>
        <v>46675.508011743426</v>
      </c>
      <c r="I19" s="111">
        <f t="shared" si="4"/>
        <v>48982.666856629272</v>
      </c>
      <c r="J19" s="111">
        <f t="shared" si="4"/>
        <v>51369.561111194373</v>
      </c>
      <c r="K19" s="111">
        <f t="shared" si="4"/>
        <v>53838.946431197241</v>
      </c>
      <c r="L19" s="111">
        <f t="shared" si="4"/>
        <v>56393.673707859431</v>
      </c>
      <c r="M19" s="111">
        <f t="shared" si="4"/>
        <v>65110.544442536375</v>
      </c>
    </row>
    <row r="20" spans="2:13">
      <c r="B20" s="114" t="s">
        <v>205</v>
      </c>
      <c r="C20" s="117">
        <v>0</v>
      </c>
      <c r="D20" s="117">
        <f>D14-D16-D17-D18-D19</f>
        <v>114576.81493409091</v>
      </c>
      <c r="E20" s="117">
        <f t="shared" ref="E20:M20" si="5">E14-E16-E17-E18-E19</f>
        <v>120618.74952221313</v>
      </c>
      <c r="F20" s="117">
        <f t="shared" si="5"/>
        <v>126869.49336970074</v>
      </c>
      <c r="G20" s="117">
        <f t="shared" si="5"/>
        <v>133336.26292455752</v>
      </c>
      <c r="H20" s="117">
        <f t="shared" si="5"/>
        <v>140026.52403523028</v>
      </c>
      <c r="I20" s="117">
        <f t="shared" si="5"/>
        <v>146948.00056988781</v>
      </c>
      <c r="J20" s="117">
        <f t="shared" si="5"/>
        <v>154108.68333358312</v>
      </c>
      <c r="K20" s="117">
        <f t="shared" si="5"/>
        <v>161516.83929359174</v>
      </c>
      <c r="L20" s="117">
        <f t="shared" si="5"/>
        <v>169181.02112357831</v>
      </c>
      <c r="M20" s="117">
        <f t="shared" si="5"/>
        <v>195331.63332760913</v>
      </c>
    </row>
    <row r="21" spans="2:13">
      <c r="B21" s="116" t="s">
        <v>293</v>
      </c>
      <c r="C21" s="118"/>
      <c r="D21" s="118">
        <f t="shared" ref="D21:M22" si="6">D16</f>
        <v>7167.6666666666661</v>
      </c>
      <c r="E21" s="118">
        <f t="shared" si="6"/>
        <v>7167.6666666666661</v>
      </c>
      <c r="F21" s="118">
        <f t="shared" si="6"/>
        <v>7167.6666666666661</v>
      </c>
      <c r="G21" s="118">
        <f t="shared" si="6"/>
        <v>7167.6666666666661</v>
      </c>
      <c r="H21" s="118">
        <f t="shared" si="6"/>
        <v>7167.6666666666661</v>
      </c>
      <c r="I21" s="118">
        <f t="shared" si="6"/>
        <v>7167.6666666666661</v>
      </c>
      <c r="J21" s="118">
        <f t="shared" si="6"/>
        <v>7167.6666666666661</v>
      </c>
      <c r="K21" s="118">
        <f t="shared" si="6"/>
        <v>7167.6666666666661</v>
      </c>
      <c r="L21" s="118">
        <f t="shared" si="6"/>
        <v>7167.6666666666661</v>
      </c>
      <c r="M21" s="118">
        <f t="shared" si="6"/>
        <v>7167.6666666666661</v>
      </c>
    </row>
    <row r="22" spans="2:13" ht="15.75" thickBot="1">
      <c r="B22" s="116" t="s">
        <v>292</v>
      </c>
      <c r="C22" s="118"/>
      <c r="D22" s="118">
        <f>D17</f>
        <v>236.5</v>
      </c>
      <c r="E22" s="118">
        <f t="shared" si="6"/>
        <v>236.5</v>
      </c>
      <c r="F22" s="118">
        <f t="shared" si="6"/>
        <v>236.5</v>
      </c>
      <c r="G22" s="118">
        <f t="shared" si="6"/>
        <v>236.5</v>
      </c>
      <c r="H22" s="118">
        <f t="shared" si="6"/>
        <v>236.5</v>
      </c>
      <c r="I22" s="118">
        <f t="shared" si="6"/>
        <v>236.5</v>
      </c>
      <c r="J22" s="118">
        <f t="shared" si="6"/>
        <v>236.5</v>
      </c>
      <c r="K22" s="118">
        <f t="shared" si="6"/>
        <v>236.5</v>
      </c>
      <c r="L22" s="118">
        <f t="shared" si="6"/>
        <v>236.5</v>
      </c>
      <c r="M22" s="118">
        <f t="shared" si="6"/>
        <v>236.5</v>
      </c>
    </row>
    <row r="23" spans="2:13" ht="19.5" thickTop="1">
      <c r="B23" s="165" t="s">
        <v>294</v>
      </c>
      <c r="C23" s="168">
        <f>-C15</f>
        <v>-581396.57169999997</v>
      </c>
      <c r="D23" s="168">
        <f>D20+D21+D22</f>
        <v>121980.98160075759</v>
      </c>
      <c r="E23" s="168">
        <f t="shared" ref="E23:M23" si="7">E20+E21+E22</f>
        <v>128022.9161888798</v>
      </c>
      <c r="F23" s="168">
        <f t="shared" si="7"/>
        <v>134273.66003636739</v>
      </c>
      <c r="G23" s="168">
        <f t="shared" si="7"/>
        <v>140740.42959122418</v>
      </c>
      <c r="H23" s="168">
        <f t="shared" si="7"/>
        <v>147430.69070189694</v>
      </c>
      <c r="I23" s="168">
        <f t="shared" si="7"/>
        <v>154352.16723655447</v>
      </c>
      <c r="J23" s="168">
        <f t="shared" si="7"/>
        <v>161512.85000024977</v>
      </c>
      <c r="K23" s="168">
        <f t="shared" si="7"/>
        <v>168921.00596025839</v>
      </c>
      <c r="L23" s="168">
        <f t="shared" si="7"/>
        <v>176585.18779024496</v>
      </c>
      <c r="M23" s="168">
        <f t="shared" si="7"/>
        <v>202735.79999427579</v>
      </c>
    </row>
    <row r="24" spans="2:13">
      <c r="B24" s="11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</row>
    <row r="25" spans="2:13">
      <c r="B25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</row>
    <row r="26" spans="2:13" ht="18.75">
      <c r="B26" s="120" t="s">
        <v>206</v>
      </c>
      <c r="C26" s="121">
        <f>NPV(C28:C28,D23:M23)+C23</f>
        <v>3349.4544062463101</v>
      </c>
      <c r="D26" s="122"/>
      <c r="E26" s="119"/>
      <c r="F26" s="119"/>
      <c r="G26" s="119"/>
      <c r="H26" s="119"/>
      <c r="I26" s="119"/>
      <c r="J26" s="119"/>
      <c r="K26" s="119"/>
      <c r="L26" s="119"/>
      <c r="M26" s="119"/>
    </row>
    <row r="27" spans="2:13" ht="18.75">
      <c r="B27" s="120" t="s">
        <v>207</v>
      </c>
      <c r="C27" s="123">
        <f>IRR(C23:M23)</f>
        <v>0.2078645714678278</v>
      </c>
      <c r="D27" s="21"/>
      <c r="E27"/>
      <c r="F27"/>
      <c r="G27"/>
      <c r="H27"/>
      <c r="I27"/>
      <c r="J27"/>
      <c r="K27"/>
      <c r="L27"/>
      <c r="M27"/>
    </row>
    <row r="28" spans="2:13" ht="18.75">
      <c r="B28" s="120" t="s">
        <v>263</v>
      </c>
      <c r="C28" s="124">
        <f>Capm!C11</f>
        <v>0.20628625</v>
      </c>
      <c r="D28"/>
      <c r="E28"/>
      <c r="F28"/>
      <c r="G28"/>
      <c r="H28"/>
      <c r="I28"/>
      <c r="J28"/>
      <c r="K28"/>
      <c r="L28"/>
      <c r="M2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5:E11"/>
  <sheetViews>
    <sheetView workbookViewId="0">
      <selection activeCell="C6" sqref="C6"/>
    </sheetView>
  </sheetViews>
  <sheetFormatPr baseColWidth="10" defaultRowHeight="15"/>
  <sheetData>
    <row r="5" spans="2:5">
      <c r="B5" t="s">
        <v>208</v>
      </c>
    </row>
    <row r="6" spans="2:5">
      <c r="B6" t="s">
        <v>209</v>
      </c>
      <c r="C6" s="127">
        <v>0.1075</v>
      </c>
      <c r="D6" t="s">
        <v>215</v>
      </c>
    </row>
    <row r="7" spans="2:5">
      <c r="B7" t="s">
        <v>210</v>
      </c>
      <c r="C7" s="127">
        <v>0.12</v>
      </c>
      <c r="D7" t="s">
        <v>216</v>
      </c>
      <c r="E7" s="1"/>
    </row>
    <row r="8" spans="2:5">
      <c r="B8" s="128" t="s">
        <v>211</v>
      </c>
      <c r="C8" s="127">
        <v>6.8999999999999999E-3</v>
      </c>
      <c r="D8" t="s">
        <v>214</v>
      </c>
    </row>
    <row r="9" spans="2:5">
      <c r="B9" s="128" t="s">
        <v>212</v>
      </c>
      <c r="C9" s="127">
        <v>9.8699999999999996E-2</v>
      </c>
    </row>
    <row r="10" spans="2:5">
      <c r="E10" s="1"/>
    </row>
    <row r="11" spans="2:5">
      <c r="B11" t="s">
        <v>213</v>
      </c>
      <c r="C11" s="127">
        <f>(((C6+(C8*((C7-C6))))+C9))</f>
        <v>0.20628625</v>
      </c>
      <c r="E11" s="1"/>
    </row>
  </sheetData>
  <pageMargins left="0.7" right="0.7" top="0.75" bottom="0.75" header="0.3" footer="0.3"/>
  <legacyDrawing r:id="rId1"/>
  <oleObjects>
    <oleObject progId="Equation.3" shapeId="1025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C6:G14"/>
  <sheetViews>
    <sheetView workbookViewId="0">
      <selection activeCell="D14" sqref="D14"/>
    </sheetView>
  </sheetViews>
  <sheetFormatPr baseColWidth="10" defaultRowHeight="15"/>
  <cols>
    <col min="4" max="4" width="13.140625" bestFit="1" customWidth="1"/>
  </cols>
  <sheetData>
    <row r="6" spans="3:7">
      <c r="G6" t="s">
        <v>224</v>
      </c>
    </row>
    <row r="7" spans="3:7">
      <c r="C7" t="s">
        <v>217</v>
      </c>
      <c r="D7" s="1">
        <f>Financiamiento!$E$8</f>
        <v>9.1499999999999998E-2</v>
      </c>
    </row>
    <row r="8" spans="3:7">
      <c r="C8" t="s">
        <v>213</v>
      </c>
      <c r="D8" s="1">
        <f>Capm!$C$11</f>
        <v>0.20628625</v>
      </c>
    </row>
    <row r="9" spans="3:7">
      <c r="C9" t="s">
        <v>218</v>
      </c>
      <c r="D9" s="21">
        <v>0.25</v>
      </c>
    </row>
    <row r="10" spans="3:7">
      <c r="C10" t="s">
        <v>219</v>
      </c>
      <c r="D10" s="129">
        <f>Financiamiento!$G$9</f>
        <v>290698.28584999999</v>
      </c>
      <c r="E10" t="s">
        <v>223</v>
      </c>
    </row>
    <row r="11" spans="3:7">
      <c r="C11" t="s">
        <v>220</v>
      </c>
      <c r="D11" s="130">
        <f>Financiamiento!$D$2</f>
        <v>290698.28584999999</v>
      </c>
      <c r="E11" t="s">
        <v>225</v>
      </c>
    </row>
    <row r="12" spans="3:7">
      <c r="C12" t="s">
        <v>221</v>
      </c>
      <c r="D12">
        <f>Inversiones!$C$28</f>
        <v>581396.57169999997</v>
      </c>
      <c r="E12" t="s">
        <v>226</v>
      </c>
    </row>
    <row r="14" spans="3:7">
      <c r="C14" t="s">
        <v>222</v>
      </c>
      <c r="D14" s="1">
        <f>(D7*(1-D9)*(D10/D12))+(D8*(D11/D12))</f>
        <v>0.137455625</v>
      </c>
    </row>
  </sheetData>
  <pageMargins left="0.7" right="0.7" top="0.75" bottom="0.75" header="0.3" footer="0.3"/>
  <legacyDrawing r:id="rId1"/>
  <oleObjects>
    <oleObject progId="Equation.3" shapeId="4097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B3:F17"/>
  <sheetViews>
    <sheetView tabSelected="1" topLeftCell="A4" workbookViewId="0">
      <selection activeCell="H14" sqref="H14"/>
    </sheetView>
  </sheetViews>
  <sheetFormatPr baseColWidth="10" defaultRowHeight="15"/>
  <cols>
    <col min="5" max="5" width="12.85546875" customWidth="1"/>
    <col min="6" max="6" width="13.42578125" customWidth="1"/>
  </cols>
  <sheetData>
    <row r="3" spans="2:6">
      <c r="B3" s="218" t="s">
        <v>301</v>
      </c>
      <c r="C3" s="219"/>
      <c r="D3" s="219"/>
      <c r="E3" s="219"/>
      <c r="F3" s="219"/>
    </row>
    <row r="4" spans="2:6">
      <c r="B4" s="219"/>
      <c r="C4" s="219"/>
      <c r="D4" s="219"/>
      <c r="E4" s="219"/>
      <c r="F4" s="219"/>
    </row>
    <row r="6" spans="2:6">
      <c r="B6" s="220" t="s">
        <v>302</v>
      </c>
      <c r="C6" s="220" t="s">
        <v>303</v>
      </c>
      <c r="D6" s="220" t="s">
        <v>304</v>
      </c>
      <c r="E6" s="220" t="s">
        <v>305</v>
      </c>
      <c r="F6" s="220" t="s">
        <v>306</v>
      </c>
    </row>
    <row r="7" spans="2:6">
      <c r="B7" s="220"/>
      <c r="C7" s="220"/>
      <c r="D7" s="220"/>
      <c r="E7" s="220"/>
      <c r="F7" s="220"/>
    </row>
    <row r="8" spans="2:6">
      <c r="B8" s="173">
        <v>1</v>
      </c>
      <c r="C8" s="174">
        <f>Financiamiento!G9</f>
        <v>290698.28584999999</v>
      </c>
      <c r="D8" s="174">
        <f>'Flujo proy'!$D$23</f>
        <v>121980.98160075759</v>
      </c>
      <c r="E8" s="174">
        <f>C8*Financiamiento!$E$8</f>
        <v>26598.893155274996</v>
      </c>
      <c r="F8" s="174">
        <f t="shared" ref="F8:F17" si="0">+D8-E8</f>
        <v>95382.088445482586</v>
      </c>
    </row>
    <row r="9" spans="2:6">
      <c r="B9" s="171">
        <v>2</v>
      </c>
      <c r="C9" s="172">
        <f t="shared" ref="C9:C17" si="1">+C8-F8</f>
        <v>195316.19740451738</v>
      </c>
      <c r="D9" s="172">
        <f>'Flujo proy'!$E$23</f>
        <v>128022.9161888798</v>
      </c>
      <c r="E9" s="174">
        <f>C9*Financiamiento!$E$8</f>
        <v>17871.43206251334</v>
      </c>
      <c r="F9" s="172">
        <f t="shared" si="0"/>
        <v>110151.48412636646</v>
      </c>
    </row>
    <row r="10" spans="2:6">
      <c r="B10" s="173">
        <v>3</v>
      </c>
      <c r="C10" s="175">
        <f t="shared" si="1"/>
        <v>85164.713278150928</v>
      </c>
      <c r="D10" s="175">
        <f>'Flujo proy'!$F$23</f>
        <v>134273.66003636739</v>
      </c>
      <c r="E10" s="175">
        <f>C10*Financiamiento!$E$8</f>
        <v>7792.5712649508096</v>
      </c>
      <c r="F10" s="175">
        <f t="shared" si="0"/>
        <v>126481.08877141659</v>
      </c>
    </row>
    <row r="11" spans="2:6">
      <c r="B11" s="173">
        <v>4</v>
      </c>
      <c r="C11" s="174">
        <f t="shared" si="1"/>
        <v>-41316.375493265659</v>
      </c>
      <c r="D11" s="174">
        <f>'Flujo proy'!$G$23</f>
        <v>140740.42959122418</v>
      </c>
      <c r="E11" s="174">
        <f>C11*Financiamiento!$E$8</f>
        <v>-3780.4483576338075</v>
      </c>
      <c r="F11" s="174">
        <f t="shared" si="0"/>
        <v>144520.87794885799</v>
      </c>
    </row>
    <row r="12" spans="2:6">
      <c r="B12" s="173">
        <v>5</v>
      </c>
      <c r="C12" s="174">
        <f t="shared" si="1"/>
        <v>-185837.25344212365</v>
      </c>
      <c r="D12" s="174">
        <f>'Flujo proy'!$H$23</f>
        <v>147430.69070189694</v>
      </c>
      <c r="E12" s="174">
        <f>C12*Financiamiento!$E$8</f>
        <v>-17004.108689954315</v>
      </c>
      <c r="F12" s="174">
        <f t="shared" si="0"/>
        <v>164434.79939185124</v>
      </c>
    </row>
    <row r="13" spans="2:6">
      <c r="B13" s="171">
        <v>6</v>
      </c>
      <c r="C13" s="174">
        <f t="shared" si="1"/>
        <v>-350272.05283397489</v>
      </c>
      <c r="D13" s="174">
        <f>'Flujo proy'!$I$23</f>
        <v>154352.16723655447</v>
      </c>
      <c r="E13" s="174">
        <f>C13*Financiamiento!$E$8</f>
        <v>-32049.892834308703</v>
      </c>
      <c r="F13" s="174">
        <f t="shared" si="0"/>
        <v>186402.06007086317</v>
      </c>
    </row>
    <row r="14" spans="2:6">
      <c r="B14" s="173">
        <v>7</v>
      </c>
      <c r="C14" s="174">
        <f t="shared" si="1"/>
        <v>-536674.11290483805</v>
      </c>
      <c r="D14" s="174">
        <f>'Flujo proy'!$J$23</f>
        <v>161512.85000024977</v>
      </c>
      <c r="E14" s="174">
        <f>C14*Financiamiento!$E$8</f>
        <v>-49105.681330792679</v>
      </c>
      <c r="F14" s="174">
        <f t="shared" si="0"/>
        <v>210618.53133104247</v>
      </c>
    </row>
    <row r="15" spans="2:6">
      <c r="B15" s="173">
        <v>8</v>
      </c>
      <c r="C15" s="174">
        <f t="shared" si="1"/>
        <v>-747292.64423588058</v>
      </c>
      <c r="D15" s="174">
        <f>'Flujo proy'!$K$23</f>
        <v>168921.00596025839</v>
      </c>
      <c r="E15" s="174">
        <f>C15*Financiamiento!$E$8</f>
        <v>-68377.276947583072</v>
      </c>
      <c r="F15" s="174">
        <f t="shared" si="0"/>
        <v>237298.28290784147</v>
      </c>
    </row>
    <row r="16" spans="2:6">
      <c r="B16" s="173">
        <v>9</v>
      </c>
      <c r="C16" s="174">
        <f t="shared" si="1"/>
        <v>-984590.92714372207</v>
      </c>
      <c r="D16" s="174">
        <f>'Flujo proy'!$L$23</f>
        <v>176585.18779024496</v>
      </c>
      <c r="E16" s="174">
        <f>C16*Financiamiento!$E$8</f>
        <v>-90090.069833650574</v>
      </c>
      <c r="F16" s="174">
        <f t="shared" si="0"/>
        <v>266675.25762389554</v>
      </c>
    </row>
    <row r="17" spans="2:6">
      <c r="B17" s="171">
        <v>10</v>
      </c>
      <c r="C17" s="174">
        <f t="shared" si="1"/>
        <v>-1251266.1847676176</v>
      </c>
      <c r="D17" s="174">
        <f>'Flujo proy'!$M$23</f>
        <v>202735.79999427579</v>
      </c>
      <c r="E17" s="174">
        <f>C17*Financiamiento!$E$8</f>
        <v>-114490.855906237</v>
      </c>
      <c r="F17" s="174">
        <f t="shared" si="0"/>
        <v>317226.65590051282</v>
      </c>
    </row>
  </sheetData>
  <mergeCells count="6">
    <mergeCell ref="B3:F4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2"/>
  <sheetViews>
    <sheetView zoomScale="70" zoomScaleNormal="70" workbookViewId="0">
      <selection activeCell="J5" sqref="J5"/>
    </sheetView>
  </sheetViews>
  <sheetFormatPr baseColWidth="10" defaultRowHeight="15"/>
  <cols>
    <col min="2" max="2" width="18" customWidth="1"/>
    <col min="3" max="3" width="12.85546875" customWidth="1"/>
    <col min="4" max="4" width="15.5703125" customWidth="1"/>
    <col min="5" max="5" width="14.85546875" customWidth="1"/>
    <col min="6" max="6" width="16.42578125" customWidth="1"/>
    <col min="7" max="7" width="14.5703125" customWidth="1"/>
    <col min="8" max="12" width="13.85546875" customWidth="1"/>
    <col min="13" max="13" width="13.85546875" bestFit="1" customWidth="1"/>
    <col min="14" max="14" width="15" customWidth="1"/>
  </cols>
  <sheetData>
    <row r="2" spans="3:14" ht="15.75" thickBot="1"/>
    <row r="3" spans="3:14" ht="44.25" customHeight="1">
      <c r="C3" s="41" t="s">
        <v>43</v>
      </c>
      <c r="D3" s="42" t="s">
        <v>51</v>
      </c>
      <c r="E3" s="42" t="s">
        <v>44</v>
      </c>
      <c r="F3" s="42" t="s">
        <v>50</v>
      </c>
      <c r="G3" s="43" t="s">
        <v>52</v>
      </c>
    </row>
    <row r="4" spans="3:14" ht="16.5" thickBot="1">
      <c r="C4" s="44" t="s">
        <v>45</v>
      </c>
      <c r="D4" s="40">
        <v>6000</v>
      </c>
      <c r="E4" s="46">
        <v>-15000</v>
      </c>
      <c r="F4" s="46">
        <v>-1000</v>
      </c>
      <c r="G4" s="47">
        <f>-50%*E4</f>
        <v>7500</v>
      </c>
    </row>
    <row r="5" spans="3:14" ht="16.5" thickBot="1">
      <c r="C5" s="61" t="s">
        <v>46</v>
      </c>
      <c r="D5" s="62">
        <v>8000</v>
      </c>
      <c r="E5" s="63">
        <v>-21000</v>
      </c>
      <c r="F5" s="63">
        <v>-1500</v>
      </c>
      <c r="G5" s="64">
        <f>-50%*E5</f>
        <v>10500</v>
      </c>
      <c r="I5" s="55" t="s">
        <v>91</v>
      </c>
      <c r="J5" s="56">
        <v>9.1499999999999998E-2</v>
      </c>
    </row>
    <row r="6" spans="3:14" ht="15.75">
      <c r="C6" s="182" t="s">
        <v>60</v>
      </c>
      <c r="D6" s="40">
        <v>7000</v>
      </c>
      <c r="E6" s="46">
        <v>-17000</v>
      </c>
      <c r="F6" s="46">
        <v>-1000</v>
      </c>
      <c r="G6" s="47">
        <f>-50%*E6</f>
        <v>8500</v>
      </c>
    </row>
    <row r="7" spans="3:14" ht="16.5" thickBot="1">
      <c r="C7" s="183"/>
      <c r="D7" s="45">
        <v>2000</v>
      </c>
      <c r="E7" s="48">
        <v>-6000</v>
      </c>
      <c r="F7" s="48">
        <v>-500</v>
      </c>
      <c r="G7" s="47">
        <f>-50%*E7</f>
        <v>3000</v>
      </c>
    </row>
    <row r="9" spans="3:14">
      <c r="C9" t="s">
        <v>92</v>
      </c>
    </row>
    <row r="10" spans="3:14">
      <c r="C10" s="11"/>
      <c r="D10" s="51" t="s">
        <v>22</v>
      </c>
      <c r="E10" s="51" t="s">
        <v>88</v>
      </c>
      <c r="F10" s="51" t="s">
        <v>24</v>
      </c>
      <c r="G10" s="51" t="s">
        <v>25</v>
      </c>
      <c r="H10" s="51" t="s">
        <v>26</v>
      </c>
      <c r="I10" s="51" t="s">
        <v>27</v>
      </c>
      <c r="J10" s="51" t="s">
        <v>28</v>
      </c>
      <c r="K10" s="51" t="s">
        <v>29</v>
      </c>
      <c r="L10" s="51" t="s">
        <v>30</v>
      </c>
      <c r="M10" s="51" t="s">
        <v>31</v>
      </c>
      <c r="N10" s="51" t="s">
        <v>32</v>
      </c>
    </row>
    <row r="11" spans="3:14" ht="15.75">
      <c r="C11" s="11" t="s">
        <v>86</v>
      </c>
      <c r="D11" s="52">
        <f>E4</f>
        <v>-15000</v>
      </c>
      <c r="E11" s="51"/>
      <c r="G11" s="57">
        <f>E5</f>
        <v>-21000</v>
      </c>
      <c r="H11" s="51"/>
      <c r="I11" s="51"/>
      <c r="J11" s="51"/>
      <c r="K11" s="51"/>
      <c r="L11" s="51"/>
      <c r="M11" s="51"/>
      <c r="N11" s="51"/>
    </row>
    <row r="12" spans="3:14">
      <c r="C12" s="11" t="s">
        <v>85</v>
      </c>
      <c r="D12" s="57"/>
      <c r="E12" s="57">
        <f>$F$4</f>
        <v>-1000</v>
      </c>
      <c r="F12" s="57">
        <f>$F$4</f>
        <v>-1000</v>
      </c>
      <c r="G12" s="57">
        <f>$F$5</f>
        <v>-1500</v>
      </c>
      <c r="H12" s="57">
        <f t="shared" ref="H12:N12" si="0">$F$5</f>
        <v>-1500</v>
      </c>
      <c r="I12" s="57">
        <f t="shared" si="0"/>
        <v>-1500</v>
      </c>
      <c r="J12" s="57">
        <f t="shared" si="0"/>
        <v>-1500</v>
      </c>
      <c r="K12" s="57">
        <f t="shared" si="0"/>
        <v>-1500</v>
      </c>
      <c r="L12" s="57">
        <f t="shared" si="0"/>
        <v>-1500</v>
      </c>
      <c r="M12" s="57">
        <f t="shared" si="0"/>
        <v>-1500</v>
      </c>
      <c r="N12" s="57">
        <f t="shared" si="0"/>
        <v>-1500</v>
      </c>
    </row>
    <row r="13" spans="3:14">
      <c r="C13" s="11" t="s">
        <v>87</v>
      </c>
      <c r="D13" s="57"/>
      <c r="E13" s="51"/>
      <c r="G13" s="57">
        <f>G4</f>
        <v>7500</v>
      </c>
      <c r="H13" s="51"/>
      <c r="I13" s="51"/>
      <c r="J13" s="51"/>
      <c r="K13" s="51"/>
      <c r="L13" s="51"/>
      <c r="M13" s="51"/>
      <c r="N13" s="57">
        <f>G5</f>
        <v>10500</v>
      </c>
    </row>
    <row r="14" spans="3:14">
      <c r="C14" s="11" t="s">
        <v>89</v>
      </c>
      <c r="D14" s="57">
        <f>SUM(D11:D13)</f>
        <v>-15000</v>
      </c>
      <c r="E14" s="57">
        <f t="shared" ref="E14:N14" si="1">SUM(E11:E13)</f>
        <v>-1000</v>
      </c>
      <c r="F14" s="57">
        <f t="shared" si="1"/>
        <v>-1000</v>
      </c>
      <c r="G14" s="57">
        <f>SUM(G11:G13)</f>
        <v>-15000</v>
      </c>
      <c r="H14" s="57">
        <f t="shared" si="1"/>
        <v>-1500</v>
      </c>
      <c r="I14" s="57">
        <f t="shared" si="1"/>
        <v>-1500</v>
      </c>
      <c r="J14" s="57">
        <f t="shared" si="1"/>
        <v>-1500</v>
      </c>
      <c r="K14" s="57">
        <f t="shared" si="1"/>
        <v>-1500</v>
      </c>
      <c r="L14" s="57">
        <f t="shared" si="1"/>
        <v>-1500</v>
      </c>
      <c r="M14" s="57">
        <f t="shared" si="1"/>
        <v>-1500</v>
      </c>
      <c r="N14" s="57">
        <f t="shared" si="1"/>
        <v>9000</v>
      </c>
    </row>
    <row r="15" spans="3:14">
      <c r="C15" s="19" t="s">
        <v>90</v>
      </c>
      <c r="D15" s="58">
        <f>NPV(J5,E14:N14)+D14</f>
        <v>-29692.305469930136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3:14">
      <c r="C16" s="53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3:14">
      <c r="C17" s="39" t="s">
        <v>93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3:14">
      <c r="C18" s="11"/>
      <c r="D18" s="51" t="s">
        <v>22</v>
      </c>
      <c r="E18" s="51" t="s">
        <v>88</v>
      </c>
      <c r="F18" s="51" t="s">
        <v>24</v>
      </c>
      <c r="G18" s="51" t="s">
        <v>25</v>
      </c>
      <c r="H18" s="51" t="s">
        <v>26</v>
      </c>
      <c r="I18" s="51" t="s">
        <v>27</v>
      </c>
      <c r="J18" s="51" t="s">
        <v>28</v>
      </c>
      <c r="K18" s="51" t="s">
        <v>29</v>
      </c>
      <c r="L18" s="51" t="s">
        <v>30</v>
      </c>
      <c r="M18" s="51" t="s">
        <v>31</v>
      </c>
      <c r="N18" s="51" t="s">
        <v>32</v>
      </c>
    </row>
    <row r="19" spans="3:14" ht="15.75">
      <c r="C19" s="11" t="s">
        <v>86</v>
      </c>
      <c r="D19" s="52">
        <f>E5</f>
        <v>-21000</v>
      </c>
      <c r="E19" s="51"/>
      <c r="F19" s="57"/>
      <c r="G19" s="51"/>
      <c r="H19" s="51"/>
      <c r="I19" s="51"/>
      <c r="J19" s="51"/>
      <c r="K19" s="51"/>
      <c r="L19" s="51"/>
      <c r="M19" s="51"/>
      <c r="N19" s="51"/>
    </row>
    <row r="20" spans="3:14">
      <c r="C20" s="11" t="s">
        <v>85</v>
      </c>
      <c r="D20" s="57"/>
      <c r="E20" s="57">
        <f>$F$5</f>
        <v>-1500</v>
      </c>
      <c r="F20" s="57">
        <f t="shared" ref="F20:N20" si="2">$F$5</f>
        <v>-1500</v>
      </c>
      <c r="G20" s="57">
        <f t="shared" si="2"/>
        <v>-1500</v>
      </c>
      <c r="H20" s="57">
        <f t="shared" si="2"/>
        <v>-1500</v>
      </c>
      <c r="I20" s="57">
        <f t="shared" si="2"/>
        <v>-1500</v>
      </c>
      <c r="J20" s="57">
        <f t="shared" si="2"/>
        <v>-1500</v>
      </c>
      <c r="K20" s="57">
        <f t="shared" si="2"/>
        <v>-1500</v>
      </c>
      <c r="L20" s="57">
        <f t="shared" si="2"/>
        <v>-1500</v>
      </c>
      <c r="M20" s="57">
        <f t="shared" si="2"/>
        <v>-1500</v>
      </c>
      <c r="N20" s="57">
        <f t="shared" si="2"/>
        <v>-1500</v>
      </c>
    </row>
    <row r="21" spans="3:14">
      <c r="C21" s="11" t="s">
        <v>87</v>
      </c>
      <c r="D21" s="57"/>
      <c r="E21" s="51"/>
      <c r="F21" s="57"/>
      <c r="G21" s="51"/>
      <c r="H21" s="51"/>
      <c r="I21" s="51"/>
      <c r="J21" s="51"/>
      <c r="K21" s="51"/>
      <c r="L21" s="51"/>
      <c r="M21" s="51"/>
      <c r="N21" s="57">
        <f>G5</f>
        <v>10500</v>
      </c>
    </row>
    <row r="22" spans="3:14">
      <c r="C22" s="11" t="s">
        <v>89</v>
      </c>
      <c r="D22" s="57">
        <f t="shared" ref="D22:N22" si="3">SUM(D19:D21)</f>
        <v>-21000</v>
      </c>
      <c r="E22" s="57">
        <f t="shared" si="3"/>
        <v>-1500</v>
      </c>
      <c r="F22" s="57">
        <f t="shared" si="3"/>
        <v>-1500</v>
      </c>
      <c r="G22" s="57">
        <f t="shared" si="3"/>
        <v>-1500</v>
      </c>
      <c r="H22" s="57">
        <f t="shared" si="3"/>
        <v>-1500</v>
      </c>
      <c r="I22" s="57">
        <f t="shared" si="3"/>
        <v>-1500</v>
      </c>
      <c r="J22" s="57">
        <f t="shared" si="3"/>
        <v>-1500</v>
      </c>
      <c r="K22" s="57">
        <f t="shared" si="3"/>
        <v>-1500</v>
      </c>
      <c r="L22" s="57">
        <f t="shared" si="3"/>
        <v>-1500</v>
      </c>
      <c r="M22" s="57">
        <f t="shared" si="3"/>
        <v>-1500</v>
      </c>
      <c r="N22" s="57">
        <f t="shared" si="3"/>
        <v>9000</v>
      </c>
    </row>
    <row r="23" spans="3:14">
      <c r="C23" s="19" t="s">
        <v>90</v>
      </c>
      <c r="D23" s="58">
        <f>NPV(J5,E22:N22)+D22</f>
        <v>-26188.516453614098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3:14">
      <c r="D24" s="6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3:14">
      <c r="C25" t="s">
        <v>94</v>
      </c>
      <c r="D25" s="6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3:14">
      <c r="C26" s="11"/>
      <c r="D26" s="51" t="s">
        <v>22</v>
      </c>
      <c r="E26" s="51" t="s">
        <v>88</v>
      </c>
      <c r="F26" s="51" t="s">
        <v>24</v>
      </c>
      <c r="G26" s="51" t="s">
        <v>25</v>
      </c>
      <c r="H26" s="51" t="s">
        <v>26</v>
      </c>
      <c r="I26" s="51" t="s">
        <v>27</v>
      </c>
      <c r="J26" s="51" t="s">
        <v>28</v>
      </c>
      <c r="K26" s="51" t="s">
        <v>29</v>
      </c>
      <c r="L26" s="51" t="s">
        <v>30</v>
      </c>
      <c r="M26" s="51" t="s">
        <v>31</v>
      </c>
      <c r="N26" s="51" t="s">
        <v>32</v>
      </c>
    </row>
    <row r="27" spans="3:14" ht="15.75">
      <c r="C27" s="11" t="s">
        <v>86</v>
      </c>
      <c r="D27" s="52">
        <f>(E6+E7)</f>
        <v>-23000</v>
      </c>
      <c r="E27" s="51"/>
      <c r="F27" s="57"/>
      <c r="G27" s="51"/>
      <c r="H27" s="51"/>
      <c r="I27" s="51"/>
      <c r="J27" s="51"/>
      <c r="K27" s="51"/>
      <c r="L27" s="51"/>
      <c r="M27" s="51"/>
      <c r="N27" s="51"/>
    </row>
    <row r="28" spans="3:14">
      <c r="C28" s="11" t="s">
        <v>85</v>
      </c>
      <c r="D28" s="57"/>
      <c r="E28" s="57">
        <f>($F$6+$F$7)</f>
        <v>-1500</v>
      </c>
      <c r="F28" s="57">
        <f t="shared" ref="F28:N28" si="4">($F$6+$F$7)</f>
        <v>-1500</v>
      </c>
      <c r="G28" s="57">
        <f t="shared" si="4"/>
        <v>-1500</v>
      </c>
      <c r="H28" s="57">
        <f t="shared" si="4"/>
        <v>-1500</v>
      </c>
      <c r="I28" s="57">
        <f t="shared" si="4"/>
        <v>-1500</v>
      </c>
      <c r="J28" s="57">
        <f t="shared" si="4"/>
        <v>-1500</v>
      </c>
      <c r="K28" s="57">
        <f t="shared" si="4"/>
        <v>-1500</v>
      </c>
      <c r="L28" s="57">
        <f t="shared" si="4"/>
        <v>-1500</v>
      </c>
      <c r="M28" s="57">
        <f t="shared" si="4"/>
        <v>-1500</v>
      </c>
      <c r="N28" s="57">
        <f t="shared" si="4"/>
        <v>-1500</v>
      </c>
    </row>
    <row r="29" spans="3:14">
      <c r="C29" s="11" t="s">
        <v>87</v>
      </c>
      <c r="D29" s="57"/>
      <c r="E29" s="51"/>
      <c r="F29" s="57"/>
      <c r="G29" s="51"/>
      <c r="H29" s="51"/>
      <c r="I29" s="51"/>
      <c r="J29" s="51"/>
      <c r="K29" s="51"/>
      <c r="L29" s="51"/>
      <c r="M29" s="51"/>
      <c r="N29" s="57">
        <f>(G6+G7)</f>
        <v>11500</v>
      </c>
    </row>
    <row r="30" spans="3:14">
      <c r="C30" s="11" t="s">
        <v>89</v>
      </c>
      <c r="D30" s="57">
        <f t="shared" ref="D30:N30" si="5">SUM(D27:D29)</f>
        <v>-23000</v>
      </c>
      <c r="E30" s="57">
        <f t="shared" si="5"/>
        <v>-1500</v>
      </c>
      <c r="F30" s="57">
        <f t="shared" si="5"/>
        <v>-1500</v>
      </c>
      <c r="G30" s="57">
        <f t="shared" si="5"/>
        <v>-1500</v>
      </c>
      <c r="H30" s="57">
        <f t="shared" si="5"/>
        <v>-1500</v>
      </c>
      <c r="I30" s="57">
        <f t="shared" si="5"/>
        <v>-1500</v>
      </c>
      <c r="J30" s="57">
        <f t="shared" si="5"/>
        <v>-1500</v>
      </c>
      <c r="K30" s="57">
        <f t="shared" si="5"/>
        <v>-1500</v>
      </c>
      <c r="L30" s="57">
        <f t="shared" si="5"/>
        <v>-1500</v>
      </c>
      <c r="M30" s="57">
        <f t="shared" si="5"/>
        <v>-1500</v>
      </c>
      <c r="N30" s="57">
        <f t="shared" si="5"/>
        <v>10000</v>
      </c>
    </row>
    <row r="31" spans="3:14">
      <c r="C31" s="19" t="s">
        <v>90</v>
      </c>
      <c r="D31" s="58">
        <f>NPV(J5,E30:N30)+D30</f>
        <v>-27771.87488316025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3" spans="2:14" ht="15.75" thickBot="1"/>
    <row r="34" spans="2:14" ht="15.75">
      <c r="B34" s="179" t="s">
        <v>84</v>
      </c>
      <c r="C34" s="180"/>
      <c r="D34" s="180"/>
      <c r="E34" s="180"/>
      <c r="F34" s="180"/>
      <c r="G34" s="180"/>
      <c r="H34" s="180"/>
      <c r="I34" s="181"/>
      <c r="K34" s="30" t="s">
        <v>53</v>
      </c>
      <c r="L34" s="31" t="s">
        <v>54</v>
      </c>
      <c r="M34" s="31" t="s">
        <v>55</v>
      </c>
      <c r="N34" s="32" t="s">
        <v>56</v>
      </c>
    </row>
    <row r="35" spans="2:14" ht="15.75">
      <c r="B35" s="23"/>
      <c r="C35" s="11"/>
      <c r="D35" s="177" t="s">
        <v>45</v>
      </c>
      <c r="E35" s="177"/>
      <c r="F35" s="177" t="s">
        <v>46</v>
      </c>
      <c r="G35" s="177"/>
      <c r="H35" s="177" t="s">
        <v>60</v>
      </c>
      <c r="I35" s="178"/>
      <c r="K35" s="33" t="s">
        <v>57</v>
      </c>
      <c r="L35" s="34">
        <v>125000</v>
      </c>
      <c r="M35" s="34">
        <v>1600</v>
      </c>
      <c r="N35" s="35">
        <f>L35/M35</f>
        <v>78.125</v>
      </c>
    </row>
    <row r="36" spans="2:14" ht="31.5">
      <c r="B36" s="23" t="s">
        <v>61</v>
      </c>
      <c r="C36" s="22" t="s">
        <v>62</v>
      </c>
      <c r="D36" s="18" t="s">
        <v>63</v>
      </c>
      <c r="E36" s="18" t="s">
        <v>64</v>
      </c>
      <c r="F36" s="18" t="s">
        <v>63</v>
      </c>
      <c r="G36" s="18" t="s">
        <v>64</v>
      </c>
      <c r="H36" s="18" t="s">
        <v>63</v>
      </c>
      <c r="I36" s="24" t="s">
        <v>64</v>
      </c>
      <c r="K36" s="33" t="s">
        <v>58</v>
      </c>
      <c r="L36" s="34">
        <v>140000</v>
      </c>
      <c r="M36" s="34">
        <v>900</v>
      </c>
      <c r="N36" s="35">
        <f>L36/M36</f>
        <v>155.55555555555554</v>
      </c>
    </row>
    <row r="37" spans="2:14" ht="16.5" thickBot="1">
      <c r="B37" s="25" t="s">
        <v>65</v>
      </c>
      <c r="C37" s="20">
        <v>0.25</v>
      </c>
      <c r="D37" s="18">
        <v>3</v>
      </c>
      <c r="E37" s="11">
        <f>C37*D37</f>
        <v>0.75</v>
      </c>
      <c r="F37" s="18">
        <v>7</v>
      </c>
      <c r="G37" s="18">
        <f>C37*F37</f>
        <v>1.75</v>
      </c>
      <c r="H37" s="18">
        <v>7</v>
      </c>
      <c r="I37" s="24">
        <f>C37*H37</f>
        <v>1.75</v>
      </c>
      <c r="K37" s="36" t="s">
        <v>59</v>
      </c>
      <c r="L37" s="37">
        <v>90000</v>
      </c>
      <c r="M37" s="37">
        <v>1200</v>
      </c>
      <c r="N37" s="38">
        <f>L37/M37</f>
        <v>75</v>
      </c>
    </row>
    <row r="38" spans="2:14" ht="15.75">
      <c r="B38" s="25" t="s">
        <v>66</v>
      </c>
      <c r="C38" s="20">
        <v>0.05</v>
      </c>
      <c r="D38" s="18">
        <v>6</v>
      </c>
      <c r="E38" s="11">
        <f>C38*D38</f>
        <v>0.30000000000000004</v>
      </c>
      <c r="F38" s="18">
        <v>5</v>
      </c>
      <c r="G38" s="18">
        <f>C38*F38</f>
        <v>0.25</v>
      </c>
      <c r="H38" s="18">
        <v>5</v>
      </c>
      <c r="I38" s="24">
        <f>C38*H38</f>
        <v>0.25</v>
      </c>
    </row>
    <row r="39" spans="2:14" ht="31.5">
      <c r="B39" s="25" t="s">
        <v>67</v>
      </c>
      <c r="C39" s="20">
        <v>0.1</v>
      </c>
      <c r="D39" s="18">
        <v>5</v>
      </c>
      <c r="E39" s="11">
        <f>C39*D39</f>
        <v>0.5</v>
      </c>
      <c r="F39" s="18">
        <v>4</v>
      </c>
      <c r="G39" s="18">
        <f>C39*F39</f>
        <v>0.4</v>
      </c>
      <c r="H39" s="18">
        <v>5</v>
      </c>
      <c r="I39" s="24">
        <f>C39*H39</f>
        <v>0.5</v>
      </c>
    </row>
    <row r="40" spans="2:14" ht="31.5">
      <c r="B40" s="25" t="s">
        <v>70</v>
      </c>
      <c r="C40" s="20">
        <v>0.4</v>
      </c>
      <c r="D40" s="18">
        <v>2</v>
      </c>
      <c r="E40" s="11">
        <f>C40*D40</f>
        <v>0.8</v>
      </c>
      <c r="F40" s="18">
        <v>7</v>
      </c>
      <c r="G40" s="18">
        <f>C40*F40</f>
        <v>2.8000000000000003</v>
      </c>
      <c r="H40" s="18">
        <v>7</v>
      </c>
      <c r="I40" s="24">
        <f>C40*H40</f>
        <v>2.8000000000000003</v>
      </c>
    </row>
    <row r="41" spans="2:14" ht="31.5">
      <c r="B41" s="25" t="s">
        <v>68</v>
      </c>
      <c r="C41" s="20">
        <v>0.2</v>
      </c>
      <c r="D41" s="18">
        <v>6</v>
      </c>
      <c r="E41" s="11">
        <f>C41*D41</f>
        <v>1.2000000000000002</v>
      </c>
      <c r="F41" s="18">
        <v>2</v>
      </c>
      <c r="G41" s="18">
        <f>C41*F41</f>
        <v>0.4</v>
      </c>
      <c r="H41" s="18">
        <v>6</v>
      </c>
      <c r="I41" s="24">
        <f>C41*H41</f>
        <v>1.2000000000000002</v>
      </c>
    </row>
    <row r="42" spans="2:14" ht="16.5" thickBot="1">
      <c r="B42" s="26" t="s">
        <v>69</v>
      </c>
      <c r="C42" s="27">
        <f>SUM(C37:C41)</f>
        <v>1</v>
      </c>
      <c r="D42" s="28"/>
      <c r="E42" s="27">
        <f>SUM(E37:E41)</f>
        <v>3.5500000000000003</v>
      </c>
      <c r="F42" s="28"/>
      <c r="G42" s="27">
        <f>SUM(G37:G41)</f>
        <v>5.6000000000000005</v>
      </c>
      <c r="H42" s="28"/>
      <c r="I42" s="29">
        <f>SUM(I37:I41)</f>
        <v>6.5000000000000009</v>
      </c>
    </row>
  </sheetData>
  <mergeCells count="5">
    <mergeCell ref="D35:E35"/>
    <mergeCell ref="F35:G35"/>
    <mergeCell ref="H35:I35"/>
    <mergeCell ref="B34:I34"/>
    <mergeCell ref="C6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1"/>
  <sheetViews>
    <sheetView topLeftCell="E3" workbookViewId="0">
      <selection activeCell="G10" sqref="G10"/>
    </sheetView>
  </sheetViews>
  <sheetFormatPr baseColWidth="10" defaultRowHeight="15"/>
  <cols>
    <col min="2" max="2" width="19.28515625" bestFit="1" customWidth="1"/>
    <col min="3" max="3" width="11.5703125" bestFit="1" customWidth="1"/>
    <col min="5" max="5" width="11.5703125" bestFit="1" customWidth="1"/>
    <col min="7" max="7" width="13.5703125" bestFit="1" customWidth="1"/>
    <col min="8" max="8" width="15" customWidth="1"/>
    <col min="9" max="9" width="13.140625" bestFit="1" customWidth="1"/>
    <col min="10" max="10" width="14.28515625" bestFit="1" customWidth="1"/>
    <col min="11" max="11" width="15.140625" bestFit="1" customWidth="1"/>
    <col min="12" max="14" width="13.140625" bestFit="1" customWidth="1"/>
  </cols>
  <sheetData>
    <row r="2" spans="2:14" ht="18.75">
      <c r="B2" s="184" t="s">
        <v>16</v>
      </c>
      <c r="C2" s="184"/>
      <c r="D2" s="184"/>
      <c r="F2" s="184" t="s">
        <v>17</v>
      </c>
      <c r="G2" s="184"/>
      <c r="H2" s="184"/>
      <c r="I2" s="184"/>
      <c r="J2" s="184"/>
      <c r="K2" s="184"/>
    </row>
    <row r="3" spans="2:14" ht="15.75">
      <c r="B3" s="6"/>
      <c r="C3" s="7" t="s">
        <v>3</v>
      </c>
      <c r="D3" s="7" t="s">
        <v>18</v>
      </c>
      <c r="F3" s="6"/>
      <c r="G3" s="13" t="s">
        <v>38</v>
      </c>
      <c r="H3" s="188" t="s">
        <v>0</v>
      </c>
      <c r="I3" s="188"/>
      <c r="J3" s="188" t="s">
        <v>36</v>
      </c>
      <c r="K3" s="188"/>
    </row>
    <row r="4" spans="2:14" ht="15.75">
      <c r="B4" s="8" t="s">
        <v>35</v>
      </c>
      <c r="C4" s="9">
        <f>Datos!$D$11</f>
        <v>8580</v>
      </c>
      <c r="D4" s="9">
        <f>C4*12</f>
        <v>102960</v>
      </c>
      <c r="F4" s="12" t="s">
        <v>37</v>
      </c>
      <c r="G4" s="12" t="s">
        <v>39</v>
      </c>
      <c r="H4" s="12" t="s">
        <v>19</v>
      </c>
      <c r="I4" s="12" t="s">
        <v>20</v>
      </c>
      <c r="J4" s="12" t="s">
        <v>19</v>
      </c>
      <c r="K4" s="12" t="s">
        <v>20</v>
      </c>
    </row>
    <row r="5" spans="2:14">
      <c r="F5" s="11" t="s">
        <v>11</v>
      </c>
      <c r="G5" s="10">
        <f>Datos!E14</f>
        <v>6.12</v>
      </c>
      <c r="H5" s="9">
        <f>$C$4*Datos!D14</f>
        <v>1029.5999999999999</v>
      </c>
      <c r="I5" s="9">
        <f>H5*12</f>
        <v>12355.199999999999</v>
      </c>
      <c r="J5" s="10">
        <f>$G$5*H5</f>
        <v>6301.1519999999991</v>
      </c>
      <c r="K5" s="10">
        <f>G5*I5</f>
        <v>75613.823999999993</v>
      </c>
    </row>
    <row r="6" spans="2:14" ht="15.75">
      <c r="F6" s="11" t="s">
        <v>12</v>
      </c>
      <c r="G6" s="70">
        <f>Datos!E15</f>
        <v>7.15</v>
      </c>
      <c r="H6" s="9">
        <f>$C$4*Datos!D15</f>
        <v>858</v>
      </c>
      <c r="I6" s="9">
        <f>H6*12</f>
        <v>10296</v>
      </c>
      <c r="J6" s="10">
        <f>G6*H6</f>
        <v>6134.7000000000007</v>
      </c>
      <c r="K6" s="10">
        <f>G6*I6</f>
        <v>73616.400000000009</v>
      </c>
    </row>
    <row r="7" spans="2:14">
      <c r="F7" s="11" t="s">
        <v>13</v>
      </c>
      <c r="G7" s="10">
        <f>Datos!E16</f>
        <v>8</v>
      </c>
      <c r="H7" s="9">
        <f>$C$4*Datos!D16</f>
        <v>1287</v>
      </c>
      <c r="I7" s="9">
        <f>H7*12</f>
        <v>15444</v>
      </c>
      <c r="J7" s="10">
        <f>G7*H7</f>
        <v>10296</v>
      </c>
      <c r="K7" s="10">
        <f>G7*I7</f>
        <v>123552</v>
      </c>
    </row>
    <row r="8" spans="2:14">
      <c r="F8" s="11" t="s">
        <v>14</v>
      </c>
      <c r="G8" s="10">
        <f>Datos!E17</f>
        <v>9.34</v>
      </c>
      <c r="H8" s="9">
        <f>$C$4*Datos!D17</f>
        <v>1716</v>
      </c>
      <c r="I8" s="9">
        <f>H8*12</f>
        <v>20592</v>
      </c>
      <c r="J8" s="10">
        <f>G8*H8</f>
        <v>16027.44</v>
      </c>
      <c r="K8" s="10">
        <f>G8*I8</f>
        <v>192329.28</v>
      </c>
    </row>
    <row r="9" spans="2:14">
      <c r="F9" s="11" t="s">
        <v>15</v>
      </c>
      <c r="G9" s="10">
        <f>Datos!E18</f>
        <v>8.81</v>
      </c>
      <c r="H9" s="9">
        <f>$C$4*Datos!D18</f>
        <v>3689.4</v>
      </c>
      <c r="I9" s="9">
        <f>H9*12</f>
        <v>44272.800000000003</v>
      </c>
      <c r="J9" s="10">
        <f>G9*H9</f>
        <v>32503.614000000001</v>
      </c>
      <c r="K9" s="10">
        <f>G9*I9</f>
        <v>390043.36800000007</v>
      </c>
    </row>
    <row r="10" spans="2:14">
      <c r="E10" s="68" t="s">
        <v>127</v>
      </c>
      <c r="F10" s="68"/>
      <c r="G10" s="73">
        <f>SUMPRODUCT(G5:G9,Datos!D14:D18)</f>
        <v>8.3056999999999999</v>
      </c>
      <c r="I10" s="11" t="s">
        <v>21</v>
      </c>
      <c r="J10" s="10">
        <f>SUM(J5:J9)</f>
        <v>71262.906000000003</v>
      </c>
      <c r="K10" s="10">
        <f>SUM(K5:K9)</f>
        <v>855154.87199999997</v>
      </c>
    </row>
    <row r="11" spans="2:14">
      <c r="J11" s="72"/>
    </row>
    <row r="13" spans="2:14" ht="18.75">
      <c r="B13" s="185" t="s">
        <v>128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7"/>
    </row>
    <row r="14" spans="2:14">
      <c r="B14" s="11"/>
      <c r="C14" s="11" t="s">
        <v>22</v>
      </c>
      <c r="D14" s="11" t="s">
        <v>23</v>
      </c>
      <c r="E14" s="11" t="s">
        <v>24</v>
      </c>
      <c r="F14" s="11" t="s">
        <v>25</v>
      </c>
      <c r="G14" s="11" t="s">
        <v>26</v>
      </c>
      <c r="H14" s="11" t="s">
        <v>27</v>
      </c>
      <c r="I14" s="11" t="s">
        <v>28</v>
      </c>
      <c r="J14" s="11" t="s">
        <v>29</v>
      </c>
      <c r="K14" s="11" t="s">
        <v>30</v>
      </c>
      <c r="L14" s="11" t="s">
        <v>31</v>
      </c>
      <c r="M14" s="11" t="s">
        <v>32</v>
      </c>
    </row>
    <row r="15" spans="2:14">
      <c r="B15" s="11" t="s">
        <v>0</v>
      </c>
      <c r="C15" s="11"/>
      <c r="D15" s="9">
        <f>$D$4</f>
        <v>102960</v>
      </c>
      <c r="E15" s="9">
        <f t="shared" ref="E15:N15" si="0">(1+$C$17)*D15</f>
        <v>106518.29759999999</v>
      </c>
      <c r="F15" s="9">
        <f t="shared" si="0"/>
        <v>110199.56996505598</v>
      </c>
      <c r="G15" s="9">
        <f t="shared" si="0"/>
        <v>114008.06710304831</v>
      </c>
      <c r="H15" s="9">
        <f t="shared" si="0"/>
        <v>117948.18590212964</v>
      </c>
      <c r="I15" s="9">
        <f t="shared" si="0"/>
        <v>122024.47520690723</v>
      </c>
      <c r="J15" s="9">
        <f t="shared" si="0"/>
        <v>126241.64107005793</v>
      </c>
      <c r="K15" s="9">
        <f t="shared" si="0"/>
        <v>130604.55218543913</v>
      </c>
      <c r="L15" s="9">
        <f t="shared" si="0"/>
        <v>135118.2455089679</v>
      </c>
      <c r="M15" s="9">
        <f t="shared" si="0"/>
        <v>139787.93207375781</v>
      </c>
      <c r="N15" s="9">
        <f t="shared" si="0"/>
        <v>144619.00300622688</v>
      </c>
    </row>
    <row r="16" spans="2:14">
      <c r="B16" s="11" t="s">
        <v>33</v>
      </c>
      <c r="C16" s="11"/>
      <c r="D16" s="10">
        <f t="shared" ref="D16:N16" si="1">D15*$G$10</f>
        <v>855154.87199999997</v>
      </c>
      <c r="E16" s="10">
        <f t="shared" si="1"/>
        <v>884709.02437631995</v>
      </c>
      <c r="F16" s="10">
        <f t="shared" si="1"/>
        <v>915284.5682587655</v>
      </c>
      <c r="G16" s="10">
        <f t="shared" si="1"/>
        <v>946916.80293778831</v>
      </c>
      <c r="H16" s="10">
        <f t="shared" si="1"/>
        <v>979642.24764731817</v>
      </c>
      <c r="I16" s="10">
        <f t="shared" si="1"/>
        <v>1013498.6837260093</v>
      </c>
      <c r="J16" s="10">
        <f t="shared" si="1"/>
        <v>1048525.1982355801</v>
      </c>
      <c r="K16" s="10">
        <f t="shared" si="1"/>
        <v>1084762.2290866016</v>
      </c>
      <c r="L16" s="10">
        <f t="shared" si="1"/>
        <v>1122251.6117238346</v>
      </c>
      <c r="M16" s="10">
        <f t="shared" si="1"/>
        <v>1161036.6274250103</v>
      </c>
      <c r="N16" s="10">
        <f t="shared" si="1"/>
        <v>1201162.0532688187</v>
      </c>
    </row>
    <row r="17" spans="1:14">
      <c r="B17" s="11" t="s">
        <v>34</v>
      </c>
      <c r="C17" s="54">
        <f>Datos!$D$8</f>
        <v>3.456E-2</v>
      </c>
    </row>
    <row r="18" spans="1:14">
      <c r="B18" s="19" t="s">
        <v>129</v>
      </c>
      <c r="C18" s="10">
        <f>G10</f>
        <v>8.3056999999999999</v>
      </c>
      <c r="E18" s="3"/>
    </row>
    <row r="21" spans="1:14">
      <c r="C21" s="11" t="s">
        <v>22</v>
      </c>
      <c r="D21" s="11" t="s">
        <v>23</v>
      </c>
      <c r="E21" s="11" t="s">
        <v>24</v>
      </c>
      <c r="F21" s="11" t="s">
        <v>25</v>
      </c>
      <c r="G21" s="11" t="s">
        <v>26</v>
      </c>
      <c r="H21" s="11" t="s">
        <v>27</v>
      </c>
      <c r="I21" s="11" t="s">
        <v>28</v>
      </c>
      <c r="J21" s="11" t="s">
        <v>29</v>
      </c>
      <c r="K21" s="11" t="s">
        <v>30</v>
      </c>
      <c r="L21" s="11" t="s">
        <v>31</v>
      </c>
      <c r="M21" s="11" t="s">
        <v>32</v>
      </c>
    </row>
    <row r="22" spans="1:14">
      <c r="B22" t="s">
        <v>47</v>
      </c>
      <c r="D22" s="3">
        <f t="shared" ref="D22:N22" si="2">D15/12</f>
        <v>8580</v>
      </c>
      <c r="E22" s="3">
        <f t="shared" si="2"/>
        <v>8876.5247999999992</v>
      </c>
      <c r="F22" s="3">
        <f t="shared" si="2"/>
        <v>9183.2974970879986</v>
      </c>
      <c r="G22" s="3">
        <f t="shared" si="2"/>
        <v>9500.6722585873595</v>
      </c>
      <c r="H22" s="3">
        <f t="shared" si="2"/>
        <v>9829.0154918441367</v>
      </c>
      <c r="I22" s="3">
        <f t="shared" si="2"/>
        <v>10168.706267242269</v>
      </c>
      <c r="J22" s="3">
        <f t="shared" si="2"/>
        <v>10520.136755838161</v>
      </c>
      <c r="K22" s="3">
        <f t="shared" si="2"/>
        <v>10883.712682119927</v>
      </c>
      <c r="L22" s="3">
        <f t="shared" si="2"/>
        <v>11259.853792413991</v>
      </c>
      <c r="M22" s="3">
        <f t="shared" si="2"/>
        <v>11648.994339479817</v>
      </c>
      <c r="N22" s="3">
        <f t="shared" si="2"/>
        <v>12051.58358385224</v>
      </c>
    </row>
    <row r="23" spans="1:14">
      <c r="B23" t="s">
        <v>48</v>
      </c>
      <c r="D23" s="3">
        <f t="shared" ref="D23:N23" si="3">D22/12</f>
        <v>715</v>
      </c>
      <c r="E23" s="3">
        <f t="shared" si="3"/>
        <v>739.71039999999994</v>
      </c>
      <c r="F23" s="3">
        <f t="shared" si="3"/>
        <v>765.27479142399989</v>
      </c>
      <c r="G23" s="3">
        <f t="shared" si="3"/>
        <v>791.72268821561329</v>
      </c>
      <c r="H23" s="3">
        <f t="shared" si="3"/>
        <v>819.08462432034469</v>
      </c>
      <c r="I23" s="3">
        <f t="shared" si="3"/>
        <v>847.39218893685575</v>
      </c>
      <c r="J23" s="3">
        <f t="shared" si="3"/>
        <v>876.6780629865134</v>
      </c>
      <c r="K23" s="3">
        <f t="shared" si="3"/>
        <v>906.97605684332723</v>
      </c>
      <c r="L23" s="3">
        <f t="shared" si="3"/>
        <v>938.32114936783262</v>
      </c>
      <c r="M23" s="3">
        <f t="shared" si="3"/>
        <v>970.74952828998482</v>
      </c>
      <c r="N23" s="3">
        <f t="shared" si="3"/>
        <v>1004.2986319876867</v>
      </c>
    </row>
    <row r="24" spans="1:14">
      <c r="B24" t="s">
        <v>42</v>
      </c>
      <c r="D24">
        <f t="shared" ref="D24:N24" si="4">D23/$C$27</f>
        <v>5720.0012972745444</v>
      </c>
      <c r="E24" s="16">
        <f t="shared" si="4"/>
        <v>5917.6845421083526</v>
      </c>
      <c r="F24" s="16">
        <f t="shared" si="4"/>
        <v>6122.1997198836161</v>
      </c>
      <c r="G24" s="16">
        <f t="shared" si="4"/>
        <v>6333.7829422027944</v>
      </c>
      <c r="H24" s="16">
        <f t="shared" si="4"/>
        <v>6552.6784806853211</v>
      </c>
      <c r="I24" s="16">
        <f t="shared" si="4"/>
        <v>6779.139048977805</v>
      </c>
      <c r="J24" s="16">
        <f t="shared" si="4"/>
        <v>7013.4260945104779</v>
      </c>
      <c r="K24" s="16">
        <f t="shared" si="4"/>
        <v>7255.8101003367592</v>
      </c>
      <c r="L24" s="16">
        <f t="shared" si="4"/>
        <v>7506.5708974043973</v>
      </c>
      <c r="M24" s="16">
        <f t="shared" si="4"/>
        <v>7765.9979876186926</v>
      </c>
      <c r="N24" s="16">
        <f t="shared" si="4"/>
        <v>8034.3908780707943</v>
      </c>
    </row>
    <row r="25" spans="1:14">
      <c r="A25">
        <v>6000</v>
      </c>
      <c r="B25" t="s">
        <v>49</v>
      </c>
      <c r="D25" s="17">
        <f t="shared" ref="D25:N25" si="5">SUM(D23:D24)</f>
        <v>6435.0012972745444</v>
      </c>
      <c r="E25" s="17">
        <f t="shared" si="5"/>
        <v>6657.3949421083526</v>
      </c>
      <c r="F25" s="17">
        <f t="shared" si="5"/>
        <v>6887.474511307616</v>
      </c>
      <c r="G25" s="17">
        <f t="shared" si="5"/>
        <v>7125.5056304184072</v>
      </c>
      <c r="H25" s="17">
        <f t="shared" si="5"/>
        <v>7371.7631050056661</v>
      </c>
      <c r="I25" s="17">
        <f t="shared" si="5"/>
        <v>7626.5312379146608</v>
      </c>
      <c r="J25" s="17">
        <f t="shared" si="5"/>
        <v>7890.1041574969913</v>
      </c>
      <c r="K25" s="17">
        <f t="shared" si="5"/>
        <v>8162.7861571800868</v>
      </c>
      <c r="L25" s="17">
        <f t="shared" si="5"/>
        <v>8444.8920467722292</v>
      </c>
      <c r="M25" s="17">
        <f t="shared" si="5"/>
        <v>8736.7475159086771</v>
      </c>
      <c r="N25" s="17">
        <f t="shared" si="5"/>
        <v>9038.6895100584807</v>
      </c>
    </row>
    <row r="27" spans="1:14" ht="18.75">
      <c r="B27" s="71" t="s">
        <v>126</v>
      </c>
      <c r="C27">
        <v>0.1249999716504753</v>
      </c>
      <c r="D27" s="71"/>
      <c r="E27" s="71"/>
      <c r="F27" s="71"/>
      <c r="G27" s="71"/>
      <c r="H27" s="71"/>
    </row>
    <row r="28" spans="1:14">
      <c r="C28" s="3"/>
      <c r="D28" s="3"/>
      <c r="E28" s="3"/>
      <c r="F28" s="3"/>
      <c r="G28" s="3"/>
    </row>
    <row r="29" spans="1:14">
      <c r="C29" s="3"/>
      <c r="D29" s="3"/>
      <c r="E29" s="3"/>
      <c r="F29" s="3"/>
      <c r="G29" s="3"/>
    </row>
    <row r="30" spans="1:14">
      <c r="D30" s="3"/>
    </row>
    <row r="31" spans="1:14">
      <c r="D31" s="3"/>
    </row>
  </sheetData>
  <mergeCells count="5">
    <mergeCell ref="F2:K2"/>
    <mergeCell ref="B2:D2"/>
    <mergeCell ref="B13:M13"/>
    <mergeCell ref="H3:I3"/>
    <mergeCell ref="J3:K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O31"/>
  <sheetViews>
    <sheetView topLeftCell="B7" zoomScaleNormal="100" workbookViewId="0">
      <selection activeCell="D34" sqref="D34"/>
    </sheetView>
  </sheetViews>
  <sheetFormatPr baseColWidth="10" defaultRowHeight="15"/>
  <cols>
    <col min="2" max="2" width="25.5703125" bestFit="1" customWidth="1"/>
    <col min="3" max="3" width="11.5703125" bestFit="1" customWidth="1"/>
    <col min="4" max="4" width="14.7109375" bestFit="1" customWidth="1"/>
    <col min="5" max="5" width="12.7109375" bestFit="1" customWidth="1"/>
    <col min="7" max="7" width="12.28515625" customWidth="1"/>
    <col min="8" max="8" width="12.140625" customWidth="1"/>
    <col min="9" max="9" width="11.7109375" bestFit="1" customWidth="1"/>
    <col min="10" max="10" width="12.7109375" bestFit="1" customWidth="1"/>
  </cols>
  <sheetData>
    <row r="5" spans="2:14" ht="15.75" thickBot="1">
      <c r="G5" s="39"/>
      <c r="H5" s="39"/>
      <c r="I5" s="39"/>
      <c r="J5" s="39"/>
    </row>
    <row r="6" spans="2:14" ht="18.75">
      <c r="B6" s="189" t="s">
        <v>130</v>
      </c>
      <c r="C6" s="190"/>
      <c r="D6" s="190"/>
      <c r="E6" s="191"/>
      <c r="G6" s="189" t="s">
        <v>251</v>
      </c>
      <c r="H6" s="190"/>
      <c r="I6" s="190"/>
      <c r="J6" s="191"/>
    </row>
    <row r="7" spans="2:14">
      <c r="B7" s="74"/>
      <c r="C7" s="75" t="s">
        <v>247</v>
      </c>
      <c r="D7" s="75" t="s">
        <v>19</v>
      </c>
      <c r="E7" s="76" t="s">
        <v>20</v>
      </c>
      <c r="G7" s="194" t="s">
        <v>252</v>
      </c>
      <c r="H7" s="195"/>
      <c r="I7" s="75" t="s">
        <v>19</v>
      </c>
      <c r="J7" s="76" t="s">
        <v>20</v>
      </c>
    </row>
    <row r="8" spans="2:14">
      <c r="B8" s="77" t="s">
        <v>42</v>
      </c>
      <c r="C8" s="66">
        <v>3.5</v>
      </c>
      <c r="D8" s="81">
        <f>C8*Datos!D5</f>
        <v>17500</v>
      </c>
      <c r="E8" s="88">
        <f>D8*12</f>
        <v>210000</v>
      </c>
      <c r="G8" s="194" t="s">
        <v>253</v>
      </c>
      <c r="H8" s="195"/>
      <c r="I8" s="81">
        <f>((Datos!E20+3)*2)*24</f>
        <v>2325.818181818182</v>
      </c>
      <c r="J8" s="88">
        <f>I8*12</f>
        <v>27909.818181818184</v>
      </c>
    </row>
    <row r="9" spans="2:14">
      <c r="B9" s="77" t="s">
        <v>131</v>
      </c>
      <c r="C9" s="66">
        <f>Datos!$C$23</f>
        <v>0.18</v>
      </c>
      <c r="D9" s="81">
        <f>Datos!$C$25*Datos!E20</f>
        <v>21600</v>
      </c>
      <c r="E9" s="82">
        <f>D9*12</f>
        <v>259200</v>
      </c>
      <c r="G9" s="194" t="s">
        <v>254</v>
      </c>
      <c r="H9" s="195"/>
      <c r="I9" t="s">
        <v>243</v>
      </c>
      <c r="J9" s="81">
        <f>C26*Datos!E20</f>
        <v>21768.749999999996</v>
      </c>
    </row>
    <row r="10" spans="2:14">
      <c r="B10" s="77" t="s">
        <v>244</v>
      </c>
      <c r="C10" s="66">
        <v>0.08</v>
      </c>
      <c r="D10" s="81">
        <f>(Datos!C28*Datos!D10)*'Costos O.'!C10</f>
        <v>686.4</v>
      </c>
      <c r="E10" s="82">
        <f>D10*12</f>
        <v>8236.7999999999993</v>
      </c>
      <c r="G10" s="194" t="s">
        <v>255</v>
      </c>
      <c r="H10" s="195"/>
      <c r="I10" t="s">
        <v>243</v>
      </c>
      <c r="J10" s="81">
        <f>C27*Datos!E20</f>
        <v>21600</v>
      </c>
    </row>
    <row r="11" spans="2:14">
      <c r="B11" s="77" t="s">
        <v>245</v>
      </c>
      <c r="C11" s="66">
        <v>0.2</v>
      </c>
      <c r="D11" s="81">
        <f>(Datos!C29*Datos!D10)*'Costos O.'!C11</f>
        <v>286</v>
      </c>
      <c r="E11" s="82">
        <f>D11*12</f>
        <v>3432</v>
      </c>
      <c r="G11" s="194" t="s">
        <v>256</v>
      </c>
      <c r="H11" s="195"/>
      <c r="I11" t="s">
        <v>243</v>
      </c>
      <c r="J11" s="81">
        <f>C28*Datos!E20</f>
        <v>21600</v>
      </c>
      <c r="K11" t="s">
        <v>259</v>
      </c>
    </row>
    <row r="12" spans="2:14">
      <c r="B12" s="77" t="s">
        <v>246</v>
      </c>
      <c r="C12" s="66">
        <v>0.05</v>
      </c>
      <c r="D12" s="81">
        <f>(Datos!C30*Datos!D10)*'Costos O.'!C12</f>
        <v>429</v>
      </c>
      <c r="E12" s="82">
        <f>D12*12</f>
        <v>5148</v>
      </c>
      <c r="G12" s="194" t="s">
        <v>257</v>
      </c>
      <c r="H12" s="195"/>
      <c r="I12" s="81">
        <f>I25*Datos!E20</f>
        <v>168.75</v>
      </c>
      <c r="J12" s="82">
        <f>I12*12</f>
        <v>2025</v>
      </c>
    </row>
    <row r="13" spans="2:14" ht="15.75" thickBot="1">
      <c r="B13" s="192" t="s">
        <v>21</v>
      </c>
      <c r="C13" s="193"/>
      <c r="D13" s="78">
        <f>SUM(D8:D12)+I8+I12</f>
        <v>42995.968181818185</v>
      </c>
      <c r="E13" s="79">
        <f>(D13*12)+J9+J10+J11</f>
        <v>580920.36818181816</v>
      </c>
      <c r="G13" s="192" t="s">
        <v>21</v>
      </c>
      <c r="H13" s="193"/>
      <c r="I13" s="78">
        <f>SUM(I8:I12)</f>
        <v>2494.568181818182</v>
      </c>
      <c r="J13" s="79">
        <f>SUM(J8:J12)</f>
        <v>94903.568181818177</v>
      </c>
    </row>
    <row r="14" spans="2:14">
      <c r="E14" t="s">
        <v>260</v>
      </c>
    </row>
    <row r="15" spans="2:14" ht="18.75">
      <c r="B15" s="87"/>
      <c r="C15" s="87"/>
      <c r="D15" s="125"/>
    </row>
    <row r="16" spans="2:14" ht="15.75">
      <c r="B16" s="83"/>
      <c r="C16" s="84"/>
      <c r="D16" s="84"/>
      <c r="N16" s="89">
        <f>Demanda!N15</f>
        <v>144619.00300622688</v>
      </c>
    </row>
    <row r="17" spans="2:15" ht="18.75">
      <c r="B17" s="133" t="s">
        <v>161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5"/>
      <c r="N17" s="10">
        <f>(N16*M20)/M19</f>
        <v>815968.57490738912</v>
      </c>
    </row>
    <row r="18" spans="2:15">
      <c r="B18" s="11"/>
      <c r="C18" s="11" t="s">
        <v>22</v>
      </c>
      <c r="D18" s="11" t="s">
        <v>23</v>
      </c>
      <c r="E18" s="11" t="s">
        <v>24</v>
      </c>
      <c r="F18" s="11" t="s">
        <v>25</v>
      </c>
      <c r="G18" s="11" t="s">
        <v>26</v>
      </c>
      <c r="H18" s="11" t="s">
        <v>27</v>
      </c>
      <c r="I18" s="11" t="s">
        <v>28</v>
      </c>
      <c r="J18" s="11" t="s">
        <v>29</v>
      </c>
      <c r="K18" s="19" t="s">
        <v>30</v>
      </c>
      <c r="L18" s="19" t="s">
        <v>31</v>
      </c>
      <c r="M18" s="19" t="s">
        <v>32</v>
      </c>
    </row>
    <row r="19" spans="2:15">
      <c r="B19" s="11" t="s">
        <v>0</v>
      </c>
      <c r="D19" s="9">
        <f>Demanda!D15</f>
        <v>102960</v>
      </c>
      <c r="E19" s="9">
        <f>Demanda!E15</f>
        <v>106518.29759999999</v>
      </c>
      <c r="F19" s="9">
        <f>Demanda!F15</f>
        <v>110199.56996505598</v>
      </c>
      <c r="G19" s="9">
        <f>Demanda!G15</f>
        <v>114008.06710304831</v>
      </c>
      <c r="H19" s="9">
        <f>Demanda!H15</f>
        <v>117948.18590212964</v>
      </c>
      <c r="I19" s="9">
        <f>Demanda!I15</f>
        <v>122024.47520690723</v>
      </c>
      <c r="J19" s="9">
        <f>Demanda!J15</f>
        <v>126241.64107005793</v>
      </c>
      <c r="K19" s="9">
        <f>Demanda!K15</f>
        <v>130604.55218543913</v>
      </c>
      <c r="L19" s="89">
        <f>Demanda!L15</f>
        <v>135118.2455089679</v>
      </c>
      <c r="M19" s="89">
        <f>Demanda!M15</f>
        <v>139787.93207375781</v>
      </c>
    </row>
    <row r="20" spans="2:15">
      <c r="B20" s="11" t="s">
        <v>162</v>
      </c>
      <c r="D20" s="10">
        <f>E13</f>
        <v>580920.36818181816</v>
      </c>
      <c r="E20" s="10">
        <f t="shared" ref="E20:M20" si="0">(E19*D20)/D19</f>
        <v>600996.97610618174</v>
      </c>
      <c r="F20" s="10">
        <f t="shared" si="0"/>
        <v>621767.43160041142</v>
      </c>
      <c r="G20" s="10">
        <f t="shared" si="0"/>
        <v>643255.71403652162</v>
      </c>
      <c r="H20" s="10">
        <f t="shared" si="0"/>
        <v>665486.63151362364</v>
      </c>
      <c r="I20" s="10">
        <f t="shared" si="0"/>
        <v>688485.84949873434</v>
      </c>
      <c r="J20" s="10">
        <f t="shared" si="0"/>
        <v>712279.92045741051</v>
      </c>
      <c r="K20" s="10">
        <f t="shared" si="0"/>
        <v>736896.31450841855</v>
      </c>
      <c r="L20" s="10">
        <f t="shared" si="0"/>
        <v>762363.45113782946</v>
      </c>
      <c r="M20" s="10">
        <f t="shared" si="0"/>
        <v>788710.73200915277</v>
      </c>
    </row>
    <row r="21" spans="2:15">
      <c r="B21" s="90" t="s">
        <v>34</v>
      </c>
      <c r="C21" s="54">
        <f>Demanda!$C$17</f>
        <v>3.456E-2</v>
      </c>
    </row>
    <row r="22" spans="2:15" ht="15.75">
      <c r="B22" s="85"/>
      <c r="C22" s="86"/>
      <c r="D22" s="86"/>
    </row>
    <row r="23" spans="2:15">
      <c r="B23" s="11"/>
      <c r="C23" s="11" t="s">
        <v>163</v>
      </c>
      <c r="D23" s="11" t="s">
        <v>164</v>
      </c>
      <c r="E23" s="11" t="s">
        <v>165</v>
      </c>
      <c r="F23" s="11" t="s">
        <v>166</v>
      </c>
      <c r="G23" s="11" t="s">
        <v>167</v>
      </c>
      <c r="H23" s="11" t="s">
        <v>168</v>
      </c>
      <c r="I23" s="11" t="s">
        <v>169</v>
      </c>
      <c r="J23" s="11" t="s">
        <v>170</v>
      </c>
      <c r="K23" s="11" t="s">
        <v>171</v>
      </c>
      <c r="L23" s="11" t="s">
        <v>172</v>
      </c>
      <c r="M23" s="11" t="s">
        <v>173</v>
      </c>
      <c r="N23" s="11" t="s">
        <v>174</v>
      </c>
    </row>
    <row r="24" spans="2:15">
      <c r="B24" s="11" t="s">
        <v>154</v>
      </c>
      <c r="C24" s="91">
        <f>Datos!$C$25</f>
        <v>475.20000000000005</v>
      </c>
      <c r="D24" s="91">
        <f>Datos!$C$25</f>
        <v>475.20000000000005</v>
      </c>
      <c r="E24" s="91">
        <f>Datos!$C$25</f>
        <v>475.20000000000005</v>
      </c>
      <c r="F24" s="91">
        <f>Datos!$C$25</f>
        <v>475.20000000000005</v>
      </c>
      <c r="G24" s="91">
        <f>Datos!$C$25</f>
        <v>475.20000000000005</v>
      </c>
      <c r="H24" s="91">
        <f>Datos!$C$25</f>
        <v>475.20000000000005</v>
      </c>
      <c r="I24" s="91">
        <f>Datos!$C$25</f>
        <v>475.20000000000005</v>
      </c>
      <c r="J24" s="91">
        <f>Datos!$C$25</f>
        <v>475.20000000000005</v>
      </c>
      <c r="K24" s="91">
        <f>Datos!$C$25</f>
        <v>475.20000000000005</v>
      </c>
      <c r="L24" s="91">
        <f>Datos!$C$25</f>
        <v>475.20000000000005</v>
      </c>
      <c r="M24" s="91">
        <f>Datos!$C$25</f>
        <v>475.20000000000005</v>
      </c>
      <c r="N24" s="91">
        <f>Datos!$C$25</f>
        <v>475.20000000000005</v>
      </c>
      <c r="O24" s="148">
        <f>SUM(C24:N24)</f>
        <v>5702.3999999999987</v>
      </c>
    </row>
    <row r="25" spans="2:15">
      <c r="B25" s="11" t="s">
        <v>257</v>
      </c>
      <c r="C25" s="91">
        <f t="shared" ref="C25:N25" si="1">($C$31*0.5)+$C$31</f>
        <v>3.7125000000000004</v>
      </c>
      <c r="D25" s="91">
        <f t="shared" si="1"/>
        <v>3.7125000000000004</v>
      </c>
      <c r="E25" s="91">
        <f t="shared" si="1"/>
        <v>3.7125000000000004</v>
      </c>
      <c r="F25" s="91">
        <f t="shared" si="1"/>
        <v>3.7125000000000004</v>
      </c>
      <c r="G25" s="91">
        <f t="shared" si="1"/>
        <v>3.7125000000000004</v>
      </c>
      <c r="H25" s="91">
        <f t="shared" si="1"/>
        <v>3.7125000000000004</v>
      </c>
      <c r="I25" s="91">
        <f t="shared" si="1"/>
        <v>3.7125000000000004</v>
      </c>
      <c r="J25" s="91">
        <f t="shared" si="1"/>
        <v>3.7125000000000004</v>
      </c>
      <c r="K25" s="91">
        <f t="shared" si="1"/>
        <v>3.7125000000000004</v>
      </c>
      <c r="L25" s="91">
        <f t="shared" si="1"/>
        <v>3.7125000000000004</v>
      </c>
      <c r="M25" s="91">
        <f t="shared" si="1"/>
        <v>3.7125000000000004</v>
      </c>
      <c r="N25" s="91">
        <f t="shared" si="1"/>
        <v>3.7125000000000004</v>
      </c>
      <c r="O25" s="148">
        <f>SUM(C25:N25)</f>
        <v>44.54999999999999</v>
      </c>
    </row>
    <row r="26" spans="2:15">
      <c r="B26" s="147" t="s">
        <v>254</v>
      </c>
      <c r="C26" s="149">
        <f>O26/12</f>
        <v>478.91249999999991</v>
      </c>
      <c r="O26" s="148">
        <f>SUM(O24:O25)</f>
        <v>5746.9499999999989</v>
      </c>
    </row>
    <row r="27" spans="2:15">
      <c r="B27" s="147" t="s">
        <v>255</v>
      </c>
      <c r="C27" s="149">
        <f>C24</f>
        <v>475.20000000000005</v>
      </c>
    </row>
    <row r="28" spans="2:15">
      <c r="B28" s="147" t="s">
        <v>256</v>
      </c>
      <c r="C28" s="149">
        <f>C24</f>
        <v>475.20000000000005</v>
      </c>
    </row>
    <row r="31" spans="2:15">
      <c r="B31" t="s">
        <v>258</v>
      </c>
      <c r="C31">
        <f>(C24/8)/24</f>
        <v>2.4750000000000001</v>
      </c>
    </row>
  </sheetData>
  <mergeCells count="10">
    <mergeCell ref="B6:E6"/>
    <mergeCell ref="B13:C13"/>
    <mergeCell ref="G6:J6"/>
    <mergeCell ref="G13:H13"/>
    <mergeCell ref="G7:H7"/>
    <mergeCell ref="G8:H8"/>
    <mergeCell ref="G9:H9"/>
    <mergeCell ref="G10:H10"/>
    <mergeCell ref="G11:H11"/>
    <mergeCell ref="G12:H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36"/>
  <sheetViews>
    <sheetView topLeftCell="A11" workbookViewId="0">
      <selection activeCell="D22" sqref="D22"/>
    </sheetView>
  </sheetViews>
  <sheetFormatPr baseColWidth="10" defaultRowHeight="15"/>
  <cols>
    <col min="2" max="2" width="25.5703125" bestFit="1" customWidth="1"/>
  </cols>
  <sheetData>
    <row r="2" spans="2:9" ht="15.75" thickBot="1"/>
    <row r="3" spans="2:9" ht="18.75">
      <c r="B3" s="196" t="s">
        <v>132</v>
      </c>
      <c r="C3" s="196"/>
      <c r="D3" s="196"/>
      <c r="F3" s="189" t="s">
        <v>251</v>
      </c>
      <c r="G3" s="190"/>
      <c r="H3" s="190"/>
      <c r="I3" s="191"/>
    </row>
    <row r="4" spans="2:9" ht="15.75">
      <c r="B4" s="12" t="s">
        <v>133</v>
      </c>
      <c r="C4" s="12" t="s">
        <v>19</v>
      </c>
      <c r="D4" s="12" t="s">
        <v>20</v>
      </c>
      <c r="F4" s="194" t="s">
        <v>252</v>
      </c>
      <c r="G4" s="195"/>
      <c r="H4" s="75" t="s">
        <v>19</v>
      </c>
      <c r="I4" s="76" t="s">
        <v>20</v>
      </c>
    </row>
    <row r="5" spans="2:9" ht="15.75">
      <c r="B5" s="141" t="s">
        <v>134</v>
      </c>
      <c r="C5" s="51"/>
      <c r="D5" s="51"/>
      <c r="F5" s="194" t="s">
        <v>253</v>
      </c>
      <c r="G5" s="195"/>
      <c r="H5" s="81">
        <f>7*2*24</f>
        <v>336</v>
      </c>
      <c r="I5" s="88">
        <f>H5*12</f>
        <v>4032</v>
      </c>
    </row>
    <row r="6" spans="2:9" ht="15.75">
      <c r="B6" s="142" t="s">
        <v>135</v>
      </c>
      <c r="C6" s="138">
        <f>SUM(Datos!D35:D41,Datos!D43,Datos!D44)</f>
        <v>5110</v>
      </c>
      <c r="D6" s="138">
        <f>C6*12</f>
        <v>61320</v>
      </c>
      <c r="F6" s="194" t="s">
        <v>254</v>
      </c>
      <c r="G6" s="195"/>
      <c r="H6" t="s">
        <v>243</v>
      </c>
      <c r="I6" s="81">
        <f>P33</f>
        <v>4630</v>
      </c>
    </row>
    <row r="7" spans="2:9" ht="15.75">
      <c r="B7" s="141" t="s">
        <v>237</v>
      </c>
      <c r="C7" s="51"/>
      <c r="D7" s="51"/>
      <c r="F7" s="194" t="s">
        <v>255</v>
      </c>
      <c r="G7" s="195"/>
      <c r="H7" t="s">
        <v>243</v>
      </c>
      <c r="I7" s="81">
        <f>Q33</f>
        <v>4630</v>
      </c>
    </row>
    <row r="8" spans="2:9" ht="15.75">
      <c r="B8" s="142" t="s">
        <v>136</v>
      </c>
      <c r="C8" s="139">
        <v>80</v>
      </c>
      <c r="D8" s="138">
        <f>C8*12</f>
        <v>960</v>
      </c>
      <c r="F8" s="194" t="s">
        <v>256</v>
      </c>
      <c r="G8" s="195"/>
      <c r="H8" t="s">
        <v>243</v>
      </c>
      <c r="I8" s="81">
        <f>R33</f>
        <v>4630</v>
      </c>
    </row>
    <row r="9" spans="2:9" ht="15.75">
      <c r="B9" s="142" t="s">
        <v>137</v>
      </c>
      <c r="C9" s="139">
        <v>100</v>
      </c>
      <c r="D9" s="138">
        <f>C9*12</f>
        <v>1200</v>
      </c>
      <c r="F9" s="194" t="s">
        <v>257</v>
      </c>
      <c r="G9" s="195"/>
      <c r="H9" s="81" t="s">
        <v>243</v>
      </c>
      <c r="I9" s="82"/>
    </row>
    <row r="10" spans="2:9" ht="16.5" thickBot="1">
      <c r="B10" s="142" t="s">
        <v>73</v>
      </c>
      <c r="C10" s="139">
        <v>60</v>
      </c>
      <c r="D10" s="138">
        <f>C10*12</f>
        <v>720</v>
      </c>
      <c r="F10" s="192" t="s">
        <v>21</v>
      </c>
      <c r="G10" s="193"/>
      <c r="H10" s="78"/>
      <c r="I10" s="79">
        <f>SUM(I5:I8)</f>
        <v>17922</v>
      </c>
    </row>
    <row r="11" spans="2:9">
      <c r="B11" s="143" t="s">
        <v>236</v>
      </c>
      <c r="C11" s="139">
        <v>40</v>
      </c>
      <c r="D11" s="146">
        <f>C11*12</f>
        <v>480</v>
      </c>
    </row>
    <row r="12" spans="2:9" ht="15.75">
      <c r="B12" s="141" t="s">
        <v>138</v>
      </c>
      <c r="C12" s="51"/>
      <c r="D12" s="51"/>
    </row>
    <row r="13" spans="2:9" ht="15.75">
      <c r="B13" s="142" t="s">
        <v>139</v>
      </c>
      <c r="C13" s="138">
        <f>Inversiones!K20</f>
        <v>200</v>
      </c>
      <c r="D13" s="138">
        <f>C13*12</f>
        <v>2400</v>
      </c>
    </row>
    <row r="14" spans="2:9" ht="15.75">
      <c r="B14" s="142" t="s">
        <v>140</v>
      </c>
      <c r="C14" s="138">
        <v>50</v>
      </c>
      <c r="D14" s="138">
        <f>C14*12</f>
        <v>600</v>
      </c>
    </row>
    <row r="15" spans="2:9" ht="15.75">
      <c r="B15" s="141" t="s">
        <v>235</v>
      </c>
      <c r="C15" s="51"/>
      <c r="D15" s="51"/>
    </row>
    <row r="16" spans="2:9">
      <c r="B16" s="143" t="s">
        <v>238</v>
      </c>
      <c r="C16" s="51" t="s">
        <v>243</v>
      </c>
      <c r="D16" s="51">
        <v>8500</v>
      </c>
    </row>
    <row r="17" spans="2:18">
      <c r="B17" s="143" t="s">
        <v>239</v>
      </c>
      <c r="C17" s="51" t="s">
        <v>243</v>
      </c>
      <c r="D17" s="51">
        <v>1200</v>
      </c>
    </row>
    <row r="18" spans="2:18">
      <c r="B18" s="143" t="s">
        <v>240</v>
      </c>
      <c r="C18" s="51" t="s">
        <v>243</v>
      </c>
      <c r="D18" s="51">
        <v>1000</v>
      </c>
    </row>
    <row r="19" spans="2:18">
      <c r="B19" s="69" t="s">
        <v>278</v>
      </c>
      <c r="C19" s="136" t="s">
        <v>243</v>
      </c>
      <c r="D19" s="51">
        <v>1500</v>
      </c>
      <c r="F19" t="s">
        <v>261</v>
      </c>
    </row>
    <row r="20" spans="2:18" ht="15.75">
      <c r="B20" s="141" t="s">
        <v>235</v>
      </c>
      <c r="C20" s="51"/>
      <c r="D20" s="51"/>
    </row>
    <row r="21" spans="2:18">
      <c r="B21" s="144" t="s">
        <v>241</v>
      </c>
      <c r="C21" s="51" t="s">
        <v>243</v>
      </c>
      <c r="D21" s="51">
        <f>6*35</f>
        <v>210</v>
      </c>
      <c r="F21" t="s">
        <v>242</v>
      </c>
    </row>
    <row r="22" spans="2:18" ht="15.75">
      <c r="B22" s="145" t="s">
        <v>21</v>
      </c>
      <c r="C22" s="140">
        <f>SUM(C6:C21)+H5</f>
        <v>5976</v>
      </c>
      <c r="D22" s="140">
        <f>(C22*12)+I6+I7+I8+D19</f>
        <v>87102</v>
      </c>
    </row>
    <row r="23" spans="2:18" ht="15.75">
      <c r="B23" s="145" t="s">
        <v>141</v>
      </c>
      <c r="C23" s="72"/>
      <c r="D23" s="72"/>
    </row>
    <row r="25" spans="2:18">
      <c r="B25" s="11"/>
      <c r="C25" s="11" t="s">
        <v>163</v>
      </c>
      <c r="D25" s="11" t="s">
        <v>164</v>
      </c>
      <c r="E25" s="11" t="s">
        <v>165</v>
      </c>
      <c r="F25" s="11" t="s">
        <v>166</v>
      </c>
      <c r="G25" s="11" t="s">
        <v>167</v>
      </c>
      <c r="H25" s="11" t="s">
        <v>168</v>
      </c>
      <c r="I25" s="11" t="s">
        <v>169</v>
      </c>
      <c r="J25" s="11" t="s">
        <v>170</v>
      </c>
      <c r="K25" s="11" t="s">
        <v>171</v>
      </c>
      <c r="L25" s="11" t="s">
        <v>172</v>
      </c>
      <c r="M25" s="11" t="s">
        <v>173</v>
      </c>
      <c r="N25" s="11" t="s">
        <v>174</v>
      </c>
      <c r="O25" s="150" t="s">
        <v>20</v>
      </c>
      <c r="P25" s="147" t="s">
        <v>254</v>
      </c>
      <c r="Q25" s="147" t="s">
        <v>255</v>
      </c>
      <c r="R25" s="147" t="s">
        <v>256</v>
      </c>
    </row>
    <row r="26" spans="2:18">
      <c r="B26" s="69" t="s">
        <v>144</v>
      </c>
      <c r="C26" s="91">
        <f>Datos!$D$35</f>
        <v>1200</v>
      </c>
      <c r="D26" s="91">
        <f>Datos!$D$35</f>
        <v>1200</v>
      </c>
      <c r="E26" s="91">
        <f>Datos!$D$35</f>
        <v>1200</v>
      </c>
      <c r="F26" s="91">
        <f>Datos!$D$35</f>
        <v>1200</v>
      </c>
      <c r="G26" s="91">
        <f>Datos!$D$35</f>
        <v>1200</v>
      </c>
      <c r="H26" s="91">
        <f>Datos!$D$35</f>
        <v>1200</v>
      </c>
      <c r="I26" s="91">
        <f>Datos!$D$35</f>
        <v>1200</v>
      </c>
      <c r="J26" s="91">
        <f>Datos!$D$35</f>
        <v>1200</v>
      </c>
      <c r="K26" s="91">
        <f>Datos!$D$35</f>
        <v>1200</v>
      </c>
      <c r="L26" s="91">
        <f>Datos!$D$35</f>
        <v>1200</v>
      </c>
      <c r="M26" s="91">
        <f>Datos!$D$35</f>
        <v>1200</v>
      </c>
      <c r="N26" s="91">
        <f>Datos!$D$35</f>
        <v>1200</v>
      </c>
      <c r="O26" s="148">
        <f>SUM(C26:N26)</f>
        <v>14400</v>
      </c>
      <c r="P26" s="148">
        <f>O26/12</f>
        <v>1200</v>
      </c>
      <c r="Q26" s="148">
        <f>P26</f>
        <v>1200</v>
      </c>
      <c r="R26" s="148">
        <f>Q26</f>
        <v>1200</v>
      </c>
    </row>
    <row r="27" spans="2:18">
      <c r="B27" s="69" t="s">
        <v>145</v>
      </c>
      <c r="C27" s="91">
        <f>Datos!$D$36</f>
        <v>800</v>
      </c>
      <c r="D27" s="91">
        <f>Datos!$D$36</f>
        <v>800</v>
      </c>
      <c r="E27" s="91">
        <f>Datos!$D$36</f>
        <v>800</v>
      </c>
      <c r="F27" s="91">
        <f>Datos!$D$36</f>
        <v>800</v>
      </c>
      <c r="G27" s="91">
        <f>Datos!$D$36</f>
        <v>800</v>
      </c>
      <c r="H27" s="91">
        <f>Datos!$D$36</f>
        <v>800</v>
      </c>
      <c r="I27" s="91">
        <f>Datos!$D$36</f>
        <v>800</v>
      </c>
      <c r="J27" s="91">
        <f>Datos!$D$36</f>
        <v>800</v>
      </c>
      <c r="K27" s="91">
        <f>Datos!$D$36</f>
        <v>800</v>
      </c>
      <c r="L27" s="91">
        <f>Datos!$D$36</f>
        <v>800</v>
      </c>
      <c r="M27" s="91">
        <f>Datos!$D$36</f>
        <v>800</v>
      </c>
      <c r="N27" s="91">
        <f>Datos!$D$36</f>
        <v>800</v>
      </c>
      <c r="O27" s="148">
        <f t="shared" ref="O27:O32" si="0">SUM(C27:N27)</f>
        <v>9600</v>
      </c>
      <c r="P27" s="148">
        <f t="shared" ref="P27:P32" si="1">O27/12</f>
        <v>800</v>
      </c>
      <c r="Q27" s="148">
        <f t="shared" ref="Q27:R32" si="2">P27</f>
        <v>800</v>
      </c>
      <c r="R27" s="148">
        <f t="shared" si="2"/>
        <v>800</v>
      </c>
    </row>
    <row r="28" spans="2:18">
      <c r="B28" s="69" t="s">
        <v>146</v>
      </c>
      <c r="C28" s="15">
        <f>Datos!$D$37</f>
        <v>800</v>
      </c>
      <c r="D28" s="15">
        <f>Datos!$D$37</f>
        <v>800</v>
      </c>
      <c r="E28" s="15">
        <f>Datos!$D$37</f>
        <v>800</v>
      </c>
      <c r="F28" s="15">
        <f>Datos!$D$37</f>
        <v>800</v>
      </c>
      <c r="G28" s="15">
        <f>Datos!$D$37</f>
        <v>800</v>
      </c>
      <c r="H28" s="15">
        <f>Datos!$D$37</f>
        <v>800</v>
      </c>
      <c r="I28" s="15">
        <f>Datos!$D$37</f>
        <v>800</v>
      </c>
      <c r="J28" s="15">
        <f>Datos!$D$37</f>
        <v>800</v>
      </c>
      <c r="K28" s="15">
        <f>Datos!$D$37</f>
        <v>800</v>
      </c>
      <c r="L28" s="15">
        <f>Datos!$D$37</f>
        <v>800</v>
      </c>
      <c r="M28" s="15">
        <f>Datos!$D$37</f>
        <v>800</v>
      </c>
      <c r="N28" s="15">
        <f>Datos!$D$37</f>
        <v>800</v>
      </c>
      <c r="O28" s="148">
        <f t="shared" si="0"/>
        <v>9600</v>
      </c>
      <c r="P28" s="148">
        <f t="shared" si="1"/>
        <v>800</v>
      </c>
      <c r="Q28" s="148">
        <f t="shared" si="2"/>
        <v>800</v>
      </c>
      <c r="R28" s="148">
        <f t="shared" si="2"/>
        <v>800</v>
      </c>
    </row>
    <row r="29" spans="2:18">
      <c r="B29" s="69" t="s">
        <v>150</v>
      </c>
      <c r="C29" s="15">
        <f>Datos!$D$38</f>
        <v>800</v>
      </c>
      <c r="D29" s="15">
        <f>Datos!$D$38</f>
        <v>800</v>
      </c>
      <c r="E29" s="15">
        <f>Datos!$D$38</f>
        <v>800</v>
      </c>
      <c r="F29" s="15">
        <f>Datos!$D$38</f>
        <v>800</v>
      </c>
      <c r="G29" s="15">
        <f>Datos!$D$38</f>
        <v>800</v>
      </c>
      <c r="H29" s="15">
        <f>Datos!$D$38</f>
        <v>800</v>
      </c>
      <c r="I29" s="15">
        <f>Datos!$D$38</f>
        <v>800</v>
      </c>
      <c r="J29" s="15">
        <f>Datos!$D$38</f>
        <v>800</v>
      </c>
      <c r="K29" s="15">
        <f>Datos!$D$38</f>
        <v>800</v>
      </c>
      <c r="L29" s="15">
        <f>Datos!$D$38</f>
        <v>800</v>
      </c>
      <c r="M29" s="15">
        <f>Datos!$D$38</f>
        <v>800</v>
      </c>
      <c r="N29" s="15">
        <f>Datos!$D$38</f>
        <v>800</v>
      </c>
      <c r="O29" s="148">
        <f t="shared" si="0"/>
        <v>9600</v>
      </c>
      <c r="P29" s="148">
        <f t="shared" si="1"/>
        <v>800</v>
      </c>
      <c r="Q29" s="148">
        <f t="shared" si="2"/>
        <v>800</v>
      </c>
      <c r="R29" s="148">
        <f t="shared" si="2"/>
        <v>800</v>
      </c>
    </row>
    <row r="30" spans="2:18">
      <c r="B30" s="69" t="s">
        <v>147</v>
      </c>
      <c r="C30" s="15">
        <f>Datos!$D$39</f>
        <v>500</v>
      </c>
      <c r="D30" s="15">
        <f>Datos!$D$39</f>
        <v>500</v>
      </c>
      <c r="E30" s="15">
        <f>Datos!$D$39</f>
        <v>500</v>
      </c>
      <c r="F30" s="15">
        <f>Datos!$D$39</f>
        <v>500</v>
      </c>
      <c r="G30" s="15">
        <f>Datos!$D$39</f>
        <v>500</v>
      </c>
      <c r="H30" s="15">
        <f>Datos!$D$39</f>
        <v>500</v>
      </c>
      <c r="I30" s="15">
        <f>Datos!$D$39</f>
        <v>500</v>
      </c>
      <c r="J30" s="15">
        <f>Datos!$D$39</f>
        <v>500</v>
      </c>
      <c r="K30" s="15">
        <f>Datos!$D$39</f>
        <v>500</v>
      </c>
      <c r="L30" s="15">
        <f>Datos!$D$39</f>
        <v>500</v>
      </c>
      <c r="M30" s="15">
        <f>Datos!$D$39</f>
        <v>500</v>
      </c>
      <c r="N30" s="15">
        <f>Datos!$D$39</f>
        <v>500</v>
      </c>
      <c r="O30" s="148">
        <f t="shared" si="0"/>
        <v>6000</v>
      </c>
      <c r="P30" s="148">
        <f t="shared" si="1"/>
        <v>500</v>
      </c>
      <c r="Q30" s="148">
        <f t="shared" si="2"/>
        <v>500</v>
      </c>
      <c r="R30" s="148">
        <f t="shared" si="2"/>
        <v>500</v>
      </c>
    </row>
    <row r="31" spans="2:18">
      <c r="B31" s="69" t="s">
        <v>148</v>
      </c>
      <c r="C31" s="15">
        <f>Datos!$D$40</f>
        <v>280</v>
      </c>
      <c r="D31" s="15">
        <f>Datos!$D$40</f>
        <v>280</v>
      </c>
      <c r="E31" s="15">
        <f>Datos!$D$40</f>
        <v>280</v>
      </c>
      <c r="F31" s="15">
        <f>Datos!$D$40</f>
        <v>280</v>
      </c>
      <c r="G31" s="15">
        <f>Datos!$D$40</f>
        <v>280</v>
      </c>
      <c r="H31" s="15">
        <f>Datos!$D$40</f>
        <v>280</v>
      </c>
      <c r="I31" s="15">
        <f>Datos!$D$40</f>
        <v>280</v>
      </c>
      <c r="J31" s="15">
        <f>Datos!$D$40</f>
        <v>280</v>
      </c>
      <c r="K31" s="15">
        <f>Datos!$D$40</f>
        <v>280</v>
      </c>
      <c r="L31" s="15">
        <f>Datos!$D$40</f>
        <v>280</v>
      </c>
      <c r="M31" s="15">
        <f>Datos!$D$40</f>
        <v>280</v>
      </c>
      <c r="N31" s="15">
        <f>Datos!$D$40</f>
        <v>280</v>
      </c>
      <c r="O31" s="148">
        <f t="shared" si="0"/>
        <v>3360</v>
      </c>
      <c r="P31" s="148">
        <f t="shared" si="1"/>
        <v>280</v>
      </c>
      <c r="Q31" s="148">
        <f t="shared" si="2"/>
        <v>280</v>
      </c>
      <c r="R31" s="148">
        <f t="shared" si="2"/>
        <v>280</v>
      </c>
    </row>
    <row r="32" spans="2:18">
      <c r="B32" s="69" t="s">
        <v>149</v>
      </c>
      <c r="C32" s="15">
        <f>Datos!$D$41</f>
        <v>250</v>
      </c>
      <c r="D32" s="15">
        <f>Datos!$D$41</f>
        <v>250</v>
      </c>
      <c r="E32" s="15">
        <f>Datos!$D$41</f>
        <v>250</v>
      </c>
      <c r="F32" s="15">
        <f>Datos!$D$41</f>
        <v>250</v>
      </c>
      <c r="G32" s="15">
        <f>Datos!$D$41</f>
        <v>250</v>
      </c>
      <c r="H32" s="15">
        <f>Datos!$D$41</f>
        <v>250</v>
      </c>
      <c r="I32" s="15">
        <f>Datos!$D$41</f>
        <v>250</v>
      </c>
      <c r="J32" s="15">
        <f>Datos!$D$41</f>
        <v>250</v>
      </c>
      <c r="K32" s="15">
        <f>Datos!$D$41</f>
        <v>250</v>
      </c>
      <c r="L32" s="15">
        <f>Datos!$D$41</f>
        <v>250</v>
      </c>
      <c r="M32" s="15">
        <f>Datos!$D$41</f>
        <v>250</v>
      </c>
      <c r="N32" s="15">
        <f>Datos!$D$41</f>
        <v>250</v>
      </c>
      <c r="O32" s="148">
        <f t="shared" si="0"/>
        <v>3000</v>
      </c>
      <c r="P32" s="148">
        <f t="shared" si="1"/>
        <v>250</v>
      </c>
      <c r="Q32" s="148">
        <f t="shared" si="2"/>
        <v>250</v>
      </c>
      <c r="R32" s="148">
        <f t="shared" si="2"/>
        <v>250</v>
      </c>
    </row>
    <row r="33" spans="2:18">
      <c r="B33" s="147"/>
      <c r="C33" s="149"/>
      <c r="P33" s="148">
        <f>SUM(P26:P32)</f>
        <v>4630</v>
      </c>
      <c r="Q33" s="148">
        <f>SUM(Q26:Q32)</f>
        <v>4630</v>
      </c>
      <c r="R33" s="148">
        <f>SUM(R26:R32)</f>
        <v>4630</v>
      </c>
    </row>
    <row r="34" spans="2:18">
      <c r="B34" s="147"/>
      <c r="C34" s="149"/>
    </row>
    <row r="35" spans="2:18">
      <c r="B35" s="147"/>
      <c r="C35" s="149"/>
    </row>
    <row r="36" spans="2:18">
      <c r="R36" s="148">
        <f>SUM(P33:R33)</f>
        <v>13890</v>
      </c>
    </row>
  </sheetData>
  <mergeCells count="9">
    <mergeCell ref="F7:G7"/>
    <mergeCell ref="F8:G8"/>
    <mergeCell ref="F9:G9"/>
    <mergeCell ref="F10:G10"/>
    <mergeCell ref="B3:D3"/>
    <mergeCell ref="F3:I3"/>
    <mergeCell ref="F4:G4"/>
    <mergeCell ref="F5:G5"/>
    <mergeCell ref="F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3:M28"/>
  <sheetViews>
    <sheetView topLeftCell="A6" workbookViewId="0">
      <selection activeCell="F17" sqref="F17"/>
    </sheetView>
  </sheetViews>
  <sheetFormatPr baseColWidth="10" defaultRowHeight="15"/>
  <cols>
    <col min="2" max="2" width="20.7109375" bestFit="1" customWidth="1"/>
    <col min="3" max="3" width="12.7109375" bestFit="1" customWidth="1"/>
    <col min="4" max="4" width="14.140625" bestFit="1" customWidth="1"/>
    <col min="6" max="6" width="12.7109375" bestFit="1" customWidth="1"/>
    <col min="8" max="8" width="25.28515625" bestFit="1" customWidth="1"/>
    <col min="9" max="9" width="12.7109375" bestFit="1" customWidth="1"/>
    <col min="10" max="10" width="13.5703125" bestFit="1" customWidth="1"/>
    <col min="13" max="13" width="16.5703125" bestFit="1" customWidth="1"/>
  </cols>
  <sheetData>
    <row r="3" spans="2:13">
      <c r="B3" s="163"/>
      <c r="C3" s="163"/>
      <c r="D3" s="163"/>
      <c r="E3" s="163"/>
    </row>
    <row r="4" spans="2:13">
      <c r="B4" s="198" t="s">
        <v>75</v>
      </c>
      <c r="C4" s="199"/>
      <c r="H4" s="206" t="s">
        <v>96</v>
      </c>
      <c r="I4" s="206"/>
      <c r="J4" s="206"/>
      <c r="K4" s="206"/>
      <c r="L4" s="206"/>
      <c r="M4" s="206"/>
    </row>
    <row r="5" spans="2:13">
      <c r="B5" s="11" t="s">
        <v>76</v>
      </c>
      <c r="C5" s="11">
        <v>1200</v>
      </c>
      <c r="H5" s="6" t="s">
        <v>97</v>
      </c>
      <c r="I5" s="6" t="s">
        <v>71</v>
      </c>
      <c r="J5" s="6" t="s">
        <v>98</v>
      </c>
      <c r="K5" s="6" t="s">
        <v>99</v>
      </c>
      <c r="L5" s="6" t="s">
        <v>100</v>
      </c>
      <c r="M5" s="6" t="s">
        <v>101</v>
      </c>
    </row>
    <row r="6" spans="2:13">
      <c r="B6" s="11" t="s">
        <v>77</v>
      </c>
      <c r="C6" s="11">
        <f>C7/C5</f>
        <v>75</v>
      </c>
      <c r="H6" s="11" t="s">
        <v>102</v>
      </c>
      <c r="I6" s="11">
        <v>1</v>
      </c>
      <c r="J6" s="11">
        <f>-'Tamaño optimo'!$E$5</f>
        <v>21000</v>
      </c>
      <c r="K6" s="11">
        <f>I6*J6</f>
        <v>21000</v>
      </c>
      <c r="L6" s="11" t="s">
        <v>111</v>
      </c>
      <c r="M6" s="65">
        <v>0.5</v>
      </c>
    </row>
    <row r="7" spans="2:13">
      <c r="B7" s="11" t="s">
        <v>21</v>
      </c>
      <c r="C7" s="66">
        <v>90000</v>
      </c>
      <c r="H7" s="11" t="s">
        <v>103</v>
      </c>
      <c r="I7" s="11">
        <v>1</v>
      </c>
      <c r="J7" s="11">
        <f>76460/2</f>
        <v>38230</v>
      </c>
      <c r="K7" s="11">
        <f>I7*J7</f>
        <v>38230</v>
      </c>
      <c r="L7" s="11" t="s">
        <v>111</v>
      </c>
      <c r="M7" s="65">
        <v>0.5</v>
      </c>
    </row>
    <row r="8" spans="2:13">
      <c r="H8" s="11" t="s">
        <v>105</v>
      </c>
      <c r="I8" s="11">
        <v>1</v>
      </c>
      <c r="J8" s="11">
        <v>8000</v>
      </c>
      <c r="K8" s="11">
        <f>I8*J8</f>
        <v>8000</v>
      </c>
      <c r="L8" s="11" t="s">
        <v>111</v>
      </c>
      <c r="M8" s="65">
        <v>0.5</v>
      </c>
    </row>
    <row r="9" spans="2:13">
      <c r="B9" s="198" t="s">
        <v>78</v>
      </c>
      <c r="C9" s="199"/>
      <c r="H9" s="11" t="s">
        <v>104</v>
      </c>
      <c r="I9" s="11">
        <v>16</v>
      </c>
      <c r="J9" s="11">
        <v>500</v>
      </c>
      <c r="K9" s="11">
        <f>I9*J9</f>
        <v>8000</v>
      </c>
      <c r="L9" s="11" t="s">
        <v>111</v>
      </c>
      <c r="M9" s="65">
        <v>0.5</v>
      </c>
    </row>
    <row r="10" spans="2:13">
      <c r="B10" s="11" t="s">
        <v>79</v>
      </c>
      <c r="C10" s="11">
        <v>900</v>
      </c>
      <c r="H10" s="207" t="s">
        <v>21</v>
      </c>
      <c r="I10" s="208"/>
      <c r="J10" s="209"/>
      <c r="K10" s="67">
        <f>SUM(K6:K9)</f>
        <v>75230</v>
      </c>
    </row>
    <row r="11" spans="2:13">
      <c r="B11" s="11" t="s">
        <v>80</v>
      </c>
      <c r="C11" s="11">
        <v>4299.32</v>
      </c>
    </row>
    <row r="12" spans="2:13">
      <c r="B12" s="11" t="s">
        <v>81</v>
      </c>
      <c r="C12" s="11">
        <v>11445.85</v>
      </c>
      <c r="H12" s="206" t="s">
        <v>283</v>
      </c>
      <c r="I12" s="206"/>
      <c r="J12" s="206"/>
      <c r="K12" s="206"/>
    </row>
    <row r="13" spans="2:13">
      <c r="B13" s="11" t="s">
        <v>21</v>
      </c>
      <c r="C13" s="67">
        <v>16645.169999999998</v>
      </c>
      <c r="H13" s="11"/>
      <c r="I13" s="6" t="s">
        <v>71</v>
      </c>
      <c r="J13" s="6" t="s">
        <v>98</v>
      </c>
      <c r="K13" s="6" t="s">
        <v>99</v>
      </c>
    </row>
    <row r="14" spans="2:13" ht="15.75" thickBot="1">
      <c r="H14" s="11" t="s">
        <v>112</v>
      </c>
      <c r="I14" s="11">
        <v>6</v>
      </c>
      <c r="J14" s="11">
        <v>500</v>
      </c>
      <c r="K14" s="11">
        <f>I14*J14</f>
        <v>3000</v>
      </c>
      <c r="M14" t="s">
        <v>118</v>
      </c>
    </row>
    <row r="15" spans="2:13">
      <c r="B15" s="200" t="s">
        <v>95</v>
      </c>
      <c r="C15" s="201"/>
      <c r="D15" s="201"/>
      <c r="E15" s="202"/>
      <c r="H15" s="11" t="s">
        <v>72</v>
      </c>
      <c r="I15" s="11">
        <v>6</v>
      </c>
      <c r="J15">
        <v>220</v>
      </c>
      <c r="K15" s="11">
        <f t="shared" ref="K15:K21" si="0">I15*J15</f>
        <v>1320</v>
      </c>
    </row>
    <row r="16" spans="2:13">
      <c r="B16" s="161"/>
      <c r="C16" s="11" t="s">
        <v>288</v>
      </c>
      <c r="D16" s="11" t="s">
        <v>289</v>
      </c>
      <c r="E16" s="132" t="s">
        <v>36</v>
      </c>
      <c r="H16" s="11" t="s">
        <v>113</v>
      </c>
      <c r="I16" s="11">
        <v>6</v>
      </c>
      <c r="J16" s="11">
        <v>65</v>
      </c>
      <c r="K16" s="11">
        <f t="shared" si="0"/>
        <v>390</v>
      </c>
    </row>
    <row r="17" spans="2:11">
      <c r="B17" s="161" t="s">
        <v>287</v>
      </c>
      <c r="C17" s="11">
        <v>936</v>
      </c>
      <c r="D17" s="80">
        <f>E17/C17</f>
        <v>399.5726495726496</v>
      </c>
      <c r="E17" s="132">
        <v>374000</v>
      </c>
      <c r="H17" s="11" t="s">
        <v>74</v>
      </c>
      <c r="I17" s="11">
        <v>3</v>
      </c>
      <c r="J17" s="11">
        <v>145</v>
      </c>
      <c r="K17" s="11">
        <f t="shared" si="0"/>
        <v>435</v>
      </c>
    </row>
    <row r="18" spans="2:11">
      <c r="B18" s="161" t="s">
        <v>232</v>
      </c>
      <c r="C18" s="11">
        <v>36</v>
      </c>
      <c r="D18" s="80">
        <f>E18/C18</f>
        <v>300</v>
      </c>
      <c r="E18" s="132">
        <v>10800</v>
      </c>
      <c r="H18" s="11" t="s">
        <v>114</v>
      </c>
      <c r="I18" s="11">
        <v>1</v>
      </c>
      <c r="J18" s="11">
        <v>550</v>
      </c>
      <c r="K18" s="11">
        <f t="shared" si="0"/>
        <v>550</v>
      </c>
    </row>
    <row r="19" spans="2:11" ht="15.75" thickBot="1">
      <c r="B19" s="203" t="s">
        <v>267</v>
      </c>
      <c r="C19" s="204"/>
      <c r="D19" s="205"/>
      <c r="E19" s="162">
        <f>SUM(E17:E18)</f>
        <v>384800</v>
      </c>
      <c r="H19" s="11" t="s">
        <v>115</v>
      </c>
      <c r="I19" s="11">
        <v>2</v>
      </c>
      <c r="J19" s="11">
        <v>35</v>
      </c>
      <c r="K19" s="11">
        <f t="shared" si="0"/>
        <v>70</v>
      </c>
    </row>
    <row r="20" spans="2:11">
      <c r="H20" s="19" t="s">
        <v>116</v>
      </c>
      <c r="I20" s="11"/>
      <c r="J20" s="11"/>
      <c r="K20" s="11">
        <v>200</v>
      </c>
    </row>
    <row r="21" spans="2:11">
      <c r="B21" s="197" t="s">
        <v>279</v>
      </c>
      <c r="C21" s="197"/>
      <c r="D21" s="137"/>
      <c r="H21" s="19" t="s">
        <v>117</v>
      </c>
      <c r="I21" s="11">
        <v>1</v>
      </c>
      <c r="J21" s="11">
        <v>3000</v>
      </c>
      <c r="K21" s="11">
        <f t="shared" si="0"/>
        <v>3000</v>
      </c>
    </row>
    <row r="22" spans="2:11">
      <c r="B22" t="s">
        <v>280</v>
      </c>
      <c r="C22" s="49">
        <f>C7</f>
        <v>90000</v>
      </c>
      <c r="K22" s="68">
        <f>SUM(K14:K21)</f>
        <v>8965</v>
      </c>
    </row>
    <row r="23" spans="2:11">
      <c r="B23" t="s">
        <v>281</v>
      </c>
      <c r="C23">
        <f>C13</f>
        <v>16645.169999999998</v>
      </c>
    </row>
    <row r="24" spans="2:11">
      <c r="B24" t="s">
        <v>282</v>
      </c>
      <c r="C24">
        <f>E19</f>
        <v>384800</v>
      </c>
    </row>
    <row r="25" spans="2:11">
      <c r="B25" t="s">
        <v>284</v>
      </c>
      <c r="C25">
        <f>K10</f>
        <v>75230</v>
      </c>
    </row>
    <row r="26" spans="2:11">
      <c r="B26" t="s">
        <v>285</v>
      </c>
      <c r="C26">
        <f>K22</f>
        <v>8965</v>
      </c>
    </row>
    <row r="27" spans="2:11">
      <c r="B27" t="s">
        <v>286</v>
      </c>
      <c r="C27">
        <f>(SUM(C22:C26)*1%)</f>
        <v>5756.4016999999994</v>
      </c>
    </row>
    <row r="28" spans="2:11">
      <c r="B28" t="s">
        <v>21</v>
      </c>
      <c r="C28" s="49">
        <f>SUM(C22:C27)</f>
        <v>581396.57169999997</v>
      </c>
      <c r="F28" s="49"/>
    </row>
  </sheetData>
  <mergeCells count="8">
    <mergeCell ref="B21:C21"/>
    <mergeCell ref="B9:C9"/>
    <mergeCell ref="B4:C4"/>
    <mergeCell ref="B15:E15"/>
    <mergeCell ref="B19:D19"/>
    <mergeCell ref="H4:M4"/>
    <mergeCell ref="H10:J10"/>
    <mergeCell ref="H12:K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N93"/>
  <sheetViews>
    <sheetView topLeftCell="A11" workbookViewId="0">
      <selection activeCell="E25" sqref="E25:N25"/>
    </sheetView>
  </sheetViews>
  <sheetFormatPr baseColWidth="10" defaultRowHeight="15"/>
  <cols>
    <col min="1" max="2" width="11.42578125" style="53"/>
    <col min="3" max="3" width="26.7109375" style="53" bestFit="1" customWidth="1"/>
    <col min="4" max="16384" width="11.42578125" style="53"/>
  </cols>
  <sheetData>
    <row r="1" spans="2:14" ht="18.75">
      <c r="C1" s="155" t="s">
        <v>227</v>
      </c>
    </row>
    <row r="2" spans="2:14">
      <c r="B2" s="131"/>
      <c r="C2" s="156" t="s">
        <v>228</v>
      </c>
      <c r="D2" s="99"/>
    </row>
    <row r="3" spans="2:14" ht="15" customHeight="1">
      <c r="B3" s="131"/>
      <c r="C3" s="157" t="s">
        <v>229</v>
      </c>
      <c r="D3" s="99"/>
    </row>
    <row r="4" spans="2:14">
      <c r="B4" s="131"/>
      <c r="C4" s="156" t="s">
        <v>230</v>
      </c>
      <c r="D4" s="99"/>
    </row>
    <row r="5" spans="2:14">
      <c r="C5" s="157" t="s">
        <v>231</v>
      </c>
    </row>
    <row r="6" spans="2:14">
      <c r="C6" s="156" t="s">
        <v>232</v>
      </c>
    </row>
    <row r="7" spans="2:14" ht="18.75">
      <c r="C7" s="157" t="s">
        <v>233</v>
      </c>
      <c r="D7" s="104"/>
      <c r="L7" s="104"/>
      <c r="M7" s="104"/>
    </row>
    <row r="8" spans="2:14" ht="15.75" thickBot="1">
      <c r="C8" s="158" t="s">
        <v>234</v>
      </c>
    </row>
    <row r="9" spans="2:14">
      <c r="D9" s="153"/>
    </row>
    <row r="10" spans="2:14"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spans="2:14" ht="15" customHeight="1"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2:14">
      <c r="C12" s="211" t="s">
        <v>270</v>
      </c>
      <c r="D12" s="211" t="s">
        <v>271</v>
      </c>
      <c r="E12" s="211" t="s">
        <v>272</v>
      </c>
      <c r="F12" s="211" t="s">
        <v>273</v>
      </c>
      <c r="G12" s="211" t="s">
        <v>274</v>
      </c>
      <c r="H12" s="211" t="s">
        <v>275</v>
      </c>
      <c r="I12" s="211" t="s">
        <v>276</v>
      </c>
      <c r="J12" s="153"/>
      <c r="K12" s="153"/>
      <c r="L12" s="153"/>
      <c r="M12" s="153"/>
      <c r="N12" s="153"/>
    </row>
    <row r="13" spans="2:14">
      <c r="C13" s="211"/>
      <c r="D13" s="211"/>
      <c r="E13" s="211"/>
      <c r="F13" s="211"/>
      <c r="G13" s="211"/>
      <c r="H13" s="211"/>
      <c r="I13" s="211"/>
      <c r="J13" s="153"/>
      <c r="K13" s="153"/>
      <c r="L13" s="153"/>
      <c r="M13" s="153"/>
      <c r="N13" s="153"/>
    </row>
    <row r="14" spans="2:14">
      <c r="C14" s="11" t="s">
        <v>97</v>
      </c>
      <c r="D14" s="152">
        <f>Inversiones!C25</f>
        <v>75230</v>
      </c>
      <c r="E14" s="136">
        <v>15</v>
      </c>
      <c r="F14" s="80">
        <f>+D14/E14</f>
        <v>5015.333333333333</v>
      </c>
      <c r="G14" s="136">
        <v>10</v>
      </c>
      <c r="H14" s="80">
        <f>+F14*G14</f>
        <v>50153.333333333328</v>
      </c>
      <c r="I14" s="80">
        <f>+H14</f>
        <v>50153.333333333328</v>
      </c>
      <c r="J14" s="153"/>
      <c r="K14" s="153"/>
      <c r="L14" s="153"/>
      <c r="M14" s="153"/>
      <c r="N14" s="153"/>
    </row>
    <row r="15" spans="2:14">
      <c r="C15" s="11" t="s">
        <v>230</v>
      </c>
      <c r="D15" s="152">
        <f>SUM(Inversiones!K14,Inversiones!K18)</f>
        <v>3550</v>
      </c>
      <c r="E15" s="136">
        <v>3</v>
      </c>
      <c r="F15" s="80">
        <f>+D15/E15</f>
        <v>1183.3333333333333</v>
      </c>
      <c r="G15" s="136">
        <v>3</v>
      </c>
      <c r="H15" s="80">
        <f>+F15*G15</f>
        <v>3550</v>
      </c>
      <c r="I15" s="80">
        <f>F15</f>
        <v>1183.3333333333333</v>
      </c>
      <c r="J15" s="154"/>
      <c r="K15" s="154"/>
      <c r="L15" s="154"/>
      <c r="M15" s="154"/>
      <c r="N15" s="154"/>
    </row>
    <row r="16" spans="2:14">
      <c r="C16" s="11" t="s">
        <v>290</v>
      </c>
      <c r="D16" s="152">
        <f>SUM(Inversiones!K15:K17)</f>
        <v>2145</v>
      </c>
      <c r="E16" s="136">
        <v>5</v>
      </c>
      <c r="F16" s="80">
        <f>+D16/E16</f>
        <v>429</v>
      </c>
      <c r="G16" s="136">
        <v>5</v>
      </c>
      <c r="H16" s="80">
        <f>+F16*G16</f>
        <v>2145</v>
      </c>
      <c r="I16" s="80">
        <f>F16</f>
        <v>429</v>
      </c>
      <c r="L16" s="100"/>
      <c r="M16" s="100"/>
    </row>
    <row r="17" spans="3:14">
      <c r="C17" s="11" t="s">
        <v>232</v>
      </c>
      <c r="D17" s="152">
        <f>Inversiones!E18</f>
        <v>10800</v>
      </c>
      <c r="E17" s="136">
        <v>20</v>
      </c>
      <c r="F17" s="80">
        <f>+D17/E17</f>
        <v>540</v>
      </c>
      <c r="G17" s="136">
        <v>10</v>
      </c>
      <c r="H17" s="80">
        <f>+F17*G17</f>
        <v>5400</v>
      </c>
      <c r="I17" s="80">
        <f>+H17</f>
        <v>5400</v>
      </c>
      <c r="K17" s="39"/>
      <c r="L17" s="100"/>
    </row>
    <row r="18" spans="3:14">
      <c r="C18" s="11"/>
      <c r="D18" s="212" t="s">
        <v>277</v>
      </c>
      <c r="E18" s="213"/>
      <c r="F18" s="159">
        <f>SUM(F14:F17)</f>
        <v>7167.6666666666661</v>
      </c>
      <c r="G18" s="214" t="s">
        <v>262</v>
      </c>
      <c r="H18" s="215"/>
      <c r="I18" s="164">
        <f>(SUM(I14:I17))*50%</f>
        <v>28582.833333333332</v>
      </c>
      <c r="K18" s="39"/>
      <c r="L18" s="100"/>
    </row>
    <row r="19" spans="3:14">
      <c r="K19" s="39"/>
      <c r="L19" s="100"/>
    </row>
    <row r="20" spans="3:14">
      <c r="D20" s="100"/>
      <c r="E20" s="100"/>
      <c r="F20" s="100"/>
      <c r="G20" s="100"/>
      <c r="K20" s="39"/>
      <c r="L20" s="100"/>
    </row>
    <row r="21" spans="3:14">
      <c r="C21" s="210" t="s">
        <v>264</v>
      </c>
      <c r="D21" s="210"/>
      <c r="E21" s="210"/>
      <c r="F21" s="210"/>
      <c r="G21" s="210"/>
      <c r="H21" s="210"/>
      <c r="I21" s="210"/>
      <c r="K21" s="103"/>
      <c r="L21" s="100"/>
    </row>
    <row r="22" spans="3:14">
      <c r="C22" s="151" t="s">
        <v>265</v>
      </c>
      <c r="D22" s="151" t="s">
        <v>266</v>
      </c>
      <c r="E22" s="151" t="s">
        <v>23</v>
      </c>
      <c r="F22" s="151" t="s">
        <v>24</v>
      </c>
      <c r="G22" s="151" t="s">
        <v>25</v>
      </c>
      <c r="H22" s="151" t="s">
        <v>26</v>
      </c>
      <c r="I22" s="151" t="s">
        <v>27</v>
      </c>
      <c r="J22" s="151" t="s">
        <v>28</v>
      </c>
      <c r="K22" s="151" t="s">
        <v>29</v>
      </c>
      <c r="L22" s="151" t="s">
        <v>30</v>
      </c>
      <c r="M22" s="151" t="s">
        <v>31</v>
      </c>
      <c r="N22" s="151" t="s">
        <v>32</v>
      </c>
    </row>
    <row r="23" spans="3:14">
      <c r="C23" s="11" t="s">
        <v>268</v>
      </c>
      <c r="D23" s="152">
        <v>1450</v>
      </c>
      <c r="E23" s="152">
        <f t="shared" ref="E23:N23" si="0">$D$23/10</f>
        <v>145</v>
      </c>
      <c r="F23" s="152">
        <f t="shared" si="0"/>
        <v>145</v>
      </c>
      <c r="G23" s="152">
        <f t="shared" si="0"/>
        <v>145</v>
      </c>
      <c r="H23" s="152">
        <f t="shared" si="0"/>
        <v>145</v>
      </c>
      <c r="I23" s="152">
        <f t="shared" si="0"/>
        <v>145</v>
      </c>
      <c r="J23" s="152">
        <f t="shared" si="0"/>
        <v>145</v>
      </c>
      <c r="K23" s="152">
        <f t="shared" si="0"/>
        <v>145</v>
      </c>
      <c r="L23" s="152">
        <f t="shared" si="0"/>
        <v>145</v>
      </c>
      <c r="M23" s="152">
        <f t="shared" si="0"/>
        <v>145</v>
      </c>
      <c r="N23" s="152">
        <f t="shared" si="0"/>
        <v>145</v>
      </c>
    </row>
    <row r="24" spans="3:14">
      <c r="C24" s="11" t="s">
        <v>269</v>
      </c>
      <c r="D24" s="152">
        <v>915</v>
      </c>
      <c r="E24" s="152">
        <f t="shared" ref="E24:N24" si="1">$D$24/10</f>
        <v>91.5</v>
      </c>
      <c r="F24" s="152">
        <f t="shared" si="1"/>
        <v>91.5</v>
      </c>
      <c r="G24" s="152">
        <f t="shared" si="1"/>
        <v>91.5</v>
      </c>
      <c r="H24" s="152">
        <f t="shared" si="1"/>
        <v>91.5</v>
      </c>
      <c r="I24" s="152">
        <f t="shared" si="1"/>
        <v>91.5</v>
      </c>
      <c r="J24" s="152">
        <f t="shared" si="1"/>
        <v>91.5</v>
      </c>
      <c r="K24" s="152">
        <f t="shared" si="1"/>
        <v>91.5</v>
      </c>
      <c r="L24" s="152">
        <f t="shared" si="1"/>
        <v>91.5</v>
      </c>
      <c r="M24" s="152">
        <f t="shared" si="1"/>
        <v>91.5</v>
      </c>
      <c r="N24" s="152">
        <f t="shared" si="1"/>
        <v>91.5</v>
      </c>
    </row>
    <row r="25" spans="3:14">
      <c r="C25" s="11" t="s">
        <v>267</v>
      </c>
      <c r="D25" s="160">
        <f>SUM(D23:D24)</f>
        <v>2365</v>
      </c>
      <c r="E25" s="160">
        <f t="shared" ref="E25:N25" si="2">$D$25/10</f>
        <v>236.5</v>
      </c>
      <c r="F25" s="160">
        <f t="shared" si="2"/>
        <v>236.5</v>
      </c>
      <c r="G25" s="160">
        <f t="shared" si="2"/>
        <v>236.5</v>
      </c>
      <c r="H25" s="160">
        <f t="shared" si="2"/>
        <v>236.5</v>
      </c>
      <c r="I25" s="160">
        <f t="shared" si="2"/>
        <v>236.5</v>
      </c>
      <c r="J25" s="160">
        <f t="shared" si="2"/>
        <v>236.5</v>
      </c>
      <c r="K25" s="160">
        <f t="shared" si="2"/>
        <v>236.5</v>
      </c>
      <c r="L25" s="160">
        <f t="shared" si="2"/>
        <v>236.5</v>
      </c>
      <c r="M25" s="160">
        <f t="shared" si="2"/>
        <v>236.5</v>
      </c>
      <c r="N25" s="160">
        <f t="shared" si="2"/>
        <v>236.5</v>
      </c>
    </row>
    <row r="26" spans="3:14">
      <c r="L26" s="100"/>
    </row>
    <row r="31" spans="3:14">
      <c r="K31" s="39"/>
      <c r="L31" s="100"/>
    </row>
    <row r="32" spans="3:14">
      <c r="K32" s="103"/>
      <c r="L32" s="100"/>
    </row>
    <row r="34" spans="4:7">
      <c r="D34" s="100"/>
      <c r="E34" s="100"/>
      <c r="F34" s="100"/>
      <c r="G34" s="100"/>
    </row>
    <row r="35" spans="4:7">
      <c r="D35" s="100"/>
      <c r="E35" s="100"/>
      <c r="F35" s="100"/>
      <c r="G35" s="100"/>
    </row>
    <row r="36" spans="4:7">
      <c r="D36" s="100"/>
      <c r="E36" s="100"/>
      <c r="F36" s="100"/>
      <c r="G36" s="100"/>
    </row>
    <row r="37" spans="4:7">
      <c r="D37" s="100"/>
      <c r="E37" s="100"/>
      <c r="F37" s="100"/>
      <c r="G37" s="100"/>
    </row>
    <row r="38" spans="4:7">
      <c r="D38" s="100"/>
      <c r="E38" s="100"/>
      <c r="F38" s="100"/>
      <c r="G38" s="100"/>
    </row>
    <row r="39" spans="4:7">
      <c r="D39" s="100"/>
      <c r="E39" s="100"/>
      <c r="F39" s="100"/>
      <c r="G39" s="100"/>
    </row>
    <row r="40" spans="4:7">
      <c r="D40" s="100"/>
      <c r="E40" s="100"/>
      <c r="F40" s="100"/>
      <c r="G40" s="100"/>
    </row>
    <row r="41" spans="4:7">
      <c r="D41" s="100"/>
      <c r="E41" s="100"/>
      <c r="F41" s="100"/>
      <c r="G41" s="100"/>
    </row>
    <row r="42" spans="4:7">
      <c r="D42" s="100"/>
      <c r="E42" s="100"/>
      <c r="F42" s="100"/>
      <c r="G42" s="100"/>
    </row>
    <row r="43" spans="4:7">
      <c r="D43" s="100"/>
      <c r="E43" s="100"/>
      <c r="F43" s="100"/>
      <c r="G43" s="100"/>
    </row>
    <row r="44" spans="4:7">
      <c r="D44" s="100"/>
      <c r="E44" s="100"/>
      <c r="F44" s="100"/>
      <c r="G44" s="100"/>
    </row>
    <row r="45" spans="4:7">
      <c r="D45" s="100"/>
      <c r="E45" s="100"/>
      <c r="F45" s="100"/>
      <c r="G45" s="100"/>
    </row>
    <row r="46" spans="4:7">
      <c r="D46" s="100"/>
      <c r="E46" s="100"/>
      <c r="F46" s="100"/>
      <c r="G46" s="100"/>
    </row>
    <row r="47" spans="4:7">
      <c r="D47" s="100"/>
      <c r="E47" s="100"/>
      <c r="F47" s="100"/>
      <c r="G47" s="100"/>
    </row>
    <row r="48" spans="4:7">
      <c r="D48" s="100"/>
      <c r="E48" s="100"/>
      <c r="F48" s="100"/>
      <c r="G48" s="100"/>
    </row>
    <row r="49" spans="4:7">
      <c r="D49" s="100"/>
      <c r="E49" s="100"/>
      <c r="F49" s="100"/>
      <c r="G49" s="100"/>
    </row>
    <row r="50" spans="4:7">
      <c r="D50" s="100"/>
      <c r="E50" s="100"/>
      <c r="F50" s="100"/>
      <c r="G50" s="100"/>
    </row>
    <row r="51" spans="4:7">
      <c r="D51" s="100"/>
      <c r="E51" s="100"/>
      <c r="F51" s="100"/>
      <c r="G51" s="100"/>
    </row>
    <row r="52" spans="4:7">
      <c r="D52" s="100"/>
      <c r="E52" s="100"/>
      <c r="F52" s="100"/>
      <c r="G52" s="100"/>
    </row>
    <row r="53" spans="4:7">
      <c r="D53" s="100"/>
      <c r="E53" s="100"/>
      <c r="F53" s="100"/>
      <c r="G53" s="100"/>
    </row>
    <row r="54" spans="4:7">
      <c r="D54" s="100"/>
      <c r="E54" s="100"/>
      <c r="F54" s="100"/>
      <c r="G54" s="100"/>
    </row>
    <row r="55" spans="4:7">
      <c r="D55" s="100"/>
      <c r="E55" s="100"/>
      <c r="F55" s="100"/>
      <c r="G55" s="100"/>
    </row>
    <row r="56" spans="4:7">
      <c r="D56" s="100"/>
      <c r="E56" s="100"/>
      <c r="F56" s="100"/>
      <c r="G56" s="100"/>
    </row>
    <row r="57" spans="4:7">
      <c r="D57" s="100"/>
      <c r="E57" s="100"/>
      <c r="F57" s="100"/>
      <c r="G57" s="100"/>
    </row>
    <row r="58" spans="4:7">
      <c r="D58" s="100"/>
      <c r="E58" s="100"/>
      <c r="F58" s="100"/>
      <c r="G58" s="100"/>
    </row>
    <row r="59" spans="4:7">
      <c r="D59" s="100"/>
      <c r="E59" s="100"/>
      <c r="F59" s="100"/>
      <c r="G59" s="100"/>
    </row>
    <row r="60" spans="4:7">
      <c r="D60" s="100"/>
      <c r="E60" s="100"/>
      <c r="F60" s="100"/>
      <c r="G60" s="100"/>
    </row>
    <row r="61" spans="4:7">
      <c r="D61" s="100"/>
      <c r="E61" s="100"/>
      <c r="F61" s="100"/>
      <c r="G61" s="100"/>
    </row>
    <row r="62" spans="4:7">
      <c r="D62" s="100"/>
      <c r="E62" s="100"/>
      <c r="F62" s="100"/>
      <c r="G62" s="100"/>
    </row>
    <row r="63" spans="4:7">
      <c r="D63" s="100"/>
      <c r="E63" s="100"/>
      <c r="F63" s="100"/>
      <c r="G63" s="100"/>
    </row>
    <row r="64" spans="4:7">
      <c r="D64" s="100"/>
      <c r="E64" s="100"/>
      <c r="F64" s="100"/>
      <c r="G64" s="100"/>
    </row>
    <row r="65" spans="4:7">
      <c r="D65" s="100"/>
      <c r="E65" s="100"/>
      <c r="F65" s="100"/>
      <c r="G65" s="100"/>
    </row>
    <row r="66" spans="4:7">
      <c r="D66" s="100"/>
      <c r="E66" s="100"/>
      <c r="F66" s="100"/>
      <c r="G66" s="100"/>
    </row>
    <row r="67" spans="4:7">
      <c r="D67" s="100"/>
      <c r="E67" s="100"/>
      <c r="F67" s="100"/>
      <c r="G67" s="100"/>
    </row>
    <row r="68" spans="4:7">
      <c r="D68" s="100"/>
      <c r="E68" s="100"/>
      <c r="F68" s="100"/>
      <c r="G68" s="100"/>
    </row>
    <row r="69" spans="4:7">
      <c r="D69" s="100"/>
      <c r="E69" s="100"/>
      <c r="F69" s="100"/>
      <c r="G69" s="100"/>
    </row>
    <row r="70" spans="4:7">
      <c r="D70" s="100"/>
      <c r="E70" s="100"/>
      <c r="F70" s="100"/>
      <c r="G70" s="100"/>
    </row>
    <row r="71" spans="4:7">
      <c r="D71" s="100"/>
      <c r="E71" s="100"/>
      <c r="F71" s="100"/>
      <c r="G71" s="100"/>
    </row>
    <row r="72" spans="4:7">
      <c r="D72" s="100"/>
      <c r="E72" s="100"/>
      <c r="F72" s="100"/>
      <c r="G72" s="100"/>
    </row>
    <row r="73" spans="4:7">
      <c r="D73" s="100"/>
      <c r="E73" s="100"/>
      <c r="F73" s="100"/>
      <c r="G73" s="100"/>
    </row>
    <row r="74" spans="4:7">
      <c r="D74" s="100"/>
      <c r="E74" s="100"/>
      <c r="F74" s="100"/>
      <c r="G74" s="100"/>
    </row>
    <row r="75" spans="4:7">
      <c r="D75" s="100"/>
      <c r="E75" s="100"/>
      <c r="F75" s="100"/>
      <c r="G75" s="100"/>
    </row>
    <row r="76" spans="4:7">
      <c r="D76" s="100"/>
      <c r="E76" s="100"/>
      <c r="F76" s="100"/>
      <c r="G76" s="100"/>
    </row>
    <row r="77" spans="4:7">
      <c r="D77" s="100"/>
      <c r="E77" s="100"/>
      <c r="F77" s="100"/>
      <c r="G77" s="100"/>
    </row>
    <row r="78" spans="4:7">
      <c r="D78" s="100"/>
      <c r="E78" s="100"/>
      <c r="F78" s="100"/>
      <c r="G78" s="100"/>
    </row>
    <row r="79" spans="4:7">
      <c r="D79" s="100"/>
      <c r="E79" s="100"/>
      <c r="F79" s="100"/>
      <c r="G79" s="100"/>
    </row>
    <row r="80" spans="4:7">
      <c r="D80" s="100"/>
      <c r="E80" s="100"/>
      <c r="F80" s="100"/>
      <c r="G80" s="100"/>
    </row>
    <row r="81" spans="4:7">
      <c r="D81" s="100"/>
      <c r="E81" s="100"/>
      <c r="F81" s="100"/>
      <c r="G81" s="100"/>
    </row>
    <row r="82" spans="4:7">
      <c r="D82" s="100"/>
      <c r="E82" s="100"/>
      <c r="F82" s="100"/>
      <c r="G82" s="100"/>
    </row>
    <row r="83" spans="4:7">
      <c r="D83" s="100"/>
      <c r="E83" s="100"/>
      <c r="F83" s="100"/>
      <c r="G83" s="100"/>
    </row>
    <row r="84" spans="4:7">
      <c r="D84" s="100"/>
      <c r="E84" s="100"/>
      <c r="F84" s="100"/>
      <c r="G84" s="100"/>
    </row>
    <row r="85" spans="4:7">
      <c r="D85" s="100"/>
      <c r="E85" s="100"/>
      <c r="F85" s="100"/>
      <c r="G85" s="100"/>
    </row>
    <row r="86" spans="4:7">
      <c r="D86" s="100"/>
      <c r="E86" s="100"/>
      <c r="F86" s="100"/>
      <c r="G86" s="100"/>
    </row>
    <row r="87" spans="4:7">
      <c r="D87" s="100"/>
      <c r="E87" s="100"/>
      <c r="F87" s="100"/>
      <c r="G87" s="100"/>
    </row>
    <row r="88" spans="4:7">
      <c r="D88" s="100"/>
      <c r="E88" s="100"/>
      <c r="F88" s="100"/>
      <c r="G88" s="100"/>
    </row>
    <row r="89" spans="4:7">
      <c r="D89" s="100"/>
      <c r="E89" s="100"/>
      <c r="F89" s="100"/>
      <c r="G89" s="100"/>
    </row>
    <row r="90" spans="4:7">
      <c r="D90" s="100"/>
      <c r="E90" s="100"/>
      <c r="F90" s="100"/>
      <c r="G90" s="100"/>
    </row>
    <row r="91" spans="4:7">
      <c r="D91" s="100"/>
      <c r="E91" s="100"/>
      <c r="F91" s="100"/>
      <c r="G91" s="100"/>
    </row>
    <row r="92" spans="4:7">
      <c r="D92" s="100"/>
      <c r="E92" s="100"/>
      <c r="F92" s="100"/>
      <c r="G92" s="100"/>
    </row>
    <row r="93" spans="4:7">
      <c r="D93" s="100"/>
      <c r="E93" s="100"/>
      <c r="F93" s="100"/>
    </row>
  </sheetData>
  <mergeCells count="10">
    <mergeCell ref="C21:I21"/>
    <mergeCell ref="H12:H13"/>
    <mergeCell ref="I12:I13"/>
    <mergeCell ref="D18:E18"/>
    <mergeCell ref="G18:H18"/>
    <mergeCell ref="C12:C13"/>
    <mergeCell ref="D12:D13"/>
    <mergeCell ref="E12:E13"/>
    <mergeCell ref="F12:F13"/>
    <mergeCell ref="G12:G13"/>
  </mergeCells>
  <pageMargins left="0.7" right="0.7" top="0.75" bottom="0.75" header="0.3" footer="0.3"/>
  <ignoredErrors>
    <ignoredError sqref="E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5:N10"/>
  <sheetViews>
    <sheetView topLeftCell="A3" workbookViewId="0">
      <selection activeCell="C7" sqref="C7"/>
    </sheetView>
  </sheetViews>
  <sheetFormatPr baseColWidth="10" defaultRowHeight="15"/>
  <cols>
    <col min="2" max="2" width="18.140625" bestFit="1" customWidth="1"/>
  </cols>
  <sheetData>
    <row r="5" spans="2:14">
      <c r="B5" s="11"/>
      <c r="C5" s="11" t="s">
        <v>163</v>
      </c>
      <c r="D5" s="11" t="s">
        <v>164</v>
      </c>
      <c r="E5" s="11" t="s">
        <v>165</v>
      </c>
      <c r="F5" s="11" t="s">
        <v>166</v>
      </c>
      <c r="G5" s="11" t="s">
        <v>167</v>
      </c>
      <c r="H5" s="11" t="s">
        <v>168</v>
      </c>
      <c r="I5" s="11" t="s">
        <v>169</v>
      </c>
      <c r="J5" s="11" t="s">
        <v>170</v>
      </c>
      <c r="K5" s="11" t="s">
        <v>171</v>
      </c>
      <c r="L5" s="11" t="s">
        <v>172</v>
      </c>
      <c r="M5" s="11" t="s">
        <v>173</v>
      </c>
      <c r="N5" s="11" t="s">
        <v>174</v>
      </c>
    </row>
    <row r="6" spans="2:14">
      <c r="B6" s="11" t="s">
        <v>175</v>
      </c>
      <c r="C6" s="91">
        <f>'Costos O.'!$D$13</f>
        <v>42995.968181818185</v>
      </c>
      <c r="D6" s="91">
        <f>'Costos O.'!$D$13</f>
        <v>42995.968181818185</v>
      </c>
      <c r="E6" s="91">
        <f>'Costos O.'!$D$13</f>
        <v>42995.968181818185</v>
      </c>
      <c r="F6" s="91">
        <f>'Costos O.'!$D$13</f>
        <v>42995.968181818185</v>
      </c>
      <c r="G6" s="91">
        <f>'Costos O.'!$D$13</f>
        <v>42995.968181818185</v>
      </c>
      <c r="H6" s="91">
        <f>'Costos O.'!$D$13</f>
        <v>42995.968181818185</v>
      </c>
      <c r="I6" s="91">
        <f>'Costos O.'!$D$13</f>
        <v>42995.968181818185</v>
      </c>
      <c r="J6" s="91">
        <f>'Costos O.'!$D$13</f>
        <v>42995.968181818185</v>
      </c>
      <c r="K6" s="91">
        <f>'Costos O.'!$D$13</f>
        <v>42995.968181818185</v>
      </c>
      <c r="L6" s="91">
        <f>'Costos O.'!$D$13</f>
        <v>42995.968181818185</v>
      </c>
      <c r="M6" s="91">
        <f>'Costos O.'!$D$13</f>
        <v>42995.968181818185</v>
      </c>
      <c r="N6" s="91">
        <f>'Costos O.'!$D$13</f>
        <v>42995.968181818185</v>
      </c>
    </row>
    <row r="7" spans="2:14">
      <c r="B7" s="11" t="s">
        <v>176</v>
      </c>
      <c r="C7" s="91">
        <f>'Costos N.O.'!$C$22</f>
        <v>5976</v>
      </c>
      <c r="D7" s="91">
        <f>'Costos N.O.'!$C$22</f>
        <v>5976</v>
      </c>
      <c r="E7" s="91">
        <f>'Costos N.O.'!$C$22</f>
        <v>5976</v>
      </c>
      <c r="F7" s="91">
        <f>'Costos N.O.'!$C$22</f>
        <v>5976</v>
      </c>
      <c r="G7" s="91">
        <f>'Costos N.O.'!$C$22</f>
        <v>5976</v>
      </c>
      <c r="H7" s="91">
        <f>'Costos N.O.'!$C$22</f>
        <v>5976</v>
      </c>
      <c r="I7" s="91">
        <f>'Costos N.O.'!$C$22</f>
        <v>5976</v>
      </c>
      <c r="J7" s="91">
        <f>'Costos N.O.'!$C$22</f>
        <v>5976</v>
      </c>
      <c r="K7" s="91">
        <f>'Costos N.O.'!$C$22</f>
        <v>5976</v>
      </c>
      <c r="L7" s="91">
        <f>'Costos N.O.'!$C$22</f>
        <v>5976</v>
      </c>
      <c r="M7" s="91">
        <f>'Costos N.O.'!$C$22</f>
        <v>5976</v>
      </c>
      <c r="N7" s="91">
        <f>'Costos N.O.'!$C$22</f>
        <v>5976</v>
      </c>
    </row>
    <row r="8" spans="2:14">
      <c r="B8" s="11" t="s">
        <v>177</v>
      </c>
      <c r="C8" s="92">
        <f>C6+C7</f>
        <v>48971.968181818185</v>
      </c>
      <c r="D8" s="91">
        <f t="shared" ref="D8:N8" si="0">D6+D7</f>
        <v>48971.968181818185</v>
      </c>
      <c r="E8" s="91">
        <f t="shared" si="0"/>
        <v>48971.968181818185</v>
      </c>
      <c r="F8" s="91">
        <f t="shared" si="0"/>
        <v>48971.968181818185</v>
      </c>
      <c r="G8" s="91">
        <f t="shared" si="0"/>
        <v>48971.968181818185</v>
      </c>
      <c r="H8" s="91">
        <f t="shared" si="0"/>
        <v>48971.968181818185</v>
      </c>
      <c r="I8" s="91">
        <f t="shared" si="0"/>
        <v>48971.968181818185</v>
      </c>
      <c r="J8" s="91">
        <f t="shared" si="0"/>
        <v>48971.968181818185</v>
      </c>
      <c r="K8" s="91">
        <f t="shared" si="0"/>
        <v>48971.968181818185</v>
      </c>
      <c r="L8" s="91">
        <f t="shared" si="0"/>
        <v>48971.968181818185</v>
      </c>
      <c r="M8" s="91">
        <f t="shared" si="0"/>
        <v>48971.968181818185</v>
      </c>
      <c r="N8" s="91">
        <f t="shared" si="0"/>
        <v>48971.968181818185</v>
      </c>
    </row>
    <row r="9" spans="2:14">
      <c r="B9" s="93" t="s">
        <v>178</v>
      </c>
      <c r="C9" s="11"/>
      <c r="D9" s="91">
        <f>C10-C8</f>
        <v>22290.937818181817</v>
      </c>
      <c r="E9" s="91">
        <f>D10-D8+D9</f>
        <v>44581.875636363635</v>
      </c>
      <c r="F9" s="91">
        <f t="shared" ref="F9:N9" si="1">E10-E8+E9</f>
        <v>66872.813454545452</v>
      </c>
      <c r="G9" s="91">
        <f t="shared" si="1"/>
        <v>89163.75127272727</v>
      </c>
      <c r="H9" s="91">
        <f t="shared" si="1"/>
        <v>111454.68909090909</v>
      </c>
      <c r="I9" s="91">
        <f t="shared" si="1"/>
        <v>133745.6269090909</v>
      </c>
      <c r="J9" s="91">
        <f t="shared" si="1"/>
        <v>156036.56472727272</v>
      </c>
      <c r="K9" s="91">
        <f t="shared" si="1"/>
        <v>178327.50254545454</v>
      </c>
      <c r="L9" s="91">
        <f t="shared" si="1"/>
        <v>200618.44036363636</v>
      </c>
      <c r="M9" s="91">
        <f t="shared" si="1"/>
        <v>222909.37818181817</v>
      </c>
      <c r="N9" s="91">
        <f t="shared" si="1"/>
        <v>245200.31599999999</v>
      </c>
    </row>
    <row r="10" spans="2:14">
      <c r="B10" s="11" t="s">
        <v>179</v>
      </c>
      <c r="C10" s="91">
        <f>Demanda!$J$10</f>
        <v>71262.906000000003</v>
      </c>
      <c r="D10" s="91">
        <f>Demanda!$J$10</f>
        <v>71262.906000000003</v>
      </c>
      <c r="E10" s="91">
        <f>Demanda!$J$10</f>
        <v>71262.906000000003</v>
      </c>
      <c r="F10" s="91">
        <f>Demanda!$J$10</f>
        <v>71262.906000000003</v>
      </c>
      <c r="G10" s="91">
        <f>Demanda!$J$10</f>
        <v>71262.906000000003</v>
      </c>
      <c r="H10" s="91">
        <f>Demanda!$J$10</f>
        <v>71262.906000000003</v>
      </c>
      <c r="I10" s="91">
        <f>Demanda!$J$10</f>
        <v>71262.906000000003</v>
      </c>
      <c r="J10" s="91">
        <f>Demanda!$J$10</f>
        <v>71262.906000000003</v>
      </c>
      <c r="K10" s="91">
        <f>Demanda!$J$10</f>
        <v>71262.906000000003</v>
      </c>
      <c r="L10" s="91">
        <f>Demanda!$J$10</f>
        <v>71262.906000000003</v>
      </c>
      <c r="M10" s="91">
        <f>Demanda!$J$10</f>
        <v>71262.906000000003</v>
      </c>
      <c r="N10" s="91">
        <f>Demanda!$J$10</f>
        <v>71262.906000000003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C3" sqref="C3"/>
    </sheetView>
  </sheetViews>
  <sheetFormatPr baseColWidth="10" defaultRowHeight="15"/>
  <cols>
    <col min="2" max="2" width="14.7109375" bestFit="1" customWidth="1"/>
    <col min="4" max="4" width="12.7109375" bestFit="1" customWidth="1"/>
    <col min="5" max="5" width="11.7109375" bestFit="1" customWidth="1"/>
    <col min="6" max="6" width="12.42578125" bestFit="1" customWidth="1"/>
    <col min="7" max="7" width="13" bestFit="1" customWidth="1"/>
    <col min="9" max="9" width="11.7109375" bestFit="1" customWidth="1"/>
  </cols>
  <sheetData>
    <row r="1" spans="2:9">
      <c r="B1" t="s">
        <v>189</v>
      </c>
      <c r="C1">
        <f>Inversiones!$C$28</f>
        <v>581396.57169999997</v>
      </c>
    </row>
    <row r="2" spans="2:9">
      <c r="B2" t="s">
        <v>82</v>
      </c>
      <c r="C2" s="21">
        <v>0.5</v>
      </c>
      <c r="D2" s="15">
        <f>$C$1*C2</f>
        <v>290698.28584999999</v>
      </c>
    </row>
    <row r="3" spans="2:9">
      <c r="B3" t="s">
        <v>83</v>
      </c>
      <c r="C3" s="21">
        <v>0.5</v>
      </c>
      <c r="D3" s="15">
        <f>$C$1*C3</f>
        <v>290698.28584999999</v>
      </c>
    </row>
    <row r="6" spans="2:9" ht="18.75">
      <c r="C6" s="216" t="s">
        <v>180</v>
      </c>
      <c r="D6" s="216"/>
      <c r="E6" s="216"/>
      <c r="F6" s="216"/>
      <c r="G6" s="216"/>
    </row>
    <row r="7" spans="2:9" ht="15.75">
      <c r="C7" s="217" t="s">
        <v>190</v>
      </c>
      <c r="D7" s="217"/>
      <c r="E7" s="217"/>
      <c r="F7" s="217"/>
      <c r="G7" s="217"/>
    </row>
    <row r="8" spans="2:9" ht="15.75">
      <c r="C8" s="94" t="s">
        <v>181</v>
      </c>
      <c r="D8" s="95"/>
      <c r="E8" s="97">
        <f>'Tamaño optimo'!$J$5</f>
        <v>9.1499999999999998E-2</v>
      </c>
      <c r="F8" s="95" t="s">
        <v>191</v>
      </c>
      <c r="G8" s="96">
        <v>7</v>
      </c>
    </row>
    <row r="9" spans="2:9">
      <c r="C9" s="94" t="s">
        <v>183</v>
      </c>
      <c r="D9" s="95"/>
      <c r="E9" s="102" t="s">
        <v>184</v>
      </c>
      <c r="F9" s="95" t="s">
        <v>182</v>
      </c>
      <c r="G9" s="98">
        <f>D3</f>
        <v>290698.28584999999</v>
      </c>
    </row>
    <row r="10" spans="2:9">
      <c r="C10" s="101" t="s">
        <v>192</v>
      </c>
      <c r="D10" s="101" t="s">
        <v>185</v>
      </c>
      <c r="E10" s="101" t="s">
        <v>186</v>
      </c>
      <c r="F10" s="101" t="s">
        <v>187</v>
      </c>
      <c r="G10" s="101" t="s">
        <v>188</v>
      </c>
    </row>
    <row r="11" spans="2:9">
      <c r="C11" s="11">
        <v>0</v>
      </c>
      <c r="D11" s="11"/>
      <c r="E11" s="11"/>
      <c r="F11" s="11"/>
      <c r="G11" s="81">
        <f>G9</f>
        <v>290698.28584999999</v>
      </c>
    </row>
    <row r="12" spans="2:9">
      <c r="C12" s="11">
        <v>1</v>
      </c>
      <c r="D12" s="81">
        <f>F12-E12</f>
        <v>31451.124194810862</v>
      </c>
      <c r="E12" s="81">
        <f>G11*$E$8</f>
        <v>26598.893155274996</v>
      </c>
      <c r="F12" s="81">
        <f>PMT($E$8,7,-$G$9)</f>
        <v>58050.017350085858</v>
      </c>
      <c r="G12" s="81">
        <f t="shared" ref="G12:G17" si="0">G11-D12</f>
        <v>259247.16165518912</v>
      </c>
      <c r="H12" s="3"/>
      <c r="I12" s="49"/>
    </row>
    <row r="13" spans="2:9">
      <c r="C13" s="11">
        <v>2</v>
      </c>
      <c r="D13" s="81">
        <f t="shared" ref="D13:D18" si="1">F13-E13</f>
        <v>34328.902058636057</v>
      </c>
      <c r="E13" s="81">
        <f t="shared" ref="E13:E18" si="2">G12*$E$8</f>
        <v>23721.115291449805</v>
      </c>
      <c r="F13" s="81">
        <f t="shared" ref="F13:F18" si="3">PMT($E$8,7,-$G$9)</f>
        <v>58050.017350085858</v>
      </c>
      <c r="G13" s="81">
        <f t="shared" si="0"/>
        <v>224918.25959655305</v>
      </c>
    </row>
    <row r="14" spans="2:9">
      <c r="C14" s="11">
        <v>3</v>
      </c>
      <c r="D14" s="81">
        <f t="shared" si="1"/>
        <v>37469.996597001256</v>
      </c>
      <c r="E14" s="81">
        <f t="shared" si="2"/>
        <v>20580.020753084602</v>
      </c>
      <c r="F14" s="81">
        <f t="shared" si="3"/>
        <v>58050.017350085858</v>
      </c>
      <c r="G14" s="81">
        <f t="shared" si="0"/>
        <v>187448.26299955178</v>
      </c>
    </row>
    <row r="15" spans="2:9">
      <c r="C15" s="11">
        <v>4</v>
      </c>
      <c r="D15" s="81">
        <f t="shared" si="1"/>
        <v>40898.501285626873</v>
      </c>
      <c r="E15" s="81">
        <f t="shared" si="2"/>
        <v>17151.516064458989</v>
      </c>
      <c r="F15" s="81">
        <f t="shared" si="3"/>
        <v>58050.017350085858</v>
      </c>
      <c r="G15" s="81">
        <f t="shared" si="0"/>
        <v>146549.76171392491</v>
      </c>
    </row>
    <row r="16" spans="2:9">
      <c r="C16" s="11">
        <v>5</v>
      </c>
      <c r="D16" s="81">
        <f t="shared" si="1"/>
        <v>44640.714153261732</v>
      </c>
      <c r="E16" s="81">
        <f t="shared" si="2"/>
        <v>13409.303196824128</v>
      </c>
      <c r="F16" s="81">
        <f t="shared" si="3"/>
        <v>58050.017350085858</v>
      </c>
      <c r="G16" s="81">
        <f t="shared" si="0"/>
        <v>101909.04756066317</v>
      </c>
    </row>
    <row r="17" spans="3:7">
      <c r="C17" s="11">
        <v>6</v>
      </c>
      <c r="D17" s="81">
        <f t="shared" si="1"/>
        <v>48725.339498285175</v>
      </c>
      <c r="E17" s="81">
        <f t="shared" si="2"/>
        <v>9324.6778518006795</v>
      </c>
      <c r="F17" s="81">
        <f t="shared" si="3"/>
        <v>58050.017350085858</v>
      </c>
      <c r="G17" s="81">
        <f t="shared" si="0"/>
        <v>53183.708062377991</v>
      </c>
    </row>
    <row r="18" spans="3:7">
      <c r="C18" s="11">
        <v>7</v>
      </c>
      <c r="D18" s="81">
        <f t="shared" si="1"/>
        <v>53183.708062378275</v>
      </c>
      <c r="E18" s="81">
        <f t="shared" si="2"/>
        <v>4866.309287707586</v>
      </c>
      <c r="F18" s="81">
        <f t="shared" si="3"/>
        <v>58050.017350085858</v>
      </c>
      <c r="G18" s="81">
        <f>-(G17-D18)</f>
        <v>2.8376234695315361E-10</v>
      </c>
    </row>
    <row r="19" spans="3:7">
      <c r="D19" s="49">
        <f>SUM(D12:D18)</f>
        <v>290698.28585000022</v>
      </c>
      <c r="E19" s="49">
        <f>SUM(E12:E18)</f>
        <v>115651.83560060078</v>
      </c>
      <c r="F19" s="49">
        <f>SUM(F12:F18)</f>
        <v>406350.12145060097</v>
      </c>
      <c r="G19" s="49"/>
    </row>
  </sheetData>
  <mergeCells count="2">
    <mergeCell ref="C6:G6"/>
    <mergeCell ref="C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Datos</vt:lpstr>
      <vt:lpstr>Tamaño optimo</vt:lpstr>
      <vt:lpstr>Demanda</vt:lpstr>
      <vt:lpstr>Costos O.</vt:lpstr>
      <vt:lpstr>Costos N.O.</vt:lpstr>
      <vt:lpstr>Inversiones</vt:lpstr>
      <vt:lpstr>Depreciación</vt:lpstr>
      <vt:lpstr>Capital de Trabajo</vt:lpstr>
      <vt:lpstr>Financiamiento</vt:lpstr>
      <vt:lpstr>Flujo accio</vt:lpstr>
      <vt:lpstr>Flujo proy</vt:lpstr>
      <vt:lpstr>Capm</vt:lpstr>
      <vt:lpstr>Wacc</vt:lpstr>
      <vt:lpstr>Payback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Quevedo M</dc:creator>
  <cp:lastModifiedBy>Carlos Quevedo M</cp:lastModifiedBy>
  <dcterms:created xsi:type="dcterms:W3CDTF">2010-01-17T23:59:15Z</dcterms:created>
  <dcterms:modified xsi:type="dcterms:W3CDTF">2010-04-29T22:27:44Z</dcterms:modified>
</cp:coreProperties>
</file>