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595" windowHeight="8640" tabRatio="936" activeTab="7"/>
  </bookViews>
  <sheets>
    <sheet name="Poblacion" sheetId="1" r:id="rId1"/>
    <sheet name="Estructura Adm." sheetId="11" r:id="rId2"/>
    <sheet name="Equipos Of. y PLanta" sheetId="12" r:id="rId3"/>
    <sheet name="Ingresos" sheetId="13" r:id="rId4"/>
    <sheet name="Costos" sheetId="2" r:id="rId5"/>
    <sheet name="Gastos" sheetId="4" r:id="rId6"/>
    <sheet name="D.A.M" sheetId="5" r:id="rId7"/>
    <sheet name="V.S" sheetId="7" r:id="rId8"/>
    <sheet name="Amortizacion" sheetId="15" r:id="rId9"/>
    <sheet name="Flujo Proyect" sheetId="17" r:id="rId10"/>
    <sheet name="A. Sensib" sheetId="18" r:id="rId11"/>
  </sheets>
  <definedNames>
    <definedName name="p">#REF!</definedName>
    <definedName name="q">#REF!</definedName>
    <definedName name="tasa">#REF!</definedName>
  </definedNames>
  <calcPr calcId="125725"/>
</workbook>
</file>

<file path=xl/calcChain.xml><?xml version="1.0" encoding="utf-8"?>
<calcChain xmlns="http://schemas.openxmlformats.org/spreadsheetml/2006/main">
  <c r="K47" i="17"/>
  <c r="H9" i="7"/>
  <c r="E30"/>
  <c r="F30"/>
  <c r="G30"/>
  <c r="H30"/>
  <c r="D30"/>
  <c r="C54" i="17"/>
  <c r="C61"/>
  <c r="E52" i="12"/>
  <c r="E51"/>
  <c r="D32" i="7"/>
  <c r="H10"/>
  <c r="C18"/>
  <c r="C19"/>
  <c r="E19" s="1"/>
  <c r="G19" s="1"/>
  <c r="H19" s="1"/>
  <c r="C20"/>
  <c r="C21"/>
  <c r="E21"/>
  <c r="G21"/>
  <c r="H21" s="1"/>
  <c r="C22"/>
  <c r="C17"/>
  <c r="E17" s="1"/>
  <c r="C11"/>
  <c r="C12"/>
  <c r="H12" s="1"/>
  <c r="E12"/>
  <c r="G12" s="1"/>
  <c r="C13"/>
  <c r="C14"/>
  <c r="E14"/>
  <c r="G14" s="1"/>
  <c r="H14" s="1"/>
  <c r="C15"/>
  <c r="C16"/>
  <c r="E16"/>
  <c r="G16" s="1"/>
  <c r="C10"/>
  <c r="E10" s="1"/>
  <c r="F13" i="12"/>
  <c r="F43"/>
  <c r="B19" i="5"/>
  <c r="B18"/>
  <c r="E38" i="4"/>
  <c r="F38"/>
  <c r="F39"/>
  <c r="E27"/>
  <c r="F25"/>
  <c r="F24"/>
  <c r="F23"/>
  <c r="F22"/>
  <c r="E15"/>
  <c r="D15"/>
  <c r="C15"/>
  <c r="E14"/>
  <c r="D14"/>
  <c r="C14"/>
  <c r="E13"/>
  <c r="D13"/>
  <c r="C13"/>
  <c r="E12"/>
  <c r="D12"/>
  <c r="C12"/>
  <c r="E11"/>
  <c r="D11"/>
  <c r="C11"/>
  <c r="G10"/>
  <c r="G9"/>
  <c r="G8"/>
  <c r="G7"/>
  <c r="G6"/>
  <c r="H13" i="2"/>
  <c r="C23"/>
  <c r="D23"/>
  <c r="E23"/>
  <c r="F7" i="13"/>
  <c r="F8"/>
  <c r="E56" i="12"/>
  <c r="E55"/>
  <c r="E54"/>
  <c r="E53"/>
  <c r="E60"/>
  <c r="F42"/>
  <c r="F25"/>
  <c r="C18" i="11"/>
  <c r="E12"/>
  <c r="F12"/>
  <c r="E13"/>
  <c r="F13"/>
  <c r="E10"/>
  <c r="F10"/>
  <c r="E11"/>
  <c r="F11"/>
  <c r="E9"/>
  <c r="F9"/>
  <c r="E6" i="5"/>
  <c r="C34" i="11"/>
  <c r="G43" i="4"/>
  <c r="H43"/>
  <c r="G44"/>
  <c r="H44"/>
  <c r="G45"/>
  <c r="H45"/>
  <c r="D6" i="5"/>
  <c r="C6"/>
  <c r="B6"/>
  <c r="F8" i="12"/>
  <c r="F27"/>
  <c r="F9"/>
  <c r="F10"/>
  <c r="F12"/>
  <c r="F7"/>
  <c r="F14"/>
  <c r="F15"/>
  <c r="F16"/>
  <c r="F17"/>
  <c r="F18"/>
  <c r="F19"/>
  <c r="F20"/>
  <c r="F21"/>
  <c r="F22"/>
  <c r="F23"/>
  <c r="F26"/>
  <c r="F36"/>
  <c r="F37"/>
  <c r="F38"/>
  <c r="F39"/>
  <c r="F40"/>
  <c r="F41"/>
  <c r="F44"/>
  <c r="F11"/>
  <c r="F6" i="5"/>
  <c r="G6"/>
  <c r="H6"/>
  <c r="I6"/>
  <c r="J6"/>
  <c r="K6"/>
  <c r="L6"/>
  <c r="M6"/>
  <c r="B8" i="13"/>
  <c r="B7"/>
  <c r="D18" i="11"/>
  <c r="F46" i="4"/>
  <c r="E15" i="11"/>
  <c r="F15"/>
  <c r="E16"/>
  <c r="E17"/>
  <c r="F17"/>
  <c r="E8"/>
  <c r="E14"/>
  <c r="F16"/>
  <c r="F14"/>
  <c r="F8"/>
  <c r="D28" i="1"/>
  <c r="D29"/>
  <c r="D30"/>
  <c r="D31"/>
  <c r="D45"/>
  <c r="F24" i="12"/>
  <c r="F45"/>
  <c r="E32" i="4"/>
  <c r="F32" s="1"/>
  <c r="C9" i="7"/>
  <c r="E9"/>
  <c r="I9" s="1"/>
  <c r="E18" i="11"/>
  <c r="F18"/>
  <c r="G15" i="17"/>
  <c r="E15"/>
  <c r="D15"/>
  <c r="H15"/>
  <c r="F15"/>
  <c r="E15" i="7"/>
  <c r="G15" s="1"/>
  <c r="G32"/>
  <c r="G14" i="12"/>
  <c r="F30"/>
  <c r="E33" i="4"/>
  <c r="F33"/>
  <c r="G33" s="1"/>
  <c r="C64" i="12"/>
  <c r="C29" i="17"/>
  <c r="E32" i="7"/>
  <c r="H32"/>
  <c r="C32"/>
  <c r="F32"/>
  <c r="E17" i="4"/>
  <c r="F27"/>
  <c r="E34"/>
  <c r="F11"/>
  <c r="G11"/>
  <c r="F12"/>
  <c r="G12"/>
  <c r="F13"/>
  <c r="G13"/>
  <c r="F14"/>
  <c r="G14"/>
  <c r="F15"/>
  <c r="G15"/>
  <c r="H46"/>
  <c r="G46"/>
  <c r="C20" i="2"/>
  <c r="D20"/>
  <c r="E20"/>
  <c r="C15"/>
  <c r="D15"/>
  <c r="E15"/>
  <c r="C17"/>
  <c r="D17"/>
  <c r="E17"/>
  <c r="C19"/>
  <c r="D19"/>
  <c r="E19"/>
  <c r="C22"/>
  <c r="D22"/>
  <c r="E22"/>
  <c r="C13"/>
  <c r="D13"/>
  <c r="C14"/>
  <c r="D14"/>
  <c r="E14"/>
  <c r="C16"/>
  <c r="D16"/>
  <c r="E16"/>
  <c r="C18"/>
  <c r="D18"/>
  <c r="E18"/>
  <c r="C21"/>
  <c r="D21"/>
  <c r="E21"/>
  <c r="G9" i="7"/>
  <c r="G17" i="4"/>
  <c r="F17"/>
  <c r="D24" i="2"/>
  <c r="E13"/>
  <c r="E24"/>
  <c r="H24"/>
  <c r="C18" i="5"/>
  <c r="D18"/>
  <c r="E18" s="1"/>
  <c r="C19"/>
  <c r="D19" s="1"/>
  <c r="E13" i="7"/>
  <c r="G13"/>
  <c r="H13" s="1"/>
  <c r="E11"/>
  <c r="G11" s="1"/>
  <c r="H11" s="1"/>
  <c r="E22"/>
  <c r="G22"/>
  <c r="H22" s="1"/>
  <c r="E20"/>
  <c r="G20" s="1"/>
  <c r="H20" s="1"/>
  <c r="E18"/>
  <c r="G18"/>
  <c r="H18"/>
  <c r="E7" i="13"/>
  <c r="H7"/>
  <c r="D46" i="1"/>
  <c r="D47"/>
  <c r="D48"/>
  <c r="D55"/>
  <c r="D56"/>
  <c r="O15" i="5"/>
  <c r="I7" s="1"/>
  <c r="E8" i="13"/>
  <c r="H8"/>
  <c r="D7" i="17" s="1"/>
  <c r="D7" i="5"/>
  <c r="D8" s="1"/>
  <c r="F7"/>
  <c r="F8" s="1"/>
  <c r="K7"/>
  <c r="K8" s="1"/>
  <c r="E7"/>
  <c r="E8" s="1"/>
  <c r="C7"/>
  <c r="C8" s="1"/>
  <c r="H7"/>
  <c r="H8" s="1"/>
  <c r="B7"/>
  <c r="L7"/>
  <c r="L8" s="1"/>
  <c r="M7"/>
  <c r="M8" s="1"/>
  <c r="G7"/>
  <c r="G8" s="1"/>
  <c r="B8"/>
  <c r="B24" s="1"/>
  <c r="B15"/>
  <c r="G24" l="1"/>
  <c r="G15"/>
  <c r="L15"/>
  <c r="L24"/>
  <c r="H24"/>
  <c r="H15"/>
  <c r="E15"/>
  <c r="E24"/>
  <c r="F24"/>
  <c r="F15"/>
  <c r="E7" i="17"/>
  <c r="J7" i="5"/>
  <c r="J8" s="1"/>
  <c r="I8"/>
  <c r="F18"/>
  <c r="G18" s="1"/>
  <c r="H18" s="1"/>
  <c r="I18" s="1"/>
  <c r="J18" s="1"/>
  <c r="K18" s="1"/>
  <c r="L18" s="1"/>
  <c r="M18" s="1"/>
  <c r="F17" i="17"/>
  <c r="D17"/>
  <c r="G17"/>
  <c r="H17"/>
  <c r="E17"/>
  <c r="F34" i="4"/>
  <c r="B17" i="5" s="1"/>
  <c r="G32" i="4"/>
  <c r="G34" s="1"/>
  <c r="G10" i="7"/>
  <c r="I10"/>
  <c r="E24"/>
  <c r="I17"/>
  <c r="G17"/>
  <c r="H17" s="1"/>
  <c r="H24"/>
  <c r="H34" i="17" s="1"/>
  <c r="H16" i="7"/>
  <c r="M24" i="5"/>
  <c r="M15"/>
  <c r="C24"/>
  <c r="C15"/>
  <c r="K24"/>
  <c r="K15"/>
  <c r="D15"/>
  <c r="D24"/>
  <c r="E19"/>
  <c r="F19" s="1"/>
  <c r="G19" s="1"/>
  <c r="H19" s="1"/>
  <c r="I19" s="1"/>
  <c r="J19" s="1"/>
  <c r="K19" s="1"/>
  <c r="L19" s="1"/>
  <c r="M19" s="1"/>
  <c r="N7"/>
  <c r="N11" s="1"/>
  <c r="O11" s="1"/>
  <c r="H15" i="7"/>
  <c r="G19" i="17" l="1"/>
  <c r="G20" s="1"/>
  <c r="G28" s="1"/>
  <c r="E19"/>
  <c r="D19"/>
  <c r="H19"/>
  <c r="F19"/>
  <c r="G18"/>
  <c r="F18"/>
  <c r="E18"/>
  <c r="D18"/>
  <c r="D20" s="1"/>
  <c r="D28" s="1"/>
  <c r="H18"/>
  <c r="J15" i="5"/>
  <c r="J24"/>
  <c r="B20"/>
  <c r="C17"/>
  <c r="I24"/>
  <c r="I15"/>
  <c r="F7" i="17"/>
  <c r="E20"/>
  <c r="E28" s="1"/>
  <c r="F20"/>
  <c r="F28" s="1"/>
  <c r="N19" i="5"/>
  <c r="D12" i="17" s="1"/>
  <c r="E12" s="1"/>
  <c r="F12" s="1"/>
  <c r="G12" s="1"/>
  <c r="H12" s="1"/>
  <c r="N15" i="5"/>
  <c r="N24"/>
  <c r="H20" i="17"/>
  <c r="H28" s="1"/>
  <c r="N18" i="5"/>
  <c r="D11" i="17" s="1"/>
  <c r="E11" s="1"/>
  <c r="F11" s="1"/>
  <c r="G11" s="1"/>
  <c r="H11" s="1"/>
  <c r="C20" i="5" l="1"/>
  <c r="C25" s="1"/>
  <c r="C26" s="1"/>
  <c r="D17"/>
  <c r="B25"/>
  <c r="G7" i="17"/>
  <c r="H7" l="1"/>
  <c r="B26" i="5"/>
  <c r="B27" s="1"/>
  <c r="D20"/>
  <c r="D25" s="1"/>
  <c r="D26" s="1"/>
  <c r="E17"/>
  <c r="C27"/>
  <c r="F17" l="1"/>
  <c r="E20"/>
  <c r="E25" s="1"/>
  <c r="E26" s="1"/>
  <c r="D27"/>
  <c r="F20" l="1"/>
  <c r="G17"/>
  <c r="E27"/>
  <c r="F25" l="1"/>
  <c r="G20"/>
  <c r="G25" s="1"/>
  <c r="G26" s="1"/>
  <c r="H17"/>
  <c r="F26" l="1"/>
  <c r="F27" s="1"/>
  <c r="H20"/>
  <c r="H25" s="1"/>
  <c r="H26" s="1"/>
  <c r="I17"/>
  <c r="G27"/>
  <c r="C9" i="15" s="1"/>
  <c r="C32" i="17" l="1"/>
  <c r="H33" s="1"/>
  <c r="I28" i="15"/>
  <c r="J17" i="5"/>
  <c r="I20"/>
  <c r="I25" s="1"/>
  <c r="I26" s="1"/>
  <c r="H27"/>
  <c r="J20" l="1"/>
  <c r="J25" s="1"/>
  <c r="K17"/>
  <c r="I29" i="15"/>
  <c r="I30"/>
  <c r="I27" i="5"/>
  <c r="J26" l="1"/>
  <c r="J27" s="1"/>
  <c r="C30" i="17"/>
  <c r="C36" s="1"/>
  <c r="E8" i="15"/>
  <c r="I2" s="1"/>
  <c r="K20" i="5"/>
  <c r="K25" s="1"/>
  <c r="K26" s="1"/>
  <c r="K27" s="1"/>
  <c r="L17"/>
  <c r="C43" i="17" l="1"/>
  <c r="C44" s="1"/>
  <c r="C45" s="1"/>
  <c r="L20" i="5"/>
  <c r="L25" s="1"/>
  <c r="L26" s="1"/>
  <c r="L27" s="1"/>
  <c r="M17"/>
  <c r="I15" i="15"/>
  <c r="I14"/>
  <c r="H13"/>
  <c r="I18"/>
  <c r="I17"/>
  <c r="I16"/>
  <c r="G31" i="17" l="1"/>
  <c r="H14" i="15"/>
  <c r="J14"/>
  <c r="E31" i="17"/>
  <c r="F31"/>
  <c r="H31"/>
  <c r="D31"/>
  <c r="K14" i="15"/>
  <c r="M20" i="5"/>
  <c r="N17"/>
  <c r="D10" i="17" s="1"/>
  <c r="M25" i="5" l="1"/>
  <c r="N20"/>
  <c r="J15" i="15"/>
  <c r="K15" s="1"/>
  <c r="H15"/>
  <c r="E10" i="17"/>
  <c r="D13"/>
  <c r="D22" s="1"/>
  <c r="E13" l="1"/>
  <c r="E22" s="1"/>
  <c r="F10"/>
  <c r="M26" i="5"/>
  <c r="M27" s="1"/>
  <c r="N25"/>
  <c r="D26" i="17"/>
  <c r="D36" s="1"/>
  <c r="D25"/>
  <c r="J16" i="15"/>
  <c r="K16" s="1"/>
  <c r="H16"/>
  <c r="D43" i="17" l="1"/>
  <c r="D44" s="1"/>
  <c r="D45" s="1"/>
  <c r="E25"/>
  <c r="E26" s="1"/>
  <c r="E36" s="1"/>
  <c r="H17" i="15"/>
  <c r="J17"/>
  <c r="K17" s="1"/>
  <c r="G10" i="17"/>
  <c r="F13"/>
  <c r="F22" s="1"/>
  <c r="E43" l="1"/>
  <c r="E44" s="1"/>
  <c r="G13"/>
  <c r="G22" s="1"/>
  <c r="H10"/>
  <c r="H13" s="1"/>
  <c r="H22" s="1"/>
  <c r="E45"/>
  <c r="J18" i="15"/>
  <c r="K18" s="1"/>
  <c r="H18"/>
  <c r="F25" i="17"/>
  <c r="F26" s="1"/>
  <c r="F36" s="1"/>
  <c r="F43" l="1"/>
  <c r="F44" s="1"/>
  <c r="G26"/>
  <c r="G36" s="1"/>
  <c r="G43" s="1"/>
  <c r="G44" s="1"/>
  <c r="G25"/>
  <c r="F45"/>
  <c r="H25"/>
  <c r="H26" s="1"/>
  <c r="H36" s="1"/>
  <c r="H43" s="1"/>
  <c r="H44" s="1"/>
  <c r="D40" l="1"/>
  <c r="G45"/>
  <c r="D39"/>
  <c r="E39"/>
  <c r="H45" l="1"/>
  <c r="G46"/>
</calcChain>
</file>

<file path=xl/comments1.xml><?xml version="1.0" encoding="utf-8"?>
<comments xmlns="http://schemas.openxmlformats.org/spreadsheetml/2006/main">
  <authors>
    <author>cltsmalc</author>
  </authors>
  <commentList>
    <comment ref="H15" authorId="0">
      <text>
        <r>
          <rPr>
            <b/>
            <sz val="8"/>
            <color indexed="81"/>
            <rFont val="Tahoma"/>
          </rPr>
          <t>cltsmalc:</t>
        </r>
        <r>
          <rPr>
            <sz val="8"/>
            <color indexed="81"/>
            <rFont val="Tahoma"/>
          </rPr>
          <t xml:space="preserve">
reinversion en el año 4</t>
        </r>
      </text>
    </comment>
  </commentList>
</comments>
</file>

<file path=xl/sharedStrings.xml><?xml version="1.0" encoding="utf-8"?>
<sst xmlns="http://schemas.openxmlformats.org/spreadsheetml/2006/main" count="352" uniqueCount="265">
  <si>
    <t>Total</t>
  </si>
  <si>
    <t>%</t>
  </si>
  <si>
    <t xml:space="preserve"> </t>
  </si>
  <si>
    <t>Frequency</t>
  </si>
  <si>
    <t>Valid Percent</t>
  </si>
  <si>
    <t>Valid</t>
  </si>
  <si>
    <t>si</t>
  </si>
  <si>
    <t>No</t>
  </si>
  <si>
    <t>1 veces</t>
  </si>
  <si>
    <t>2 veces</t>
  </si>
  <si>
    <t>3 veces</t>
  </si>
  <si>
    <t>Demanda Total</t>
  </si>
  <si>
    <t>Precio</t>
  </si>
  <si>
    <t>PERSONAS REQUERIDAS</t>
  </si>
  <si>
    <t>DESCRIPCION</t>
  </si>
  <si>
    <t>CANTIDAD</t>
  </si>
  <si>
    <t>TOTAL MENSUAL</t>
  </si>
  <si>
    <t>TOTAL ANUAL</t>
  </si>
  <si>
    <t>Método del Déficit Acumulado Máximo</t>
  </si>
  <si>
    <t>DETALLE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</si>
  <si>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</si>
  <si>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</si>
  <si>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</si>
  <si>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</si>
  <si>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</si>
  <si>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</si>
  <si>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</si>
  <si>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</si>
  <si>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</si>
  <si>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</si>
  <si>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</si>
  <si>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</si>
  <si>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INGRESO</t>
  </si>
  <si>
    <t>Valor Unitario</t>
  </si>
  <si>
    <t>Valor Total</t>
  </si>
  <si>
    <t>EQUIPO</t>
  </si>
  <si>
    <t>Equipo de Computación</t>
  </si>
  <si>
    <t>Mueble y Enceres de Oficina</t>
  </si>
  <si>
    <t>Útiles de Oficinas</t>
  </si>
  <si>
    <t>Borradores</t>
  </si>
  <si>
    <t>EQUIPOS DE OFICINAS</t>
  </si>
  <si>
    <t xml:space="preserve">EQUIPOS DE PLANTA </t>
  </si>
  <si>
    <t>P. VENTA</t>
  </si>
  <si>
    <t>MENSUAL</t>
  </si>
  <si>
    <t>ANUAL</t>
  </si>
  <si>
    <t>MATERIALES DIRECTOS</t>
  </si>
  <si>
    <t>DESCRIPCIóN</t>
  </si>
  <si>
    <t>Suministro de limpieza</t>
  </si>
  <si>
    <t>Suministro de oficina</t>
  </si>
  <si>
    <t>Distribuidores</t>
  </si>
  <si>
    <t>Monitor, CPU, Mouse, Teclado, Impresora, regulador, parlantes</t>
  </si>
  <si>
    <t>Sillas secretaria con brazos</t>
  </si>
  <si>
    <t>Extintor de incendio de 10 libras</t>
  </si>
  <si>
    <t>*</t>
  </si>
  <si>
    <t>Demanda Anual</t>
  </si>
  <si>
    <t>Año 1</t>
  </si>
  <si>
    <t>Año 2</t>
  </si>
  <si>
    <t>Año 3</t>
  </si>
  <si>
    <t>Año 4</t>
  </si>
  <si>
    <t>Año 5</t>
  </si>
  <si>
    <t>EGRESOS</t>
  </si>
  <si>
    <t>Gastos de Ventas</t>
  </si>
  <si>
    <t>Gastos Administrativos</t>
  </si>
  <si>
    <t>Suministro de Limpieza</t>
  </si>
  <si>
    <t>SUMINISTRO DE LIMPIEZA</t>
  </si>
  <si>
    <t>Escoba</t>
  </si>
  <si>
    <t>Desinfectante</t>
  </si>
  <si>
    <t>Trapeador</t>
  </si>
  <si>
    <t>Jabón</t>
  </si>
  <si>
    <t>Papel Higienico</t>
  </si>
  <si>
    <t>Escoba cerdas plasticas</t>
  </si>
  <si>
    <t xml:space="preserve">Detergente </t>
  </si>
  <si>
    <t>GASTO DE VENTA Y PUBLICIDAD</t>
  </si>
  <si>
    <t>DEMANDA</t>
  </si>
  <si>
    <t>Ingreso Mensual</t>
  </si>
  <si>
    <t>Ingreso Anual</t>
  </si>
  <si>
    <t>Demanda Mensual</t>
  </si>
  <si>
    <t>Jerga de Lana</t>
  </si>
  <si>
    <t>VALOR DE SALVAMENTO</t>
  </si>
  <si>
    <t>ACTIVO</t>
  </si>
  <si>
    <t>VIDA CONTABLE</t>
  </si>
  <si>
    <t>DEPREC. ANUAL</t>
  </si>
  <si>
    <t>AÑO DEPREC.</t>
  </si>
  <si>
    <t>DEPREC. ACUMUL.</t>
  </si>
  <si>
    <t>VALOR EN LIBRO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</si>
  <si>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</si>
  <si>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</si>
  <si>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</si>
  <si>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</si>
  <si>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</si>
  <si>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</si>
  <si>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</si>
  <si>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</si>
  <si>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</si>
  <si>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</si>
  <si>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</si>
  <si>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</si>
  <si>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 (q)</t>
  </si>
  <si>
    <t>Ventas ($)</t>
  </si>
  <si>
    <t>Egreso Mensual</t>
  </si>
  <si>
    <t>Saldo Mensual</t>
  </si>
  <si>
    <t>Saldo Acumulado</t>
  </si>
  <si>
    <t>DISPONIBLE</t>
  </si>
  <si>
    <t>Capital de Trabajo</t>
  </si>
  <si>
    <t>Préstamo</t>
  </si>
  <si>
    <t>AMORTIZACION DEL PRESTAMO</t>
  </si>
  <si>
    <t>PERIODO</t>
  </si>
  <si>
    <t>SALDO</t>
  </si>
  <si>
    <t xml:space="preserve">Guardiania </t>
  </si>
  <si>
    <t>Mantenimiento y Limpieza</t>
  </si>
  <si>
    <t>INFRAESTRUCTURA FISICA</t>
  </si>
  <si>
    <t>USD $</t>
  </si>
  <si>
    <t>Adecuacion de una oficina</t>
  </si>
  <si>
    <t>Descripción</t>
  </si>
  <si>
    <t>Valor</t>
  </si>
  <si>
    <t>Sillas fijas con brazo</t>
  </si>
  <si>
    <t>Depreciación Acumulada</t>
  </si>
  <si>
    <t>Valor de Salvamento</t>
  </si>
  <si>
    <t>Detalle</t>
  </si>
  <si>
    <t>Capital Inicial</t>
  </si>
  <si>
    <t>Periodo de Pago</t>
  </si>
  <si>
    <t>Afiches de 64 * 44 cms papel caushe</t>
  </si>
  <si>
    <t>Montos ($)</t>
  </si>
  <si>
    <t>Porcentaje</t>
  </si>
  <si>
    <t>Monto Requerido</t>
  </si>
  <si>
    <t>Capital Propio</t>
  </si>
  <si>
    <t>COSTO VARIABLE</t>
  </si>
  <si>
    <t>Utilidad antes de Impuestos</t>
  </si>
  <si>
    <t>UTILIDAD NETA</t>
  </si>
  <si>
    <t>Beta</t>
  </si>
  <si>
    <t>PAYBACK</t>
  </si>
  <si>
    <t>VAN</t>
  </si>
  <si>
    <t>TIR</t>
  </si>
  <si>
    <t>Prestamo</t>
  </si>
  <si>
    <t xml:space="preserve"> TOTAL </t>
  </si>
  <si>
    <t xml:space="preserve"> GUAYAQUIL </t>
  </si>
  <si>
    <t>Aire Acondicionado</t>
  </si>
  <si>
    <t>Nombre Medio</t>
  </si>
  <si>
    <t>1/4 pag. Color</t>
  </si>
  <si>
    <t>Demanda Diaria</t>
  </si>
  <si>
    <t xml:space="preserve">PRODUCCION </t>
  </si>
  <si>
    <t>Producción Total diaria</t>
  </si>
  <si>
    <t>Producción por C/Hora</t>
  </si>
  <si>
    <t>personas</t>
  </si>
  <si>
    <t xml:space="preserve">Precio </t>
  </si>
  <si>
    <t>Demanda Semanal</t>
  </si>
  <si>
    <t xml:space="preserve">Poblacion </t>
  </si>
  <si>
    <t>Guayaquil 2010</t>
  </si>
  <si>
    <t>Consumiría colada morada en envase aséptico</t>
  </si>
  <si>
    <t>Missing</t>
  </si>
  <si>
    <t>4 o más</t>
  </si>
  <si>
    <t>envases/mes</t>
  </si>
  <si>
    <t>Cuántas veces en un rango de 2 meses consumiría colada morada</t>
  </si>
  <si>
    <t xml:space="preserve">Consumo Mensual </t>
  </si>
  <si>
    <t>envases</t>
  </si>
  <si>
    <t>Gerente General</t>
  </si>
  <si>
    <t>Supervisor de producción y calidad</t>
  </si>
  <si>
    <t>Supervisor de marketing y ventas</t>
  </si>
  <si>
    <t>Supervisor financiero</t>
  </si>
  <si>
    <t>Operadores</t>
  </si>
  <si>
    <t>Trabajadores de planta</t>
  </si>
  <si>
    <t>Secretaria Recepcionista</t>
  </si>
  <si>
    <t>Escritorios</t>
  </si>
  <si>
    <t>Archivadores</t>
  </si>
  <si>
    <t>Tachos de Basura</t>
  </si>
  <si>
    <t>Paquetes de hojas A4</t>
  </si>
  <si>
    <t>Archivador oficio</t>
  </si>
  <si>
    <t>Grapas (Caja)</t>
  </si>
  <si>
    <t>Clic (Caja)</t>
  </si>
  <si>
    <t>Plumas (Caja)</t>
  </si>
  <si>
    <t>Lápices (Caja)</t>
  </si>
  <si>
    <t>Saca punta</t>
  </si>
  <si>
    <t>Pizarra Acrílica</t>
  </si>
  <si>
    <t>Grapadora</t>
  </si>
  <si>
    <t>Perforadora</t>
  </si>
  <si>
    <t>Post-it</t>
  </si>
  <si>
    <t>Vehiculos</t>
  </si>
  <si>
    <t>Camión de Distribución</t>
  </si>
  <si>
    <t>Ambientador</t>
  </si>
  <si>
    <t>Aromatizante Spray</t>
  </si>
  <si>
    <t xml:space="preserve">Jabon Liquido </t>
  </si>
  <si>
    <t>Detergente en polvo</t>
  </si>
  <si>
    <t xml:space="preserve">Desinfectante liquido </t>
  </si>
  <si>
    <t>Paquete 12 rollos</t>
  </si>
  <si>
    <t>Fundas de Basura</t>
  </si>
  <si>
    <t>Fundas Plásticas</t>
  </si>
  <si>
    <t>Silo de Almacenamiento</t>
  </si>
  <si>
    <t>Equipo</t>
  </si>
  <si>
    <t xml:space="preserve">Envasadora </t>
  </si>
  <si>
    <t>Bomba</t>
  </si>
  <si>
    <t>Tanque pulmón</t>
  </si>
  <si>
    <t>Suministros de Oficina</t>
  </si>
  <si>
    <t>Combustible Diesel</t>
  </si>
  <si>
    <t>Energia Electrica</t>
  </si>
  <si>
    <t>Agua Potable</t>
  </si>
  <si>
    <t>Servicio Telefonico</t>
  </si>
  <si>
    <t>Alquiler</t>
  </si>
  <si>
    <t>Radio</t>
  </si>
  <si>
    <t>Cunas</t>
  </si>
  <si>
    <t>Diario El Universo</t>
  </si>
  <si>
    <t>Ollas Industriales</t>
  </si>
  <si>
    <t>Cocina Industrial</t>
  </si>
  <si>
    <t>Cantidad *</t>
  </si>
  <si>
    <t>*cantidades para 25 porciones</t>
  </si>
  <si>
    <t>Harina de maíz negro (lb)</t>
  </si>
  <si>
    <t>Moras (lb)</t>
  </si>
  <si>
    <t>Naranjillas (unidad)</t>
  </si>
  <si>
    <t>Ciruelas (lb)</t>
  </si>
  <si>
    <t>Piñas (unidad)</t>
  </si>
  <si>
    <t>Mortiño (lb)</t>
  </si>
  <si>
    <t>Frutillas (lb)</t>
  </si>
  <si>
    <t>Azucar (lb)</t>
  </si>
  <si>
    <t>Canela (ramita)</t>
  </si>
  <si>
    <t>Durazno (unidad)</t>
  </si>
  <si>
    <t>Clavos de Olor (fundita 25 u)</t>
  </si>
  <si>
    <t>SUELDOS DEL PERSONAL</t>
  </si>
  <si>
    <t>GASTO DE SERVICIOS BASICOS</t>
  </si>
  <si>
    <t>GASTO DE SUMINISTROS</t>
  </si>
  <si>
    <t>GASTO DE TRANSPORTE Y FLETE</t>
  </si>
  <si>
    <t>Costos de Produccion</t>
  </si>
  <si>
    <t>INVERSION INICIAL</t>
  </si>
  <si>
    <t>Tasa de Interes</t>
  </si>
  <si>
    <t>CAPITAL</t>
  </si>
  <si>
    <t>INTERESES</t>
  </si>
  <si>
    <t>CUOTA</t>
  </si>
  <si>
    <t>VALOR CONTABLE</t>
  </si>
  <si>
    <t>AMORTIZACION DE INTANGIBLES</t>
  </si>
  <si>
    <t>Tramites Legales</t>
  </si>
  <si>
    <t>FLUJO DE EFECTIVO</t>
  </si>
  <si>
    <t>INGRESOS</t>
  </si>
  <si>
    <t>Gastos de Produccion</t>
  </si>
  <si>
    <t>TOTAL EGRESOS</t>
  </si>
  <si>
    <t>(-) Amortizacion Intangible</t>
  </si>
  <si>
    <t>(-) Depreciacion</t>
  </si>
  <si>
    <t>(-) Total Depreciacion</t>
  </si>
  <si>
    <t>Impuestos 25%</t>
  </si>
  <si>
    <t>(+) Depreciacion</t>
  </si>
  <si>
    <t>Inversion</t>
  </si>
  <si>
    <t>Amortizacion</t>
  </si>
  <si>
    <t>Capital de trabajo</t>
  </si>
  <si>
    <t>Recuperacion de capital de trabajo</t>
  </si>
  <si>
    <t>Valor de desecho</t>
  </si>
  <si>
    <t>Flujo Neto Efectivo</t>
  </si>
  <si>
    <t>Flujo de efectivo</t>
  </si>
  <si>
    <t>Flujo de efectivo descontado</t>
  </si>
  <si>
    <t>Flujo de efectivo descontado acumulado</t>
  </si>
  <si>
    <t>Re = rf + b ( rm - rf )</t>
  </si>
  <si>
    <t>Rd</t>
  </si>
  <si>
    <t>Rf</t>
  </si>
  <si>
    <t>Rm</t>
  </si>
  <si>
    <t>Riesgo Pais</t>
  </si>
  <si>
    <t>Patrimonio</t>
  </si>
  <si>
    <t>Deuda</t>
  </si>
  <si>
    <t>EQUIPOS DE PLANTA</t>
  </si>
  <si>
    <t>MUEBLES Y EQUIPOS DE OFICINA</t>
  </si>
  <si>
    <t>VEHICULO</t>
  </si>
  <si>
    <t>Vehiculo</t>
  </si>
  <si>
    <t>Equipos y muebles de oficina</t>
  </si>
  <si>
    <t>Equipos de Planta</t>
  </si>
  <si>
    <t>Juegos de Ollas Industriales</t>
  </si>
  <si>
    <t xml:space="preserve">Re   </t>
  </si>
  <si>
    <t>Tasa de descuento</t>
  </si>
  <si>
    <t>Participacion utilidades 15%</t>
  </si>
  <si>
    <t>Utilidad antes de Participacion</t>
  </si>
  <si>
    <t>4 años y 5 meses</t>
  </si>
</sst>
</file>

<file path=xl/styles.xml><?xml version="1.0" encoding="utf-8"?>
<styleSheet xmlns="http://schemas.openxmlformats.org/spreadsheetml/2006/main">
  <numFmts count="9">
    <numFmt numFmtId="171" formatCode="_(* #,##0.00_);_(* \(#,##0.00\);_(* &quot;-&quot;??_);_(@_)"/>
    <numFmt numFmtId="180" formatCode="0.0%"/>
    <numFmt numFmtId="185" formatCode="0.0"/>
    <numFmt numFmtId="186" formatCode="[$$-409]#,##0.00;[Red][$$-409]#,##0.00"/>
    <numFmt numFmtId="187" formatCode="[$$-409]#,##0;[Red][$$-409]#,##0"/>
    <numFmt numFmtId="202" formatCode="#,##0.00\ &quot;€&quot;"/>
    <numFmt numFmtId="207" formatCode="[$$-409]#,##0.00"/>
    <numFmt numFmtId="208" formatCode="[$$-300A]\ #,##0.00"/>
    <numFmt numFmtId="211" formatCode="#,##0.00\ _€"/>
  </numFmts>
  <fonts count="20">
    <font>
      <sz val="10"/>
      <name val="Arial"/>
    </font>
    <font>
      <sz val="10"/>
      <name val="Arial"/>
    </font>
    <font>
      <sz val="8"/>
      <name val="Arial"/>
    </font>
    <font>
      <sz val="9"/>
      <color indexed="8"/>
      <name val="Arial"/>
      <family val="2"/>
    </font>
    <font>
      <b/>
      <i/>
      <u/>
      <sz val="10"/>
      <name val="Arial"/>
      <family val="2"/>
    </font>
    <font>
      <b/>
      <i/>
      <u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9"/>
      <name val="Tahoma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10"/>
      <name val="Arial"/>
    </font>
    <font>
      <b/>
      <sz val="10"/>
      <color indexed="10"/>
      <name val="Arial"/>
    </font>
    <font>
      <b/>
      <sz val="10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right" wrapText="1"/>
    </xf>
    <xf numFmtId="9" fontId="3" fillId="3" borderId="4" xfId="1" applyFont="1" applyFill="1" applyBorder="1" applyAlignment="1">
      <alignment horizontal="right" wrapText="1"/>
    </xf>
    <xf numFmtId="180" fontId="3" fillId="3" borderId="4" xfId="1" applyNumberFormat="1" applyFont="1" applyFill="1" applyBorder="1" applyAlignment="1">
      <alignment horizontal="right" wrapText="1"/>
    </xf>
    <xf numFmtId="0" fontId="4" fillId="0" borderId="0" xfId="0" applyFont="1"/>
    <xf numFmtId="0" fontId="0" fillId="0" borderId="1" xfId="0" applyBorder="1" applyAlignment="1">
      <alignment horizontal="center"/>
    </xf>
    <xf numFmtId="187" fontId="0" fillId="0" borderId="1" xfId="0" applyNumberFormat="1" applyBorder="1"/>
    <xf numFmtId="187" fontId="6" fillId="0" borderId="1" xfId="0" applyNumberFormat="1" applyFont="1" applyBorder="1"/>
    <xf numFmtId="0" fontId="0" fillId="0" borderId="1" xfId="0" applyFill="1" applyBorder="1"/>
    <xf numFmtId="187" fontId="0" fillId="2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186" fontId="0" fillId="0" borderId="1" xfId="0" applyNumberFormat="1" applyBorder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0" fillId="0" borderId="1" xfId="0" applyNumberFormat="1" applyBorder="1"/>
    <xf numFmtId="186" fontId="0" fillId="0" borderId="0" xfId="0" applyNumberFormat="1"/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0" xfId="0" applyFont="1" applyAlignment="1"/>
    <xf numFmtId="1" fontId="0" fillId="0" borderId="1" xfId="0" applyNumberFormat="1" applyBorder="1"/>
    <xf numFmtId="0" fontId="4" fillId="0" borderId="0" xfId="0" applyFont="1" applyAlignment="1">
      <alignment horizontal="center"/>
    </xf>
    <xf numFmtId="186" fontId="0" fillId="0" borderId="0" xfId="0" applyNumberFormat="1" applyBorder="1"/>
    <xf numFmtId="2" fontId="0" fillId="0" borderId="0" xfId="0" applyNumberFormat="1" applyBorder="1"/>
    <xf numFmtId="9" fontId="0" fillId="0" borderId="1" xfId="0" applyNumberFormat="1" applyBorder="1"/>
    <xf numFmtId="0" fontId="11" fillId="0" borderId="0" xfId="0" applyFont="1"/>
    <xf numFmtId="2" fontId="0" fillId="0" borderId="0" xfId="0" applyNumberFormat="1"/>
    <xf numFmtId="1" fontId="0" fillId="0" borderId="0" xfId="0" applyNumberFormat="1"/>
    <xf numFmtId="180" fontId="0" fillId="0" borderId="0" xfId="1" applyNumberFormat="1" applyFont="1"/>
    <xf numFmtId="1" fontId="0" fillId="0" borderId="0" xfId="0" applyNumberFormat="1" applyBorder="1"/>
    <xf numFmtId="185" fontId="0" fillId="0" borderId="0" xfId="0" applyNumberFormat="1"/>
    <xf numFmtId="187" fontId="0" fillId="0" borderId="0" xfId="0" applyNumberFormat="1"/>
    <xf numFmtId="4" fontId="0" fillId="0" borderId="1" xfId="0" applyNumberFormat="1" applyBorder="1"/>
    <xf numFmtId="0" fontId="6" fillId="0" borderId="0" xfId="0" applyFont="1" applyFill="1" applyBorder="1"/>
    <xf numFmtId="0" fontId="13" fillId="2" borderId="1" xfId="0" applyFont="1" applyFill="1" applyBorder="1"/>
    <xf numFmtId="10" fontId="15" fillId="0" borderId="1" xfId="0" applyNumberFormat="1" applyFont="1" applyBorder="1" applyAlignment="1">
      <alignment wrapText="1"/>
    </xf>
    <xf numFmtId="1" fontId="0" fillId="0" borderId="1" xfId="0" applyNumberFormat="1" applyFill="1" applyBorder="1"/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1" fontId="0" fillId="0" borderId="0" xfId="0" applyNumberFormat="1" applyFill="1" applyBorder="1"/>
    <xf numFmtId="0" fontId="11" fillId="0" borderId="1" xfId="0" applyFont="1" applyBorder="1" applyAlignment="1">
      <alignment horizontal="center"/>
    </xf>
    <xf numFmtId="186" fontId="6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Border="1"/>
    <xf numFmtId="0" fontId="0" fillId="0" borderId="1" xfId="0" applyBorder="1" applyAlignment="1"/>
    <xf numFmtId="0" fontId="0" fillId="0" borderId="0" xfId="0" applyFill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/>
    <xf numFmtId="0" fontId="19" fillId="0" borderId="0" xfId="0" applyFont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7" fillId="0" borderId="0" xfId="0" applyFont="1" applyBorder="1" applyAlignment="1"/>
    <xf numFmtId="0" fontId="5" fillId="0" borderId="0" xfId="0" applyFont="1" applyAlignment="1"/>
    <xf numFmtId="0" fontId="3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right" wrapText="1"/>
    </xf>
    <xf numFmtId="9" fontId="0" fillId="0" borderId="8" xfId="1" applyFont="1" applyBorder="1"/>
    <xf numFmtId="4" fontId="0" fillId="0" borderId="9" xfId="0" applyNumberFormat="1" applyBorder="1"/>
    <xf numFmtId="0" fontId="12" fillId="0" borderId="0" xfId="0" applyFont="1" applyFill="1" applyBorder="1"/>
    <xf numFmtId="0" fontId="13" fillId="0" borderId="0" xfId="0" applyFont="1" applyFill="1" applyBorder="1"/>
    <xf numFmtId="0" fontId="0" fillId="0" borderId="0" xfId="0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17" fontId="12" fillId="0" borderId="0" xfId="0" applyNumberFormat="1" applyFont="1" applyFill="1" applyBorder="1"/>
    <xf numFmtId="202" fontId="12" fillId="0" borderId="0" xfId="0" applyNumberFormat="1" applyFont="1" applyFill="1" applyBorder="1" applyAlignment="1">
      <alignment horizontal="right"/>
    </xf>
    <xf numFmtId="208" fontId="0" fillId="0" borderId="0" xfId="0" applyNumberFormat="1" applyBorder="1" applyAlignment="1">
      <alignment horizontal="right"/>
    </xf>
    <xf numFmtId="211" fontId="0" fillId="0" borderId="0" xfId="0" applyNumberFormat="1" applyBorder="1" applyAlignment="1">
      <alignment horizontal="right"/>
    </xf>
    <xf numFmtId="207" fontId="0" fillId="0" borderId="0" xfId="0" applyNumberFormat="1" applyBorder="1"/>
    <xf numFmtId="208" fontId="6" fillId="0" borderId="1" xfId="0" applyNumberFormat="1" applyFont="1" applyBorder="1" applyAlignment="1">
      <alignment horizontal="right"/>
    </xf>
    <xf numFmtId="185" fontId="0" fillId="0" borderId="0" xfId="0" applyNumberFormat="1" applyBorder="1"/>
    <xf numFmtId="0" fontId="0" fillId="0" borderId="10" xfId="0" applyBorder="1"/>
    <xf numFmtId="0" fontId="6" fillId="0" borderId="10" xfId="0" applyFont="1" applyBorder="1"/>
    <xf numFmtId="4" fontId="6" fillId="0" borderId="1" xfId="0" applyNumberFormat="1" applyFont="1" applyBorder="1" applyAlignment="1">
      <alignment horizontal="right"/>
    </xf>
    <xf numFmtId="4" fontId="0" fillId="0" borderId="0" xfId="0" applyNumberFormat="1"/>
    <xf numFmtId="4" fontId="0" fillId="0" borderId="11" xfId="0" applyNumberFormat="1" applyBorder="1"/>
    <xf numFmtId="0" fontId="6" fillId="0" borderId="12" xfId="0" applyFont="1" applyBorder="1"/>
    <xf numFmtId="208" fontId="0" fillId="0" borderId="9" xfId="0" applyNumberForma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1" fontId="16" fillId="0" borderId="0" xfId="0" applyNumberFormat="1" applyFont="1"/>
    <xf numFmtId="2" fontId="0" fillId="4" borderId="1" xfId="0" applyNumberFormat="1" applyFill="1" applyBorder="1"/>
    <xf numFmtId="186" fontId="6" fillId="0" borderId="1" xfId="0" applyNumberFormat="1" applyFont="1" applyBorder="1"/>
    <xf numFmtId="0" fontId="6" fillId="0" borderId="1" xfId="0" applyFont="1" applyFill="1" applyBorder="1" applyAlignment="1">
      <alignment horizontal="justify" vertical="top" wrapText="1"/>
    </xf>
    <xf numFmtId="0" fontId="6" fillId="5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86" fontId="6" fillId="0" borderId="1" xfId="0" applyNumberFormat="1" applyFont="1" applyFill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186" fontId="0" fillId="6" borderId="1" xfId="0" applyNumberFormat="1" applyFill="1" applyBorder="1"/>
    <xf numFmtId="171" fontId="0" fillId="0" borderId="0" xfId="0" applyNumberFormat="1"/>
    <xf numFmtId="171" fontId="6" fillId="0" borderId="0" xfId="0" applyNumberFormat="1" applyFont="1"/>
    <xf numFmtId="171" fontId="7" fillId="0" borderId="0" xfId="0" applyNumberFormat="1" applyFont="1"/>
    <xf numFmtId="171" fontId="0" fillId="0" borderId="0" xfId="0" applyNumberForma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6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171" fontId="0" fillId="0" borderId="1" xfId="0" applyNumberFormat="1" applyBorder="1"/>
    <xf numFmtId="186" fontId="6" fillId="0" borderId="0" xfId="0" applyNumberFormat="1" applyFont="1"/>
    <xf numFmtId="171" fontId="6" fillId="0" borderId="1" xfId="0" applyNumberFormat="1" applyFont="1" applyBorder="1"/>
    <xf numFmtId="171" fontId="6" fillId="0" borderId="1" xfId="0" applyNumberFormat="1" applyFont="1" applyFill="1" applyBorder="1" applyAlignment="1">
      <alignment horizontal="right" vertical="center" wrapText="1"/>
    </xf>
    <xf numFmtId="171" fontId="7" fillId="0" borderId="1" xfId="0" applyNumberFormat="1" applyFont="1" applyBorder="1" applyAlignment="1">
      <alignment horizontal="center"/>
    </xf>
    <xf numFmtId="171" fontId="7" fillId="0" borderId="1" xfId="0" applyNumberFormat="1" applyFont="1" applyBorder="1"/>
    <xf numFmtId="171" fontId="0" fillId="0" borderId="1" xfId="0" applyNumberFormat="1" applyFill="1" applyBorder="1"/>
    <xf numFmtId="171" fontId="6" fillId="0" borderId="1" xfId="0" applyNumberFormat="1" applyFont="1" applyFill="1" applyBorder="1"/>
    <xf numFmtId="171" fontId="1" fillId="0" borderId="1" xfId="0" applyNumberFormat="1" applyFont="1" applyFill="1" applyBorder="1"/>
    <xf numFmtId="171" fontId="0" fillId="4" borderId="1" xfId="0" applyNumberFormat="1" applyFill="1" applyBorder="1"/>
    <xf numFmtId="180" fontId="0" fillId="0" borderId="1" xfId="0" applyNumberFormat="1" applyBorder="1" applyAlignment="1"/>
    <xf numFmtId="9" fontId="7" fillId="0" borderId="0" xfId="0" applyNumberFormat="1" applyFont="1"/>
    <xf numFmtId="10" fontId="0" fillId="0" borderId="1" xfId="1" applyNumberFormat="1" applyFont="1" applyBorder="1"/>
    <xf numFmtId="10" fontId="0" fillId="0" borderId="1" xfId="0" applyNumberFormat="1" applyBorder="1"/>
    <xf numFmtId="9" fontId="7" fillId="0" borderId="1" xfId="0" applyNumberFormat="1" applyFont="1" applyBorder="1"/>
    <xf numFmtId="10" fontId="6" fillId="0" borderId="0" xfId="1" applyNumberFormat="1" applyFont="1"/>
    <xf numFmtId="171" fontId="7" fillId="0" borderId="6" xfId="0" applyNumberFormat="1" applyFont="1" applyBorder="1"/>
    <xf numFmtId="171" fontId="0" fillId="0" borderId="6" xfId="0" applyNumberFormat="1" applyBorder="1"/>
    <xf numFmtId="1" fontId="0" fillId="0" borderId="0" xfId="0" applyNumberFormat="1" applyFill="1" applyBorder="1" applyAlignment="1">
      <alignment vertical="justify" wrapText="1"/>
    </xf>
    <xf numFmtId="0" fontId="0" fillId="0" borderId="14" xfId="0" applyBorder="1"/>
    <xf numFmtId="0" fontId="0" fillId="0" borderId="15" xfId="0" applyBorder="1"/>
    <xf numFmtId="0" fontId="7" fillId="0" borderId="1" xfId="0" applyNumberFormat="1" applyFont="1" applyBorder="1" applyAlignment="1">
      <alignment horizontal="center" vertical="center"/>
    </xf>
    <xf numFmtId="171" fontId="0" fillId="0" borderId="1" xfId="1" applyNumberFormat="1" applyFont="1" applyBorder="1"/>
    <xf numFmtId="0" fontId="4" fillId="0" borderId="0" xfId="0" applyFont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17" xfId="0" applyFont="1" applyBorder="1"/>
    <xf numFmtId="0" fontId="0" fillId="0" borderId="17" xfId="0" applyBorder="1"/>
    <xf numFmtId="0" fontId="0" fillId="0" borderId="0" xfId="0" applyBorder="1"/>
    <xf numFmtId="0" fontId="3" fillId="3" borderId="19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justify" wrapText="1"/>
    </xf>
    <xf numFmtId="0" fontId="14" fillId="2" borderId="6" xfId="0" applyFont="1" applyFill="1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6" xfId="0" applyFont="1" applyBorder="1"/>
    <xf numFmtId="0" fontId="13" fillId="0" borderId="12" xfId="0" applyFont="1" applyBorder="1"/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1" fillId="0" borderId="1" xfId="0" applyFont="1" applyBorder="1" applyAlignment="1"/>
    <xf numFmtId="0" fontId="11" fillId="0" borderId="11" xfId="0" applyFont="1" applyBorder="1" applyAlignment="1"/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1" xfId="0" applyFont="1" applyBorder="1" applyAlignment="1">
      <alignment horizontal="left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3"/>
  <sheetViews>
    <sheetView topLeftCell="A39" workbookViewId="0">
      <selection activeCell="I30" sqref="I30"/>
    </sheetView>
  </sheetViews>
  <sheetFormatPr baseColWidth="10" defaultRowHeight="12.75"/>
  <cols>
    <col min="2" max="2" width="17.140625" customWidth="1"/>
    <col min="3" max="3" width="13.140625" customWidth="1"/>
    <col min="4" max="4" width="11.5703125" bestFit="1" customWidth="1"/>
    <col min="5" max="5" width="15.5703125" customWidth="1"/>
    <col min="6" max="6" width="12" bestFit="1" customWidth="1"/>
    <col min="8" max="8" width="11.5703125" bestFit="1" customWidth="1"/>
    <col min="9" max="9" width="22.85546875" customWidth="1"/>
  </cols>
  <sheetData>
    <row r="4" spans="2:10">
      <c r="B4" s="141" t="s">
        <v>146</v>
      </c>
      <c r="C4" s="141"/>
      <c r="D4" s="141"/>
      <c r="E4" s="141"/>
    </row>
    <row r="5" spans="2:10">
      <c r="B5" s="141" t="s">
        <v>147</v>
      </c>
      <c r="C5" s="141"/>
      <c r="D5" s="141"/>
      <c r="E5" s="141"/>
    </row>
    <row r="6" spans="2:10">
      <c r="B6" s="32"/>
      <c r="C6" s="32"/>
      <c r="D6" s="32"/>
      <c r="E6" s="32"/>
    </row>
    <row r="7" spans="2:10" ht="12.75" customHeight="1">
      <c r="B7" s="150"/>
      <c r="C7" s="159" t="s">
        <v>134</v>
      </c>
      <c r="D7" s="48"/>
      <c r="E7" s="32"/>
    </row>
    <row r="8" spans="2:10">
      <c r="B8" s="151"/>
      <c r="C8" s="160"/>
      <c r="D8" s="49" t="s">
        <v>1</v>
      </c>
      <c r="E8" s="32"/>
    </row>
    <row r="9" spans="2:10">
      <c r="B9" s="154"/>
      <c r="C9" s="154"/>
      <c r="D9" s="155"/>
      <c r="I9" s="16"/>
      <c r="J9" s="16"/>
    </row>
    <row r="10" spans="2:10">
      <c r="B10" s="45" t="s">
        <v>135</v>
      </c>
      <c r="C10" s="47">
        <v>3050728</v>
      </c>
      <c r="D10" s="46">
        <v>1</v>
      </c>
    </row>
    <row r="11" spans="2:10">
      <c r="E11" s="32"/>
    </row>
    <row r="12" spans="2:10">
      <c r="E12" s="32"/>
    </row>
    <row r="13" spans="2:10">
      <c r="E13" s="32"/>
    </row>
    <row r="14" spans="2:10">
      <c r="E14" s="32"/>
      <c r="F14" s="50"/>
    </row>
    <row r="15" spans="2:10">
      <c r="E15" s="32"/>
    </row>
    <row r="16" spans="2:10">
      <c r="E16" s="32"/>
    </row>
    <row r="17" spans="2:7">
      <c r="E17" s="32"/>
    </row>
    <row r="19" spans="2:7" ht="13.5" thickBot="1">
      <c r="B19" s="161" t="s">
        <v>148</v>
      </c>
      <c r="C19" s="161"/>
      <c r="D19" s="161"/>
      <c r="E19" s="161"/>
      <c r="F19" s="161"/>
      <c r="G19" s="69"/>
    </row>
    <row r="20" spans="2:7" ht="13.5" thickBot="1">
      <c r="B20" s="147" t="s">
        <v>2</v>
      </c>
      <c r="C20" s="148"/>
      <c r="D20" s="3" t="s">
        <v>3</v>
      </c>
      <c r="E20" s="3" t="s">
        <v>4</v>
      </c>
      <c r="F20" s="3"/>
    </row>
    <row r="21" spans="2:7" ht="13.5" thickBot="1">
      <c r="B21" s="4" t="s">
        <v>5</v>
      </c>
      <c r="C21" s="5" t="s">
        <v>6</v>
      </c>
      <c r="D21" s="6">
        <v>236</v>
      </c>
      <c r="E21" s="8">
        <v>0.86099999999999999</v>
      </c>
      <c r="F21" s="6"/>
    </row>
    <row r="22" spans="2:7" ht="13.5" thickBot="1">
      <c r="B22" s="4"/>
      <c r="C22" s="5" t="s">
        <v>7</v>
      </c>
      <c r="D22" s="6">
        <v>38</v>
      </c>
      <c r="E22" s="8">
        <v>0.13900000000000001</v>
      </c>
      <c r="F22" s="6"/>
    </row>
    <row r="23" spans="2:7" ht="13.5" thickBot="1">
      <c r="B23" s="4"/>
      <c r="C23" s="5" t="s">
        <v>149</v>
      </c>
      <c r="D23" s="6">
        <v>107</v>
      </c>
      <c r="E23" s="7"/>
      <c r="F23" s="6"/>
    </row>
    <row r="24" spans="2:7">
      <c r="C24" s="70" t="s">
        <v>0</v>
      </c>
      <c r="D24" s="71">
        <v>381</v>
      </c>
      <c r="E24" s="72">
        <v>1</v>
      </c>
    </row>
    <row r="28" spans="2:7">
      <c r="B28" s="156" t="s">
        <v>11</v>
      </c>
      <c r="C28" s="156"/>
      <c r="D28" s="31">
        <f>+C10*E21</f>
        <v>2626676.8080000002</v>
      </c>
    </row>
    <row r="29" spans="2:7">
      <c r="B29" s="156" t="s">
        <v>76</v>
      </c>
      <c r="C29" s="156"/>
      <c r="D29" s="31">
        <f>(D28*E38)/2</f>
        <v>500381.93192400003</v>
      </c>
      <c r="E29" s="62"/>
      <c r="F29" s="38"/>
    </row>
    <row r="30" spans="2:7">
      <c r="B30" s="57" t="s">
        <v>76</v>
      </c>
      <c r="C30" s="128">
        <v>6.5000000000000002E-2</v>
      </c>
      <c r="D30" s="31">
        <f>+D29*C30</f>
        <v>32524.825575060004</v>
      </c>
      <c r="E30" t="s">
        <v>143</v>
      </c>
      <c r="F30" s="37"/>
    </row>
    <row r="31" spans="2:7">
      <c r="B31" s="157" t="s">
        <v>153</v>
      </c>
      <c r="C31" s="158"/>
      <c r="D31" s="31">
        <f>+D30</f>
        <v>32524.825575060004</v>
      </c>
      <c r="E31" t="s">
        <v>151</v>
      </c>
    </row>
    <row r="32" spans="2:7">
      <c r="B32" s="16"/>
      <c r="C32" s="16"/>
      <c r="D32" s="40"/>
    </row>
    <row r="34" spans="2:9">
      <c r="B34" s="149" t="s">
        <v>152</v>
      </c>
      <c r="C34" s="149"/>
      <c r="D34" s="149"/>
      <c r="E34" s="149"/>
      <c r="F34" s="149"/>
      <c r="G34" s="149"/>
    </row>
    <row r="35" spans="2:9" ht="13.5" thickBot="1">
      <c r="B35" s="144" t="s">
        <v>2</v>
      </c>
      <c r="C35" s="145"/>
      <c r="D35" s="145"/>
      <c r="E35" s="145"/>
      <c r="F35" s="146"/>
      <c r="G35" s="146"/>
    </row>
    <row r="36" spans="2:9" ht="13.5" thickBot="1">
      <c r="B36" s="147" t="s">
        <v>2</v>
      </c>
      <c r="C36" s="148"/>
      <c r="D36" s="3" t="s">
        <v>3</v>
      </c>
      <c r="E36" s="3" t="s">
        <v>4</v>
      </c>
      <c r="F36" s="137"/>
      <c r="G36" s="138"/>
    </row>
    <row r="37" spans="2:9" ht="13.5" thickBot="1">
      <c r="B37" s="142" t="s">
        <v>5</v>
      </c>
      <c r="C37" s="5" t="s">
        <v>8</v>
      </c>
      <c r="D37" s="6">
        <v>58</v>
      </c>
      <c r="E37" s="8">
        <v>0.21199999999999999</v>
      </c>
      <c r="G37" s="38"/>
      <c r="H37" s="38"/>
    </row>
    <row r="38" spans="2:9" ht="13.5" thickBot="1">
      <c r="B38" s="142"/>
      <c r="C38" s="5" t="s">
        <v>9</v>
      </c>
      <c r="D38" s="6">
        <v>104</v>
      </c>
      <c r="E38" s="8">
        <v>0.38100000000000001</v>
      </c>
      <c r="G38" s="38"/>
      <c r="H38" s="38"/>
      <c r="I38" s="39"/>
    </row>
    <row r="39" spans="2:9" ht="13.5" thickBot="1">
      <c r="B39" s="142"/>
      <c r="C39" s="5" t="s">
        <v>10</v>
      </c>
      <c r="D39" s="6">
        <v>71</v>
      </c>
      <c r="E39" s="8">
        <v>0.26</v>
      </c>
      <c r="G39" s="38"/>
      <c r="H39" s="38"/>
      <c r="I39" s="39"/>
    </row>
    <row r="40" spans="2:9" ht="13.5" thickBot="1">
      <c r="B40" s="142"/>
      <c r="C40" s="5" t="s">
        <v>150</v>
      </c>
      <c r="D40" s="6">
        <v>40</v>
      </c>
      <c r="E40" s="8">
        <v>0.14699999999999999</v>
      </c>
      <c r="G40" s="38"/>
      <c r="H40" s="38"/>
      <c r="I40" s="39"/>
    </row>
    <row r="41" spans="2:9" ht="13.5" thickBot="1">
      <c r="B41" s="142"/>
      <c r="C41" s="5" t="s">
        <v>149</v>
      </c>
      <c r="D41" s="6">
        <v>108</v>
      </c>
      <c r="E41" s="8"/>
      <c r="G41" s="38"/>
      <c r="H41" s="38"/>
      <c r="I41" s="39"/>
    </row>
    <row r="42" spans="2:9" ht="13.5" thickBot="1">
      <c r="B42" s="143"/>
      <c r="C42" s="5" t="s">
        <v>0</v>
      </c>
      <c r="D42" s="6">
        <v>381</v>
      </c>
      <c r="E42" s="8">
        <v>1</v>
      </c>
      <c r="G42" s="38"/>
      <c r="H42" s="38"/>
      <c r="I42" s="39"/>
    </row>
    <row r="43" spans="2:9">
      <c r="H43" s="38"/>
    </row>
    <row r="45" spans="2:9">
      <c r="B45" s="152" t="s">
        <v>76</v>
      </c>
      <c r="C45" s="153"/>
      <c r="D45" s="31">
        <f>+D31</f>
        <v>32524.825575060004</v>
      </c>
      <c r="E45" s="38" t="s">
        <v>154</v>
      </c>
      <c r="F45" s="34"/>
      <c r="G45" s="16"/>
      <c r="H45" s="34"/>
    </row>
    <row r="46" spans="2:9">
      <c r="B46" s="162" t="s">
        <v>139</v>
      </c>
      <c r="C46" s="162"/>
      <c r="D46" s="31">
        <f>+D45/30</f>
        <v>1084.1608525020001</v>
      </c>
      <c r="E46" s="38" t="s">
        <v>154</v>
      </c>
      <c r="F46" s="40"/>
      <c r="G46" s="16"/>
      <c r="H46" s="34"/>
    </row>
    <row r="47" spans="2:9">
      <c r="B47" s="162" t="s">
        <v>145</v>
      </c>
      <c r="C47" s="162"/>
      <c r="D47" s="31">
        <f>+D46*7</f>
        <v>7589.1259675140009</v>
      </c>
      <c r="E47" s="38"/>
      <c r="F47" s="40"/>
      <c r="G47" s="16"/>
      <c r="H47" s="34"/>
    </row>
    <row r="48" spans="2:9">
      <c r="B48" s="152" t="s">
        <v>54</v>
      </c>
      <c r="C48" s="153"/>
      <c r="D48" s="31">
        <f>D46*360</f>
        <v>390297.90690072003</v>
      </c>
      <c r="E48" s="22" t="s">
        <v>154</v>
      </c>
    </row>
    <row r="49" spans="2:6">
      <c r="B49" s="162" t="s">
        <v>144</v>
      </c>
      <c r="C49" s="162"/>
      <c r="D49" s="1">
        <v>1</v>
      </c>
    </row>
    <row r="52" spans="2:6">
      <c r="B52" s="15"/>
      <c r="C52" s="15"/>
    </row>
    <row r="53" spans="2:6">
      <c r="B53" s="15"/>
      <c r="C53" s="15"/>
      <c r="D53" s="16"/>
    </row>
    <row r="54" spans="2:6">
      <c r="B54" s="164" t="s">
        <v>140</v>
      </c>
      <c r="C54" s="164"/>
      <c r="D54" s="164"/>
      <c r="F54" s="41"/>
    </row>
    <row r="55" spans="2:6">
      <c r="B55" s="162" t="s">
        <v>142</v>
      </c>
      <c r="C55" s="162"/>
      <c r="D55" s="31">
        <f>+D46/8</f>
        <v>135.52010656275002</v>
      </c>
      <c r="E55" t="s">
        <v>154</v>
      </c>
    </row>
    <row r="56" spans="2:6">
      <c r="B56" s="152" t="s">
        <v>141</v>
      </c>
      <c r="C56" s="153"/>
      <c r="D56" s="31">
        <f>+D55*8</f>
        <v>1084.1608525020001</v>
      </c>
      <c r="E56" t="s">
        <v>154</v>
      </c>
    </row>
    <row r="61" spans="2:6">
      <c r="B61" s="163"/>
      <c r="C61" s="163"/>
      <c r="D61" s="68"/>
    </row>
    <row r="62" spans="2:6">
      <c r="B62" s="136"/>
      <c r="C62" s="16"/>
      <c r="D62" s="16"/>
    </row>
    <row r="63" spans="2:6">
      <c r="B63" s="40"/>
      <c r="C63" s="16"/>
      <c r="D63" s="16"/>
    </row>
  </sheetData>
  <mergeCells count="23">
    <mergeCell ref="B46:C46"/>
    <mergeCell ref="B61:C61"/>
    <mergeCell ref="B55:C55"/>
    <mergeCell ref="B54:D54"/>
    <mergeCell ref="B48:C48"/>
    <mergeCell ref="B56:C56"/>
    <mergeCell ref="B49:C49"/>
    <mergeCell ref="B47:C47"/>
    <mergeCell ref="B45:C45"/>
    <mergeCell ref="B9:D9"/>
    <mergeCell ref="B28:C28"/>
    <mergeCell ref="B29:C29"/>
    <mergeCell ref="B31:C31"/>
    <mergeCell ref="C7:C8"/>
    <mergeCell ref="B19:F19"/>
    <mergeCell ref="B5:E5"/>
    <mergeCell ref="B4:E4"/>
    <mergeCell ref="B37:B42"/>
    <mergeCell ref="B35:G35"/>
    <mergeCell ref="B20:C20"/>
    <mergeCell ref="B36:C36"/>
    <mergeCell ref="B34:G34"/>
    <mergeCell ref="B7:B8"/>
  </mergeCells>
  <phoneticPr fontId="2" type="noConversion"/>
  <pageMargins left="0.75" right="0.75" top="1" bottom="1" header="0" footer="0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61"/>
  <sheetViews>
    <sheetView topLeftCell="A33" workbookViewId="0">
      <selection activeCell="E39" sqref="E39"/>
    </sheetView>
  </sheetViews>
  <sheetFormatPr baseColWidth="10" defaultRowHeight="12.75"/>
  <cols>
    <col min="1" max="1" width="11.42578125" style="109"/>
    <col min="2" max="2" width="35.7109375" style="109" bestFit="1" customWidth="1"/>
    <col min="3" max="3" width="15.7109375" style="109" customWidth="1"/>
    <col min="4" max="16384" width="11.42578125" style="109"/>
  </cols>
  <sheetData>
    <row r="4" spans="2:9">
      <c r="C4" s="110" t="s">
        <v>228</v>
      </c>
    </row>
    <row r="6" spans="2:9">
      <c r="B6" s="118"/>
      <c r="C6" s="123">
        <v>0</v>
      </c>
      <c r="D6" s="139">
        <v>1</v>
      </c>
      <c r="E6" s="139">
        <v>2</v>
      </c>
      <c r="F6" s="139">
        <v>3</v>
      </c>
      <c r="G6" s="139">
        <v>4</v>
      </c>
      <c r="H6" s="139">
        <v>5</v>
      </c>
      <c r="I6" s="111"/>
    </row>
    <row r="7" spans="2:9">
      <c r="B7" s="120" t="s">
        <v>229</v>
      </c>
      <c r="C7" s="118"/>
      <c r="D7" s="118">
        <f>Ingresos!H8</f>
        <v>390297.90690072003</v>
      </c>
      <c r="E7" s="118">
        <f>D7*1.025</f>
        <v>400055.354573238</v>
      </c>
      <c r="F7" s="118">
        <f>E7*1.025</f>
        <v>410056.73843756894</v>
      </c>
      <c r="G7" s="118">
        <f>F7*1.025</f>
        <v>420308.15689850814</v>
      </c>
      <c r="H7" s="118">
        <f>G7*1.025</f>
        <v>430815.86082097079</v>
      </c>
    </row>
    <row r="8" spans="2:9">
      <c r="B8" s="122"/>
      <c r="C8" s="122"/>
      <c r="D8" s="122"/>
      <c r="E8" s="122"/>
      <c r="F8" s="122"/>
      <c r="G8" s="122"/>
      <c r="H8" s="122"/>
    </row>
    <row r="9" spans="2:9">
      <c r="B9" s="120" t="s">
        <v>60</v>
      </c>
      <c r="C9" s="118"/>
      <c r="D9" s="118"/>
      <c r="E9" s="118"/>
      <c r="F9" s="118"/>
      <c r="G9" s="118"/>
      <c r="H9" s="118"/>
    </row>
    <row r="10" spans="2:9">
      <c r="B10" s="120" t="s">
        <v>62</v>
      </c>
      <c r="C10" s="140"/>
      <c r="D10" s="118">
        <f>D.A.M!N17</f>
        <v>129241.79999999997</v>
      </c>
      <c r="E10" s="118">
        <f t="shared" ref="E10:H12" si="0">D10</f>
        <v>129241.79999999997</v>
      </c>
      <c r="F10" s="118">
        <f t="shared" si="0"/>
        <v>129241.79999999997</v>
      </c>
      <c r="G10" s="118">
        <f t="shared" si="0"/>
        <v>129241.79999999997</v>
      </c>
      <c r="H10" s="118">
        <f t="shared" si="0"/>
        <v>129241.79999999997</v>
      </c>
    </row>
    <row r="11" spans="2:9">
      <c r="B11" s="125" t="s">
        <v>61</v>
      </c>
      <c r="C11" s="140"/>
      <c r="D11" s="118">
        <f>D.A.M!N18</f>
        <v>15642</v>
      </c>
      <c r="E11" s="118">
        <f t="shared" si="0"/>
        <v>15642</v>
      </c>
      <c r="F11" s="118">
        <f t="shared" si="0"/>
        <v>15642</v>
      </c>
      <c r="G11" s="118">
        <f t="shared" si="0"/>
        <v>15642</v>
      </c>
      <c r="H11" s="118">
        <f t="shared" si="0"/>
        <v>15642</v>
      </c>
    </row>
    <row r="12" spans="2:9">
      <c r="B12" s="125" t="s">
        <v>230</v>
      </c>
      <c r="C12" s="118"/>
      <c r="D12" s="118">
        <f>D.A.M!N19</f>
        <v>219406.62239999996</v>
      </c>
      <c r="E12" s="118">
        <f t="shared" si="0"/>
        <v>219406.62239999996</v>
      </c>
      <c r="F12" s="118">
        <f t="shared" si="0"/>
        <v>219406.62239999996</v>
      </c>
      <c r="G12" s="118">
        <f t="shared" si="0"/>
        <v>219406.62239999996</v>
      </c>
      <c r="H12" s="118">
        <f t="shared" si="0"/>
        <v>219406.62239999996</v>
      </c>
    </row>
    <row r="13" spans="2:9">
      <c r="B13" s="125" t="s">
        <v>231</v>
      </c>
      <c r="C13" s="118"/>
      <c r="D13" s="118">
        <f>SUM(D10:D12)</f>
        <v>364290.42239999992</v>
      </c>
      <c r="E13" s="118">
        <f>SUM(E10:E12)</f>
        <v>364290.42239999992</v>
      </c>
      <c r="F13" s="118">
        <f>SUM(F10:F12)</f>
        <v>364290.42239999992</v>
      </c>
      <c r="G13" s="118">
        <f>SUM(G10:G12)</f>
        <v>364290.42239999992</v>
      </c>
      <c r="H13" s="118">
        <f>SUM(H10:H12)</f>
        <v>364290.42239999992</v>
      </c>
    </row>
    <row r="14" spans="2:9">
      <c r="B14" s="118"/>
      <c r="C14" s="118"/>
      <c r="D14" s="118"/>
      <c r="E14" s="118"/>
      <c r="F14" s="118"/>
      <c r="G14" s="118"/>
      <c r="H14" s="118"/>
    </row>
    <row r="15" spans="2:9">
      <c r="B15" s="120" t="s">
        <v>232</v>
      </c>
      <c r="C15" s="118"/>
      <c r="D15" s="118">
        <f>V.S!$D$30</f>
        <v>260</v>
      </c>
      <c r="E15" s="118">
        <f>V.S!$D$30</f>
        <v>260</v>
      </c>
      <c r="F15" s="118">
        <f>V.S!$D$30</f>
        <v>260</v>
      </c>
      <c r="G15" s="118">
        <f>V.S!$D$30</f>
        <v>260</v>
      </c>
      <c r="H15" s="118">
        <f>V.S!$D$30</f>
        <v>260</v>
      </c>
    </row>
    <row r="16" spans="2:9">
      <c r="B16" s="120" t="s">
        <v>233</v>
      </c>
      <c r="C16" s="118"/>
      <c r="D16" s="118"/>
      <c r="E16" s="118"/>
      <c r="F16" s="118"/>
      <c r="G16" s="118"/>
      <c r="H16" s="118"/>
    </row>
    <row r="17" spans="2:8">
      <c r="B17" s="120" t="s">
        <v>256</v>
      </c>
      <c r="C17" s="118"/>
      <c r="D17" s="118">
        <f>V.S!$I$9</f>
        <v>4000</v>
      </c>
      <c r="E17" s="118">
        <f>V.S!$I$9</f>
        <v>4000</v>
      </c>
      <c r="F17" s="118">
        <f>V.S!$I$9</f>
        <v>4000</v>
      </c>
      <c r="G17" s="118">
        <f>V.S!$I$9</f>
        <v>4000</v>
      </c>
      <c r="H17" s="118">
        <f>V.S!$I$9</f>
        <v>4000</v>
      </c>
    </row>
    <row r="18" spans="2:8">
      <c r="B18" s="120" t="s">
        <v>257</v>
      </c>
      <c r="C18" s="118"/>
      <c r="D18" s="118">
        <f>V.S!$I$10</f>
        <v>1317.3333333333335</v>
      </c>
      <c r="E18" s="118">
        <f>V.S!$I$10</f>
        <v>1317.3333333333335</v>
      </c>
      <c r="F18" s="118">
        <f>V.S!$I$10</f>
        <v>1317.3333333333335</v>
      </c>
      <c r="G18" s="118">
        <f>V.S!$I$10</f>
        <v>1317.3333333333335</v>
      </c>
      <c r="H18" s="118">
        <f>V.S!$I$10</f>
        <v>1317.3333333333335</v>
      </c>
    </row>
    <row r="19" spans="2:8">
      <c r="B19" s="120" t="s">
        <v>258</v>
      </c>
      <c r="C19" s="118"/>
      <c r="D19" s="118">
        <f>V.S!$I$17</f>
        <v>5960</v>
      </c>
      <c r="E19" s="118">
        <f>V.S!$I$17</f>
        <v>5960</v>
      </c>
      <c r="F19" s="118">
        <f>V.S!$I$17</f>
        <v>5960</v>
      </c>
      <c r="G19" s="118">
        <f>V.S!$I$17</f>
        <v>5960</v>
      </c>
      <c r="H19" s="118">
        <f>V.S!$I$17</f>
        <v>5960</v>
      </c>
    </row>
    <row r="20" spans="2:8">
      <c r="B20" s="120" t="s">
        <v>234</v>
      </c>
      <c r="C20" s="118"/>
      <c r="D20" s="118">
        <f>SUM(D17:D19)</f>
        <v>11277.333333333334</v>
      </c>
      <c r="E20" s="118">
        <f>SUM(E17:E19)</f>
        <v>11277.333333333334</v>
      </c>
      <c r="F20" s="118">
        <f>SUM(F17:F19)</f>
        <v>11277.333333333334</v>
      </c>
      <c r="G20" s="118">
        <f>SUM(G17:G19)</f>
        <v>11277.333333333334</v>
      </c>
      <c r="H20" s="118">
        <f>SUM(H17:H19)</f>
        <v>11277.333333333334</v>
      </c>
    </row>
    <row r="21" spans="2:8">
      <c r="B21" s="118"/>
      <c r="C21" s="118"/>
      <c r="D21" s="118"/>
      <c r="E21" s="118"/>
      <c r="F21" s="118"/>
      <c r="G21" s="118"/>
      <c r="H21" s="118"/>
    </row>
    <row r="22" spans="2:8">
      <c r="B22" s="120" t="s">
        <v>263</v>
      </c>
      <c r="C22" s="118"/>
      <c r="D22" s="118">
        <f>D7-D13-D15-D20</f>
        <v>14470.151167386774</v>
      </c>
      <c r="E22" s="118">
        <f>E7-E13-E15-E20</f>
        <v>24227.598839904742</v>
      </c>
      <c r="F22" s="118">
        <f>F7-F13-F15-F20</f>
        <v>34228.982704235685</v>
      </c>
      <c r="G22" s="118">
        <f>G7-G13-G15-G20</f>
        <v>44480.401165174881</v>
      </c>
      <c r="H22" s="118">
        <f>H7-H13-H15-H20</f>
        <v>54988.10508763753</v>
      </c>
    </row>
    <row r="23" spans="2:8">
      <c r="B23" s="120" t="s">
        <v>262</v>
      </c>
      <c r="C23" s="118"/>
      <c r="D23" s="118"/>
      <c r="E23" s="118"/>
      <c r="F23" s="118"/>
      <c r="G23" s="118"/>
      <c r="H23" s="118"/>
    </row>
    <row r="24" spans="2:8">
      <c r="B24" s="120" t="s">
        <v>127</v>
      </c>
      <c r="C24" s="118"/>
      <c r="D24" s="118"/>
      <c r="E24" s="118"/>
      <c r="F24" s="118"/>
      <c r="G24" s="118"/>
      <c r="H24" s="118"/>
    </row>
    <row r="25" spans="2:8">
      <c r="B25" s="120" t="s">
        <v>235</v>
      </c>
      <c r="C25" s="118"/>
      <c r="D25" s="118">
        <f>D22*25%</f>
        <v>3617.5377918466934</v>
      </c>
      <c r="E25" s="118">
        <f>E22*25%</f>
        <v>6056.8997099761855</v>
      </c>
      <c r="F25" s="118">
        <f>F22*25%</f>
        <v>8557.2456760589212</v>
      </c>
      <c r="G25" s="118">
        <f>G22*25%</f>
        <v>11120.10029129372</v>
      </c>
      <c r="H25" s="118">
        <f>H22*25%</f>
        <v>13747.026271909383</v>
      </c>
    </row>
    <row r="26" spans="2:8">
      <c r="B26" s="120" t="s">
        <v>128</v>
      </c>
      <c r="C26" s="118"/>
      <c r="D26" s="118">
        <f>D22-D25</f>
        <v>10852.613375540081</v>
      </c>
      <c r="E26" s="118">
        <f>E22-E25</f>
        <v>18170.699129928558</v>
      </c>
      <c r="F26" s="118">
        <f>F22-F25</f>
        <v>25671.737028176765</v>
      </c>
      <c r="G26" s="118">
        <f>G22-G25</f>
        <v>33360.300873881162</v>
      </c>
      <c r="H26" s="118">
        <f>H22-H25</f>
        <v>41241.078815728149</v>
      </c>
    </row>
    <row r="27" spans="2:8">
      <c r="B27" s="118"/>
      <c r="C27" s="118"/>
      <c r="D27" s="118"/>
      <c r="E27" s="118"/>
      <c r="F27" s="118"/>
      <c r="G27" s="118"/>
      <c r="H27" s="118"/>
    </row>
    <row r="28" spans="2:8">
      <c r="B28" s="120" t="s">
        <v>236</v>
      </c>
      <c r="C28" s="118"/>
      <c r="D28" s="118">
        <f>D20</f>
        <v>11277.333333333334</v>
      </c>
      <c r="E28" s="118">
        <f>E20</f>
        <v>11277.333333333334</v>
      </c>
      <c r="F28" s="118">
        <f>F20</f>
        <v>11277.333333333334</v>
      </c>
      <c r="G28" s="118">
        <f>G20</f>
        <v>11277.333333333334</v>
      </c>
      <c r="H28" s="118">
        <f>H20</f>
        <v>11277.333333333334</v>
      </c>
    </row>
    <row r="29" spans="2:8">
      <c r="B29" s="120" t="s">
        <v>237</v>
      </c>
      <c r="C29" s="118">
        <f>-'Equipos Of. y PLanta'!C64</f>
        <v>-78520</v>
      </c>
      <c r="D29" s="118"/>
      <c r="E29" s="118"/>
      <c r="F29" s="118"/>
      <c r="G29" s="118"/>
      <c r="H29" s="118"/>
    </row>
    <row r="30" spans="2:8">
      <c r="B30" s="120" t="s">
        <v>133</v>
      </c>
      <c r="C30" s="118">
        <f>Amortizacion!I30</f>
        <v>77949.247432955264</v>
      </c>
      <c r="D30" s="118"/>
      <c r="E30" s="118"/>
      <c r="F30" s="118"/>
      <c r="G30" s="118"/>
      <c r="H30" s="118"/>
    </row>
    <row r="31" spans="2:8">
      <c r="B31" s="120" t="s">
        <v>238</v>
      </c>
      <c r="C31" s="118"/>
      <c r="D31" s="118">
        <f>-Amortizacion!I14</f>
        <v>-15589.849486591052</v>
      </c>
      <c r="E31" s="118">
        <f>-Amortizacion!I15</f>
        <v>-15589.849486591052</v>
      </c>
      <c r="F31" s="118">
        <f>-Amortizacion!I16</f>
        <v>-15589.849486591052</v>
      </c>
      <c r="G31" s="118">
        <f>-Amortizacion!I17</f>
        <v>-15589.849486591052</v>
      </c>
      <c r="H31" s="118">
        <f>-Amortizacion!I18</f>
        <v>-15589.849486591052</v>
      </c>
    </row>
    <row r="32" spans="2:8">
      <c r="B32" s="120" t="s">
        <v>239</v>
      </c>
      <c r="C32" s="118">
        <f>-Amortizacion!C9</f>
        <v>-51395.412388258774</v>
      </c>
      <c r="D32" s="118"/>
      <c r="E32" s="118"/>
      <c r="F32" s="118"/>
      <c r="G32" s="118"/>
      <c r="H32" s="118"/>
    </row>
    <row r="33" spans="2:11">
      <c r="B33" s="120" t="s">
        <v>240</v>
      </c>
      <c r="C33" s="118"/>
      <c r="D33" s="118"/>
      <c r="E33" s="118"/>
      <c r="F33" s="118"/>
      <c r="G33" s="118"/>
      <c r="H33" s="118">
        <f>-C32</f>
        <v>51395.412388258774</v>
      </c>
    </row>
    <row r="34" spans="2:11">
      <c r="B34" s="120" t="s">
        <v>241</v>
      </c>
      <c r="C34" s="118"/>
      <c r="D34" s="118"/>
      <c r="E34" s="118"/>
      <c r="F34" s="118"/>
      <c r="G34" s="118"/>
      <c r="H34" s="118">
        <f>V.S!H24</f>
        <v>31920</v>
      </c>
    </row>
    <row r="35" spans="2:11">
      <c r="B35" s="118"/>
      <c r="C35" s="118"/>
      <c r="D35" s="118"/>
      <c r="E35" s="118"/>
      <c r="F35" s="118"/>
      <c r="G35" s="118"/>
      <c r="H35" s="118"/>
    </row>
    <row r="36" spans="2:11">
      <c r="B36" s="120" t="s">
        <v>242</v>
      </c>
      <c r="C36" s="118">
        <f>SUM(C29:C35)</f>
        <v>-51966.164955303509</v>
      </c>
      <c r="D36" s="118">
        <f>SUM(D26:D35)</f>
        <v>6540.0972222823639</v>
      </c>
      <c r="E36" s="118">
        <f>SUM(E26:E35)</f>
        <v>13858.182976670842</v>
      </c>
      <c r="F36" s="118">
        <f>SUM(F26:F35)</f>
        <v>21359.220874919047</v>
      </c>
      <c r="G36" s="118">
        <f>SUM(G26:G35)</f>
        <v>29047.784720623444</v>
      </c>
      <c r="H36" s="118">
        <f>SUM(H26:H35)</f>
        <v>120243.9750507292</v>
      </c>
    </row>
    <row r="39" spans="2:11">
      <c r="C39" s="111" t="s">
        <v>131</v>
      </c>
      <c r="D39" s="109">
        <f>NPV(D61,D36:H36)+C36</f>
        <v>139083.09588992139</v>
      </c>
      <c r="E39" s="109">
        <f>NPV(E61,D36:H36)+C36</f>
        <v>37800.055048222057</v>
      </c>
    </row>
    <row r="40" spans="2:11">
      <c r="C40" s="111" t="s">
        <v>132</v>
      </c>
      <c r="D40" s="129">
        <f>IRR(C36:H36)</f>
        <v>0.38149735577318938</v>
      </c>
    </row>
    <row r="43" spans="2:11">
      <c r="B43" s="120" t="s">
        <v>243</v>
      </c>
      <c r="C43" s="118">
        <f t="shared" ref="C43:H43" si="1">C36</f>
        <v>-51966.164955303509</v>
      </c>
      <c r="D43" s="118">
        <f t="shared" si="1"/>
        <v>6540.0972222823639</v>
      </c>
      <c r="E43" s="118">
        <f t="shared" si="1"/>
        <v>13858.182976670842</v>
      </c>
      <c r="F43" s="118">
        <f t="shared" si="1"/>
        <v>21359.220874919047</v>
      </c>
      <c r="G43" s="118">
        <f t="shared" si="1"/>
        <v>29047.784720623444</v>
      </c>
      <c r="H43" s="118">
        <f t="shared" si="1"/>
        <v>120243.9750507292</v>
      </c>
    </row>
    <row r="44" spans="2:11">
      <c r="B44" s="120" t="s">
        <v>244</v>
      </c>
      <c r="C44" s="118">
        <f>C43</f>
        <v>-51966.164955303509</v>
      </c>
      <c r="D44" s="118">
        <f>D43/(1+$E$61)^1</f>
        <v>5450.0810185686369</v>
      </c>
      <c r="E44" s="118">
        <f>E43/(1+$E$61)^1</f>
        <v>11548.485813892368</v>
      </c>
      <c r="F44" s="118">
        <f>F43/(1+$E$61)^1</f>
        <v>17799.350729099206</v>
      </c>
      <c r="G44" s="118">
        <f>G43/(1+$E$61)^1</f>
        <v>24206.487267186203</v>
      </c>
      <c r="H44" s="118">
        <f>H43/(1+$E$61)^1</f>
        <v>100203.31254227435</v>
      </c>
    </row>
    <row r="45" spans="2:11">
      <c r="B45" s="120" t="s">
        <v>245</v>
      </c>
      <c r="C45" s="118">
        <f>C44</f>
        <v>-51966.164955303509</v>
      </c>
      <c r="D45" s="118">
        <f>C45+D44</f>
        <v>-46516.083936734874</v>
      </c>
      <c r="E45" s="118">
        <f>D45+E44</f>
        <v>-34967.598122842508</v>
      </c>
      <c r="F45" s="127">
        <f>E45+F44</f>
        <v>-17168.247393743302</v>
      </c>
      <c r="G45" s="127">
        <f>F45+G44</f>
        <v>7038.2398734429007</v>
      </c>
      <c r="H45" s="118">
        <f>G45+H44</f>
        <v>107241.55241571725</v>
      </c>
    </row>
    <row r="46" spans="2:11">
      <c r="F46" s="134" t="s">
        <v>130</v>
      </c>
      <c r="G46" s="135">
        <f>4+(G45/-F45)</f>
        <v>4.4099568064243924</v>
      </c>
    </row>
    <row r="47" spans="2:11">
      <c r="G47" s="176" t="s">
        <v>264</v>
      </c>
      <c r="H47" s="176"/>
      <c r="K47" s="109">
        <f>(41*12)/100</f>
        <v>4.92</v>
      </c>
    </row>
    <row r="48" spans="2:11">
      <c r="G48" s="133"/>
    </row>
    <row r="53" spans="1:7">
      <c r="A53" s="110" t="s">
        <v>2</v>
      </c>
      <c r="B53" s="110" t="s">
        <v>246</v>
      </c>
    </row>
    <row r="54" spans="1:7">
      <c r="B54" s="120" t="s">
        <v>260</v>
      </c>
      <c r="C54" s="130">
        <f>C56+(C58*(C57-C56))+C59</f>
        <v>0.8978839999999999</v>
      </c>
      <c r="D54" s="130"/>
      <c r="F54" s="120" t="s">
        <v>251</v>
      </c>
      <c r="G54" s="118">
        <v>0.4</v>
      </c>
    </row>
    <row r="55" spans="1:7">
      <c r="B55" s="120" t="s">
        <v>247</v>
      </c>
      <c r="C55" s="35">
        <v>0.1</v>
      </c>
      <c r="D55" s="118"/>
      <c r="F55" s="120" t="s">
        <v>252</v>
      </c>
      <c r="G55" s="118">
        <v>0.6</v>
      </c>
    </row>
    <row r="56" spans="1:7">
      <c r="B56" s="120" t="s">
        <v>248</v>
      </c>
      <c r="C56" s="131">
        <v>5.1999999999999998E-2</v>
      </c>
      <c r="D56" s="118"/>
    </row>
    <row r="57" spans="1:7">
      <c r="B57" s="120" t="s">
        <v>249</v>
      </c>
      <c r="C57" s="35">
        <v>0.11</v>
      </c>
      <c r="D57" s="118"/>
    </row>
    <row r="58" spans="1:7">
      <c r="B58" s="120" t="s">
        <v>129</v>
      </c>
      <c r="C58" s="118">
        <v>0.498</v>
      </c>
      <c r="D58" s="118"/>
    </row>
    <row r="59" spans="1:7">
      <c r="B59" s="120" t="s">
        <v>250</v>
      </c>
      <c r="C59" s="131">
        <v>0.81699999999999995</v>
      </c>
      <c r="D59" s="130"/>
    </row>
    <row r="60" spans="1:7">
      <c r="B60" s="118"/>
      <c r="C60" s="118"/>
      <c r="D60" s="118"/>
    </row>
    <row r="61" spans="1:7">
      <c r="B61" s="120" t="s">
        <v>261</v>
      </c>
      <c r="C61" s="130">
        <f>(G54*C54)+(G55*C55)</f>
        <v>0.41915359999999996</v>
      </c>
      <c r="D61" s="131"/>
      <c r="E61" s="132">
        <v>0.2</v>
      </c>
    </row>
  </sheetData>
  <mergeCells count="1">
    <mergeCell ref="G47:H47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F34"/>
  <sheetViews>
    <sheetView topLeftCell="A15" workbookViewId="0">
      <selection activeCell="B34" sqref="B34"/>
    </sheetView>
  </sheetViews>
  <sheetFormatPr baseColWidth="10" defaultRowHeight="12.75"/>
  <cols>
    <col min="2" max="2" width="30.5703125" bestFit="1" customWidth="1"/>
    <col min="3" max="4" width="14.5703125" customWidth="1"/>
    <col min="5" max="5" width="16.42578125" customWidth="1"/>
    <col min="6" max="6" width="14.5703125" customWidth="1"/>
  </cols>
  <sheetData>
    <row r="4" spans="2:6">
      <c r="B4" s="164" t="s">
        <v>13</v>
      </c>
      <c r="C4" s="164"/>
      <c r="D4" s="164"/>
      <c r="E4" s="164"/>
      <c r="F4" s="164"/>
    </row>
    <row r="7" spans="2:6">
      <c r="B7" s="10" t="s">
        <v>14</v>
      </c>
      <c r="C7" s="10" t="s">
        <v>43</v>
      </c>
      <c r="D7" s="10" t="s">
        <v>15</v>
      </c>
      <c r="E7" s="10" t="s">
        <v>16</v>
      </c>
      <c r="F7" s="10" t="s">
        <v>17</v>
      </c>
    </row>
    <row r="8" spans="2:6">
      <c r="B8" s="1" t="s">
        <v>155</v>
      </c>
      <c r="C8" s="12">
        <v>1000</v>
      </c>
      <c r="D8" s="1">
        <v>1</v>
      </c>
      <c r="E8" s="11">
        <f t="shared" ref="E8:E17" si="0">+C8*D8</f>
        <v>1000</v>
      </c>
      <c r="F8" s="11">
        <f t="shared" ref="F8:F18" si="1">+E8*12</f>
        <v>12000</v>
      </c>
    </row>
    <row r="9" spans="2:6">
      <c r="B9" s="1" t="s">
        <v>156</v>
      </c>
      <c r="C9" s="12">
        <v>700</v>
      </c>
      <c r="D9" s="1">
        <v>1</v>
      </c>
      <c r="E9" s="11">
        <f t="shared" si="0"/>
        <v>700</v>
      </c>
      <c r="F9" s="11">
        <f t="shared" si="1"/>
        <v>8400</v>
      </c>
    </row>
    <row r="10" spans="2:6">
      <c r="B10" s="1" t="s">
        <v>157</v>
      </c>
      <c r="C10" s="12">
        <v>700</v>
      </c>
      <c r="D10" s="1">
        <v>1</v>
      </c>
      <c r="E10" s="11">
        <f t="shared" si="0"/>
        <v>700</v>
      </c>
      <c r="F10" s="11">
        <f t="shared" si="1"/>
        <v>8400</v>
      </c>
    </row>
    <row r="11" spans="2:6">
      <c r="B11" s="1" t="s">
        <v>158</v>
      </c>
      <c r="C11" s="12">
        <v>700</v>
      </c>
      <c r="D11" s="1">
        <v>1</v>
      </c>
      <c r="E11" s="11">
        <f t="shared" si="0"/>
        <v>700</v>
      </c>
      <c r="F11" s="11">
        <f t="shared" si="1"/>
        <v>8400</v>
      </c>
    </row>
    <row r="12" spans="2:6">
      <c r="B12" s="1" t="s">
        <v>159</v>
      </c>
      <c r="C12" s="12">
        <v>550</v>
      </c>
      <c r="D12" s="1">
        <v>2</v>
      </c>
      <c r="E12" s="11">
        <f t="shared" si="0"/>
        <v>1100</v>
      </c>
      <c r="F12" s="11">
        <f t="shared" si="1"/>
        <v>13200</v>
      </c>
    </row>
    <row r="13" spans="2:6">
      <c r="B13" s="1" t="s">
        <v>160</v>
      </c>
      <c r="C13" s="12">
        <v>350</v>
      </c>
      <c r="D13" s="1">
        <v>4</v>
      </c>
      <c r="E13" s="11">
        <f t="shared" si="0"/>
        <v>1400</v>
      </c>
      <c r="F13" s="11">
        <f t="shared" si="1"/>
        <v>16800</v>
      </c>
    </row>
    <row r="14" spans="2:6">
      <c r="B14" s="17" t="s">
        <v>161</v>
      </c>
      <c r="C14" s="11">
        <v>350</v>
      </c>
      <c r="D14" s="1">
        <v>1</v>
      </c>
      <c r="E14" s="11">
        <f t="shared" si="0"/>
        <v>350</v>
      </c>
      <c r="F14" s="11">
        <f t="shared" si="1"/>
        <v>4200</v>
      </c>
    </row>
    <row r="15" spans="2:6">
      <c r="B15" s="1" t="s">
        <v>49</v>
      </c>
      <c r="C15" s="11">
        <v>300</v>
      </c>
      <c r="D15" s="1">
        <v>2</v>
      </c>
      <c r="E15" s="11">
        <f t="shared" si="0"/>
        <v>600</v>
      </c>
      <c r="F15" s="11">
        <f t="shared" si="1"/>
        <v>7200</v>
      </c>
    </row>
    <row r="16" spans="2:6">
      <c r="B16" s="1" t="s">
        <v>108</v>
      </c>
      <c r="C16" s="11">
        <v>300</v>
      </c>
      <c r="D16" s="1">
        <v>1</v>
      </c>
      <c r="E16" s="11">
        <f t="shared" si="0"/>
        <v>300</v>
      </c>
      <c r="F16" s="11">
        <f t="shared" si="1"/>
        <v>3600</v>
      </c>
    </row>
    <row r="17" spans="2:6">
      <c r="B17" s="1" t="s">
        <v>109</v>
      </c>
      <c r="C17" s="11">
        <v>300</v>
      </c>
      <c r="D17" s="1">
        <v>2</v>
      </c>
      <c r="E17" s="11">
        <f t="shared" si="0"/>
        <v>600</v>
      </c>
      <c r="F17" s="11">
        <f t="shared" si="1"/>
        <v>7200</v>
      </c>
    </row>
    <row r="18" spans="2:6">
      <c r="B18" s="2" t="s">
        <v>0</v>
      </c>
      <c r="C18" s="14">
        <f>SUM(C8:C17)</f>
        <v>5250</v>
      </c>
      <c r="D18" s="2">
        <f>SUM(D8:D17)</f>
        <v>16</v>
      </c>
      <c r="E18" s="14">
        <f>SUM(E8:E17)</f>
        <v>7450</v>
      </c>
      <c r="F18" s="14">
        <f t="shared" si="1"/>
        <v>89400</v>
      </c>
    </row>
    <row r="30" spans="2:6">
      <c r="B30" s="164" t="s">
        <v>110</v>
      </c>
      <c r="C30" s="164"/>
    </row>
    <row r="31" spans="2:6">
      <c r="C31" s="15"/>
    </row>
    <row r="32" spans="2:6">
      <c r="B32" s="10" t="s">
        <v>14</v>
      </c>
      <c r="C32" s="10" t="s">
        <v>111</v>
      </c>
    </row>
    <row r="33" spans="2:3">
      <c r="B33" s="1" t="s">
        <v>112</v>
      </c>
      <c r="C33" s="11">
        <v>1000</v>
      </c>
    </row>
    <row r="34" spans="2:3">
      <c r="B34" s="13" t="s">
        <v>0</v>
      </c>
      <c r="C34" s="11">
        <f>SUM(C33:C33)</f>
        <v>1000</v>
      </c>
    </row>
  </sheetData>
  <mergeCells count="2">
    <mergeCell ref="B4:F4"/>
    <mergeCell ref="B30:C30"/>
  </mergeCells>
  <phoneticPr fontId="2" type="noConversion"/>
  <pageMargins left="0.75" right="0.75" top="1" bottom="1" header="0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4"/>
  <sheetViews>
    <sheetView workbookViewId="0">
      <selection activeCell="C22" sqref="C22"/>
    </sheetView>
  </sheetViews>
  <sheetFormatPr baseColWidth="10" defaultRowHeight="12.75"/>
  <cols>
    <col min="1" max="1" width="11.42578125" style="22"/>
    <col min="2" max="2" width="31.5703125" style="22" customWidth="1"/>
    <col min="3" max="3" width="30.85546875" style="22" customWidth="1"/>
    <col min="4" max="4" width="15.85546875" style="100" customWidth="1"/>
    <col min="5" max="5" width="13.28515625" style="22" customWidth="1"/>
    <col min="6" max="8" width="11.42578125" style="22"/>
    <col min="9" max="9" width="14.28515625" style="22" customWidth="1"/>
    <col min="10" max="10" width="17.7109375" style="22" customWidth="1"/>
    <col min="11" max="11" width="19.28515625" style="22" customWidth="1"/>
    <col min="12" max="12" width="20.7109375" style="22" customWidth="1"/>
    <col min="13" max="16384" width="11.42578125" style="22"/>
  </cols>
  <sheetData>
    <row r="3" spans="1:9">
      <c r="B3" s="164" t="s">
        <v>40</v>
      </c>
      <c r="C3" s="164"/>
      <c r="D3" s="164"/>
      <c r="E3" s="164"/>
      <c r="F3" s="164"/>
    </row>
    <row r="6" spans="1:9" ht="25.5">
      <c r="B6" s="103" t="s">
        <v>35</v>
      </c>
      <c r="C6" s="103" t="s">
        <v>19</v>
      </c>
      <c r="D6" s="103" t="s">
        <v>15</v>
      </c>
      <c r="E6" s="104" t="s">
        <v>33</v>
      </c>
      <c r="F6" s="104" t="s">
        <v>34</v>
      </c>
    </row>
    <row r="7" spans="1:9" ht="25.5">
      <c r="A7" s="22" t="s">
        <v>53</v>
      </c>
      <c r="B7" s="105" t="s">
        <v>36</v>
      </c>
      <c r="C7" s="98" t="s">
        <v>50</v>
      </c>
      <c r="D7" s="93">
        <v>4</v>
      </c>
      <c r="E7" s="97">
        <v>670</v>
      </c>
      <c r="F7" s="97">
        <f>+E7*D7</f>
        <v>2680</v>
      </c>
    </row>
    <row r="8" spans="1:9">
      <c r="A8" s="22" t="s">
        <v>53</v>
      </c>
      <c r="B8" s="106" t="s">
        <v>176</v>
      </c>
      <c r="C8" s="98" t="s">
        <v>177</v>
      </c>
      <c r="D8" s="107">
        <v>1</v>
      </c>
      <c r="E8" s="102">
        <v>20000</v>
      </c>
      <c r="F8" s="102">
        <f>+E8*D8</f>
        <v>20000</v>
      </c>
    </row>
    <row r="9" spans="1:9">
      <c r="B9" s="165" t="s">
        <v>37</v>
      </c>
      <c r="C9" s="98" t="s">
        <v>162</v>
      </c>
      <c r="D9" s="93">
        <v>5</v>
      </c>
      <c r="E9" s="97">
        <v>125</v>
      </c>
      <c r="F9" s="97">
        <f>+E9*D9</f>
        <v>625</v>
      </c>
      <c r="I9" s="119"/>
    </row>
    <row r="10" spans="1:9">
      <c r="B10" s="166"/>
      <c r="C10" s="98" t="s">
        <v>51</v>
      </c>
      <c r="D10" s="93">
        <v>5</v>
      </c>
      <c r="E10" s="97">
        <v>55</v>
      </c>
      <c r="F10" s="97">
        <f>+E10*D10</f>
        <v>275</v>
      </c>
    </row>
    <row r="11" spans="1:9">
      <c r="B11" s="166"/>
      <c r="C11" s="98" t="s">
        <v>115</v>
      </c>
      <c r="D11" s="93">
        <v>6</v>
      </c>
      <c r="E11" s="97">
        <v>50</v>
      </c>
      <c r="F11" s="97">
        <f>+D11*E11</f>
        <v>300</v>
      </c>
    </row>
    <row r="12" spans="1:9">
      <c r="B12" s="166"/>
      <c r="C12" s="98" t="s">
        <v>163</v>
      </c>
      <c r="D12" s="93">
        <v>4</v>
      </c>
      <c r="E12" s="97">
        <v>120</v>
      </c>
      <c r="F12" s="97">
        <f>+D12*E12</f>
        <v>480</v>
      </c>
    </row>
    <row r="13" spans="1:9">
      <c r="B13" s="166"/>
      <c r="C13" s="98" t="s">
        <v>52</v>
      </c>
      <c r="D13" s="93">
        <v>2</v>
      </c>
      <c r="E13" s="97">
        <v>30</v>
      </c>
      <c r="F13" s="97">
        <f>+E13*D13</f>
        <v>60</v>
      </c>
    </row>
    <row r="14" spans="1:9">
      <c r="B14" s="166"/>
      <c r="C14" s="98" t="s">
        <v>136</v>
      </c>
      <c r="D14" s="93">
        <v>5</v>
      </c>
      <c r="E14" s="97">
        <v>500</v>
      </c>
      <c r="F14" s="97">
        <f>+E14*D14</f>
        <v>2500</v>
      </c>
      <c r="G14" s="119">
        <f>SUM(F7:F14)</f>
        <v>26920</v>
      </c>
    </row>
    <row r="15" spans="1:9">
      <c r="B15" s="165" t="s">
        <v>38</v>
      </c>
      <c r="C15" s="105" t="s">
        <v>165</v>
      </c>
      <c r="D15" s="93">
        <v>2</v>
      </c>
      <c r="E15" s="97">
        <v>4</v>
      </c>
      <c r="F15" s="97">
        <f t="shared" ref="F15:F26" si="0">+E15*D15</f>
        <v>8</v>
      </c>
      <c r="G15" s="119"/>
    </row>
    <row r="16" spans="1:9">
      <c r="B16" s="166"/>
      <c r="C16" s="105" t="s">
        <v>169</v>
      </c>
      <c r="D16" s="93">
        <v>1</v>
      </c>
      <c r="E16" s="97">
        <v>6</v>
      </c>
      <c r="F16" s="97">
        <f t="shared" si="0"/>
        <v>6</v>
      </c>
    </row>
    <row r="17" spans="2:9">
      <c r="B17" s="166"/>
      <c r="C17" s="105" t="s">
        <v>170</v>
      </c>
      <c r="D17" s="93">
        <v>1</v>
      </c>
      <c r="E17" s="97">
        <v>4</v>
      </c>
      <c r="F17" s="97">
        <f t="shared" si="0"/>
        <v>4</v>
      </c>
      <c r="I17" s="119"/>
    </row>
    <row r="18" spans="2:9">
      <c r="B18" s="166"/>
      <c r="C18" s="105" t="s">
        <v>166</v>
      </c>
      <c r="D18" s="93">
        <v>10</v>
      </c>
      <c r="E18" s="97">
        <v>2.5</v>
      </c>
      <c r="F18" s="97">
        <f t="shared" si="0"/>
        <v>25</v>
      </c>
    </row>
    <row r="19" spans="2:9">
      <c r="B19" s="166"/>
      <c r="C19" s="105" t="s">
        <v>167</v>
      </c>
      <c r="D19" s="93">
        <v>2</v>
      </c>
      <c r="E19" s="97">
        <v>0.7</v>
      </c>
      <c r="F19" s="97">
        <f t="shared" si="0"/>
        <v>1.4</v>
      </c>
    </row>
    <row r="20" spans="2:9">
      <c r="B20" s="166"/>
      <c r="C20" s="105" t="s">
        <v>39</v>
      </c>
      <c r="D20" s="93">
        <v>5</v>
      </c>
      <c r="E20" s="97">
        <v>0.1</v>
      </c>
      <c r="F20" s="97">
        <f t="shared" si="0"/>
        <v>0.5</v>
      </c>
    </row>
    <row r="21" spans="2:9">
      <c r="B21" s="166"/>
      <c r="C21" s="105" t="s">
        <v>168</v>
      </c>
      <c r="D21" s="93">
        <v>3</v>
      </c>
      <c r="E21" s="97">
        <v>0.5</v>
      </c>
      <c r="F21" s="97">
        <f t="shared" si="0"/>
        <v>1.5</v>
      </c>
    </row>
    <row r="22" spans="2:9">
      <c r="B22" s="167"/>
      <c r="C22" s="105" t="s">
        <v>171</v>
      </c>
      <c r="D22" s="93">
        <v>5</v>
      </c>
      <c r="E22" s="97">
        <v>0.25</v>
      </c>
      <c r="F22" s="97">
        <f t="shared" si="0"/>
        <v>1.25</v>
      </c>
    </row>
    <row r="23" spans="2:9">
      <c r="B23" s="167"/>
      <c r="C23" s="105" t="s">
        <v>172</v>
      </c>
      <c r="D23" s="93">
        <v>1</v>
      </c>
      <c r="E23" s="97">
        <v>30</v>
      </c>
      <c r="F23" s="97">
        <f t="shared" si="0"/>
        <v>30</v>
      </c>
    </row>
    <row r="24" spans="2:9">
      <c r="B24" s="167"/>
      <c r="C24" s="105" t="s">
        <v>174</v>
      </c>
      <c r="D24" s="93">
        <v>2</v>
      </c>
      <c r="E24" s="97">
        <v>12</v>
      </c>
      <c r="F24" s="97">
        <f>+E24*D24</f>
        <v>24</v>
      </c>
    </row>
    <row r="25" spans="2:9">
      <c r="B25" s="167"/>
      <c r="C25" s="105" t="s">
        <v>173</v>
      </c>
      <c r="D25" s="93">
        <v>2</v>
      </c>
      <c r="E25" s="97">
        <v>5</v>
      </c>
      <c r="F25" s="97">
        <f>+E25*D25</f>
        <v>10</v>
      </c>
    </row>
    <row r="26" spans="2:9">
      <c r="B26" s="168"/>
      <c r="C26" s="105" t="s">
        <v>175</v>
      </c>
      <c r="D26" s="93">
        <v>1</v>
      </c>
      <c r="E26" s="97">
        <v>4</v>
      </c>
      <c r="F26" s="97">
        <f t="shared" si="0"/>
        <v>4</v>
      </c>
    </row>
    <row r="27" spans="2:9">
      <c r="B27" s="17" t="s">
        <v>0</v>
      </c>
      <c r="C27" s="17"/>
      <c r="D27" s="101"/>
      <c r="E27" s="97"/>
      <c r="F27" s="102">
        <f>SUM(F7:F26)</f>
        <v>27035.65</v>
      </c>
    </row>
    <row r="30" spans="2:9">
      <c r="B30" s="17" t="s">
        <v>191</v>
      </c>
      <c r="C30" s="17"/>
      <c r="D30" s="101"/>
      <c r="E30" s="97"/>
      <c r="F30" s="97">
        <f>SUM(F15:F26)</f>
        <v>115.65</v>
      </c>
    </row>
    <row r="33" spans="2:6">
      <c r="B33" s="164" t="s">
        <v>64</v>
      </c>
      <c r="C33" s="164"/>
      <c r="D33" s="164"/>
      <c r="E33" s="164"/>
      <c r="F33" s="164"/>
    </row>
    <row r="35" spans="2:6" ht="25.5">
      <c r="B35" s="103" t="s">
        <v>63</v>
      </c>
      <c r="C35" s="103" t="s">
        <v>19</v>
      </c>
      <c r="D35" s="103" t="s">
        <v>15</v>
      </c>
      <c r="E35" s="104" t="s">
        <v>33</v>
      </c>
      <c r="F35" s="104" t="s">
        <v>34</v>
      </c>
    </row>
    <row r="36" spans="2:6">
      <c r="B36" s="17" t="s">
        <v>65</v>
      </c>
      <c r="C36" s="17" t="s">
        <v>70</v>
      </c>
      <c r="D36" s="101">
        <v>1</v>
      </c>
      <c r="E36" s="97">
        <v>2.5</v>
      </c>
      <c r="F36" s="97">
        <f t="shared" ref="F36:F44" si="1">+D36*E36</f>
        <v>2.5</v>
      </c>
    </row>
    <row r="37" spans="2:6">
      <c r="B37" s="17" t="s">
        <v>66</v>
      </c>
      <c r="C37" s="17" t="s">
        <v>182</v>
      </c>
      <c r="D37" s="101">
        <v>1</v>
      </c>
      <c r="E37" s="97">
        <v>3</v>
      </c>
      <c r="F37" s="97">
        <f t="shared" si="1"/>
        <v>3</v>
      </c>
    </row>
    <row r="38" spans="2:6">
      <c r="B38" s="17" t="s">
        <v>71</v>
      </c>
      <c r="C38" s="17" t="s">
        <v>181</v>
      </c>
      <c r="D38" s="101">
        <v>1</v>
      </c>
      <c r="E38" s="97">
        <v>2.5</v>
      </c>
      <c r="F38" s="97">
        <f t="shared" si="1"/>
        <v>2.5</v>
      </c>
    </row>
    <row r="39" spans="2:6">
      <c r="B39" s="17" t="s">
        <v>67</v>
      </c>
      <c r="C39" s="17" t="s">
        <v>77</v>
      </c>
      <c r="D39" s="101">
        <v>1</v>
      </c>
      <c r="E39" s="97">
        <v>4</v>
      </c>
      <c r="F39" s="97">
        <f t="shared" si="1"/>
        <v>4</v>
      </c>
    </row>
    <row r="40" spans="2:6">
      <c r="B40" s="17" t="s">
        <v>68</v>
      </c>
      <c r="C40" s="17" t="s">
        <v>180</v>
      </c>
      <c r="D40" s="101">
        <v>3</v>
      </c>
      <c r="E40" s="97">
        <v>2.5</v>
      </c>
      <c r="F40" s="97">
        <f t="shared" si="1"/>
        <v>7.5</v>
      </c>
    </row>
    <row r="41" spans="2:6">
      <c r="B41" s="17" t="s">
        <v>178</v>
      </c>
      <c r="C41" s="17" t="s">
        <v>179</v>
      </c>
      <c r="D41" s="101">
        <v>1</v>
      </c>
      <c r="E41" s="97">
        <v>4</v>
      </c>
      <c r="F41" s="97">
        <f t="shared" si="1"/>
        <v>4</v>
      </c>
    </row>
    <row r="42" spans="2:6">
      <c r="B42" s="17" t="s">
        <v>184</v>
      </c>
      <c r="C42" s="17" t="s">
        <v>185</v>
      </c>
      <c r="D42" s="101">
        <v>1</v>
      </c>
      <c r="E42" s="97">
        <v>1</v>
      </c>
      <c r="F42" s="97">
        <f t="shared" si="1"/>
        <v>1</v>
      </c>
    </row>
    <row r="43" spans="2:6">
      <c r="B43" s="98" t="s">
        <v>164</v>
      </c>
      <c r="C43" s="98" t="s">
        <v>164</v>
      </c>
      <c r="D43" s="93">
        <v>5</v>
      </c>
      <c r="E43" s="97">
        <v>5</v>
      </c>
      <c r="F43" s="97">
        <f>+D43*E43</f>
        <v>25</v>
      </c>
    </row>
    <row r="44" spans="2:6">
      <c r="B44" s="17" t="s">
        <v>69</v>
      </c>
      <c r="C44" s="17" t="s">
        <v>183</v>
      </c>
      <c r="D44" s="101">
        <v>1</v>
      </c>
      <c r="E44" s="97">
        <v>5</v>
      </c>
      <c r="F44" s="97">
        <f t="shared" si="1"/>
        <v>5</v>
      </c>
    </row>
    <row r="45" spans="2:6">
      <c r="B45" s="17"/>
      <c r="C45" s="17"/>
      <c r="D45" s="101"/>
      <c r="E45" s="97"/>
      <c r="F45" s="97">
        <f>SUM(F36:F44)</f>
        <v>54.5</v>
      </c>
    </row>
    <row r="48" spans="2:6">
      <c r="B48" s="164" t="s">
        <v>41</v>
      </c>
      <c r="C48" s="164"/>
      <c r="D48" s="164"/>
      <c r="E48" s="164"/>
      <c r="F48" s="164"/>
    </row>
    <row r="50" spans="2:5">
      <c r="B50" s="103" t="s">
        <v>187</v>
      </c>
      <c r="C50" s="103" t="s">
        <v>15</v>
      </c>
      <c r="D50" s="104" t="s">
        <v>33</v>
      </c>
      <c r="E50" s="104" t="s">
        <v>34</v>
      </c>
    </row>
    <row r="51" spans="2:5">
      <c r="B51" s="92" t="s">
        <v>201</v>
      </c>
      <c r="C51" s="93">
        <v>2</v>
      </c>
      <c r="D51" s="121">
        <v>4000</v>
      </c>
      <c r="E51" s="121">
        <f>D51*C51</f>
        <v>8000</v>
      </c>
    </row>
    <row r="52" spans="2:5">
      <c r="B52" s="17" t="s">
        <v>259</v>
      </c>
      <c r="C52" s="101">
        <v>2</v>
      </c>
      <c r="D52" s="120">
        <v>2500</v>
      </c>
      <c r="E52" s="120">
        <f>C52*D52</f>
        <v>5000</v>
      </c>
    </row>
    <row r="53" spans="2:5">
      <c r="B53" s="17" t="s">
        <v>186</v>
      </c>
      <c r="C53" s="101">
        <v>1</v>
      </c>
      <c r="D53" s="120">
        <v>22000</v>
      </c>
      <c r="E53" s="120">
        <f>+C53*D53</f>
        <v>22000</v>
      </c>
    </row>
    <row r="54" spans="2:5">
      <c r="B54" s="17" t="s">
        <v>188</v>
      </c>
      <c r="C54" s="101">
        <v>1</v>
      </c>
      <c r="D54" s="120">
        <v>15000</v>
      </c>
      <c r="E54" s="120">
        <f>+C54*D54</f>
        <v>15000</v>
      </c>
    </row>
    <row r="55" spans="2:5">
      <c r="B55" s="17" t="s">
        <v>189</v>
      </c>
      <c r="C55" s="101">
        <v>1</v>
      </c>
      <c r="D55" s="120">
        <v>6000</v>
      </c>
      <c r="E55" s="120">
        <f>+C55*D55</f>
        <v>6000</v>
      </c>
    </row>
    <row r="56" spans="2:5">
      <c r="B56" s="17" t="s">
        <v>190</v>
      </c>
      <c r="C56" s="101">
        <v>3</v>
      </c>
      <c r="D56" s="120">
        <v>1200</v>
      </c>
      <c r="E56" s="120">
        <f>+C56*D56</f>
        <v>3600</v>
      </c>
    </row>
    <row r="57" spans="2:5">
      <c r="B57" s="17"/>
      <c r="C57" s="101"/>
      <c r="D57" s="120"/>
      <c r="E57" s="120"/>
    </row>
    <row r="58" spans="2:5">
      <c r="B58" s="17"/>
      <c r="C58" s="101"/>
      <c r="D58" s="120"/>
      <c r="E58" s="120"/>
    </row>
    <row r="59" spans="2:5">
      <c r="B59" s="17"/>
      <c r="C59" s="101"/>
      <c r="D59" s="120"/>
      <c r="E59" s="120"/>
    </row>
    <row r="60" spans="2:5">
      <c r="B60" s="17" t="s">
        <v>0</v>
      </c>
      <c r="C60" s="101"/>
      <c r="D60" s="120"/>
      <c r="E60" s="120">
        <f>SUM(E52:E59)</f>
        <v>51600</v>
      </c>
    </row>
    <row r="64" spans="2:5">
      <c r="B64" s="19" t="s">
        <v>220</v>
      </c>
      <c r="C64" s="119">
        <f>SUM(E60+G14)</f>
        <v>78520</v>
      </c>
    </row>
  </sheetData>
  <mergeCells count="5">
    <mergeCell ref="B48:F48"/>
    <mergeCell ref="B3:F3"/>
    <mergeCell ref="B9:B14"/>
    <mergeCell ref="B15:B26"/>
    <mergeCell ref="B33:F33"/>
  </mergeCells>
  <phoneticPr fontId="2" type="noConversion"/>
  <pageMargins left="0.75" right="0.75" top="1" bottom="1" header="0" footer="0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5:I13"/>
  <sheetViews>
    <sheetView workbookViewId="0">
      <selection activeCell="H7" sqref="H7"/>
    </sheetView>
  </sheetViews>
  <sheetFormatPr baseColWidth="10" defaultRowHeight="12.75"/>
  <cols>
    <col min="4" max="4" width="11.42578125" hidden="1" customWidth="1"/>
    <col min="7" max="7" width="16.85546875" customWidth="1"/>
    <col min="8" max="8" width="13.7109375" bestFit="1" customWidth="1"/>
  </cols>
  <sheetData>
    <row r="5" spans="2:9">
      <c r="B5" s="164" t="s">
        <v>32</v>
      </c>
      <c r="C5" s="164"/>
      <c r="D5" s="164"/>
      <c r="E5" s="164"/>
      <c r="F5" s="164"/>
      <c r="G5" s="164"/>
      <c r="H5" s="164"/>
    </row>
    <row r="6" spans="2:9">
      <c r="B6" s="170" t="s">
        <v>19</v>
      </c>
      <c r="C6" s="171"/>
      <c r="D6" s="172"/>
      <c r="E6" s="18" t="s">
        <v>73</v>
      </c>
      <c r="F6" s="18" t="s">
        <v>42</v>
      </c>
      <c r="G6" s="173" t="s">
        <v>32</v>
      </c>
      <c r="H6" s="174"/>
    </row>
    <row r="7" spans="2:9">
      <c r="B7" s="169" t="str">
        <f>+Poblacion!B45</f>
        <v>Demanda Mensual</v>
      </c>
      <c r="C7" s="169"/>
      <c r="D7" s="169"/>
      <c r="E7" s="31">
        <f>+Poblacion!D45</f>
        <v>32524.825575060004</v>
      </c>
      <c r="F7" s="1">
        <f>+Poblacion!D49</f>
        <v>1</v>
      </c>
      <c r="G7" s="1" t="s">
        <v>74</v>
      </c>
      <c r="H7" s="21">
        <f>+E7*F7</f>
        <v>32524.825575060004</v>
      </c>
      <c r="I7" s="37"/>
    </row>
    <row r="8" spans="2:9">
      <c r="B8" s="169" t="str">
        <f>+Poblacion!B48</f>
        <v>Demanda Anual</v>
      </c>
      <c r="C8" s="169"/>
      <c r="D8" s="169"/>
      <c r="E8" s="31">
        <f>+Poblacion!D48</f>
        <v>390297.90690072003</v>
      </c>
      <c r="F8" s="1">
        <f>+F7</f>
        <v>1</v>
      </c>
      <c r="G8" s="1" t="s">
        <v>75</v>
      </c>
      <c r="H8" s="21">
        <f>+E8*F8</f>
        <v>390297.90690072003</v>
      </c>
    </row>
    <row r="10" spans="2:9">
      <c r="I10" s="38"/>
    </row>
    <row r="12" spans="2:9">
      <c r="G12" s="37"/>
    </row>
    <row r="13" spans="2:9">
      <c r="F13" s="26"/>
    </row>
  </sheetData>
  <mergeCells count="5">
    <mergeCell ref="B8:D8"/>
    <mergeCell ref="B6:D6"/>
    <mergeCell ref="G6:H6"/>
    <mergeCell ref="B5:H5"/>
    <mergeCell ref="B7:D7"/>
  </mergeCells>
  <phoneticPr fontId="2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6:I90"/>
  <sheetViews>
    <sheetView topLeftCell="A3" workbookViewId="0">
      <selection activeCell="I24" sqref="I24"/>
    </sheetView>
  </sheetViews>
  <sheetFormatPr baseColWidth="10" defaultRowHeight="12.75"/>
  <cols>
    <col min="2" max="2" width="30.5703125" bestFit="1" customWidth="1"/>
    <col min="3" max="3" width="17.140625" customWidth="1"/>
    <col min="4" max="4" width="14.85546875" customWidth="1"/>
    <col min="5" max="5" width="16.5703125" customWidth="1"/>
    <col min="6" max="6" width="14.85546875" customWidth="1"/>
    <col min="8" max="8" width="18.140625" customWidth="1"/>
    <col min="9" max="9" width="15" customWidth="1"/>
    <col min="10" max="10" width="12.5703125" bestFit="1" customWidth="1"/>
    <col min="11" max="11" width="12.42578125" customWidth="1"/>
    <col min="12" max="12" width="8.42578125" customWidth="1"/>
    <col min="13" max="13" width="15.5703125" customWidth="1"/>
    <col min="14" max="15" width="13.42578125" customWidth="1"/>
  </cols>
  <sheetData>
    <row r="6" spans="2:8">
      <c r="C6" s="141"/>
      <c r="D6" s="141"/>
    </row>
    <row r="10" spans="2:8">
      <c r="C10" s="141" t="s">
        <v>126</v>
      </c>
      <c r="D10" s="141"/>
    </row>
    <row r="11" spans="2:8">
      <c r="B11" s="164" t="s">
        <v>45</v>
      </c>
      <c r="C11" s="164"/>
      <c r="D11" s="164"/>
      <c r="E11" s="164"/>
      <c r="F11" s="164"/>
    </row>
    <row r="12" spans="2:8" ht="12.75" customHeight="1">
      <c r="B12" s="18" t="s">
        <v>46</v>
      </c>
      <c r="C12" s="18" t="s">
        <v>202</v>
      </c>
      <c r="D12" s="18" t="s">
        <v>43</v>
      </c>
      <c r="E12" s="18" t="s">
        <v>44</v>
      </c>
      <c r="H12" s="94" t="s">
        <v>203</v>
      </c>
    </row>
    <row r="13" spans="2:8">
      <c r="B13" s="17" t="s">
        <v>204</v>
      </c>
      <c r="C13" s="31">
        <f>$H$13*1</f>
        <v>2001.52</v>
      </c>
      <c r="D13" s="21">
        <f>C13*0.65</f>
        <v>1300.9880000000001</v>
      </c>
      <c r="E13" s="21">
        <f t="shared" ref="E13:E23" si="0">D13*12</f>
        <v>15611.856</v>
      </c>
      <c r="H13">
        <f>50038/25</f>
        <v>2001.52</v>
      </c>
    </row>
    <row r="14" spans="2:8">
      <c r="B14" s="17" t="s">
        <v>205</v>
      </c>
      <c r="C14" s="31">
        <f>$H$13*2</f>
        <v>4003.04</v>
      </c>
      <c r="D14" s="21">
        <f>C14*1</f>
        <v>4003.04</v>
      </c>
      <c r="E14" s="21">
        <f t="shared" si="0"/>
        <v>48036.479999999996</v>
      </c>
    </row>
    <row r="15" spans="2:8">
      <c r="B15" s="44" t="s">
        <v>213</v>
      </c>
      <c r="C15" s="31">
        <f>$H$13*9</f>
        <v>18013.68</v>
      </c>
      <c r="D15" s="21">
        <f>C15*0.1</f>
        <v>1801.3680000000002</v>
      </c>
      <c r="E15" s="21">
        <f t="shared" si="0"/>
        <v>21616.416000000001</v>
      </c>
    </row>
    <row r="16" spans="2:8">
      <c r="B16" s="17" t="s">
        <v>207</v>
      </c>
      <c r="C16" s="31">
        <f>$H$13*2</f>
        <v>4003.04</v>
      </c>
      <c r="D16" s="21">
        <f>C16*0.5</f>
        <v>2001.52</v>
      </c>
      <c r="E16" s="21">
        <f t="shared" si="0"/>
        <v>24018.239999999998</v>
      </c>
    </row>
    <row r="17" spans="2:8">
      <c r="B17" s="17" t="s">
        <v>208</v>
      </c>
      <c r="C17" s="31">
        <f>$H$13*1.5</f>
        <v>3002.2799999999997</v>
      </c>
      <c r="D17" s="21">
        <f>C17*0.7</f>
        <v>2101.5959999999995</v>
      </c>
      <c r="E17" s="21">
        <f t="shared" si="0"/>
        <v>25219.151999999995</v>
      </c>
    </row>
    <row r="18" spans="2:8">
      <c r="B18" s="17" t="s">
        <v>209</v>
      </c>
      <c r="C18" s="31">
        <f>$H$13*0.5</f>
        <v>1000.76</v>
      </c>
      <c r="D18" s="21">
        <f>C18*0.45</f>
        <v>450.34199999999998</v>
      </c>
      <c r="E18" s="21">
        <f t="shared" si="0"/>
        <v>5404.1039999999994</v>
      </c>
    </row>
    <row r="19" spans="2:8">
      <c r="B19" s="17" t="s">
        <v>206</v>
      </c>
      <c r="C19" s="31">
        <f>$H$13*20</f>
        <v>40030.400000000001</v>
      </c>
      <c r="D19" s="21">
        <f>C19*0.08</f>
        <v>3202.4320000000002</v>
      </c>
      <c r="E19" s="21">
        <f t="shared" si="0"/>
        <v>38429.184000000001</v>
      </c>
    </row>
    <row r="20" spans="2:8">
      <c r="B20" s="17" t="s">
        <v>210</v>
      </c>
      <c r="C20" s="31">
        <f>$H$13*1</f>
        <v>2001.52</v>
      </c>
      <c r="D20" s="21">
        <f>C20*1</f>
        <v>2001.52</v>
      </c>
      <c r="E20" s="21">
        <f t="shared" si="0"/>
        <v>24018.239999999998</v>
      </c>
    </row>
    <row r="21" spans="2:8">
      <c r="B21" s="17" t="s">
        <v>214</v>
      </c>
      <c r="C21" s="31">
        <f>$H$13*0.5</f>
        <v>1000.76</v>
      </c>
      <c r="D21" s="21">
        <f>C21*0.1</f>
        <v>100.07600000000001</v>
      </c>
      <c r="E21" s="21">
        <f t="shared" si="0"/>
        <v>1200.912</v>
      </c>
    </row>
    <row r="22" spans="2:8">
      <c r="B22" s="17" t="s">
        <v>211</v>
      </c>
      <c r="C22" s="31">
        <f>$H$13*2</f>
        <v>4003.04</v>
      </c>
      <c r="D22" s="21">
        <f>C22*0.3</f>
        <v>1200.912</v>
      </c>
      <c r="E22" s="21">
        <f t="shared" si="0"/>
        <v>14410.944</v>
      </c>
    </row>
    <row r="23" spans="2:8">
      <c r="B23" s="17" t="s">
        <v>212</v>
      </c>
      <c r="C23" s="31">
        <f>$H$13*6</f>
        <v>12009.119999999999</v>
      </c>
      <c r="D23" s="21">
        <f>C23*0.01</f>
        <v>120.09119999999999</v>
      </c>
      <c r="E23" s="21">
        <f t="shared" si="0"/>
        <v>1441.0944</v>
      </c>
    </row>
    <row r="24" spans="2:8" ht="12.75" customHeight="1">
      <c r="B24" s="1" t="s">
        <v>0</v>
      </c>
      <c r="C24" s="1"/>
      <c r="D24" s="21">
        <f>SUM(D13:D23)</f>
        <v>18283.885200000001</v>
      </c>
      <c r="E24" s="21">
        <f>SUM(E13:E23)</f>
        <v>219406.62239999999</v>
      </c>
      <c r="H24" s="26">
        <f>D24*12</f>
        <v>219406.62239999999</v>
      </c>
    </row>
    <row r="26" spans="2:8">
      <c r="B26" s="9"/>
      <c r="C26" s="9"/>
    </row>
    <row r="27" spans="2:8" ht="13.5" customHeight="1"/>
    <row r="35" spans="2:9">
      <c r="B35" s="16"/>
      <c r="C35" s="16"/>
      <c r="D35" s="33"/>
      <c r="E35" s="33"/>
      <c r="F35" s="33"/>
    </row>
    <row r="36" spans="2:9">
      <c r="B36" s="16"/>
      <c r="C36" s="16"/>
      <c r="D36" s="33"/>
      <c r="E36" s="33"/>
      <c r="F36" s="33"/>
      <c r="H36" s="42"/>
    </row>
    <row r="37" spans="2:9">
      <c r="B37" s="16"/>
      <c r="C37" s="16"/>
      <c r="D37" s="33"/>
      <c r="E37" s="33"/>
      <c r="F37" s="33"/>
    </row>
    <row r="41" spans="2:9">
      <c r="B41" s="16"/>
      <c r="C41" s="84"/>
      <c r="D41" s="34"/>
      <c r="E41" s="34"/>
      <c r="F41" s="34"/>
      <c r="H41" s="16"/>
      <c r="I41" s="16"/>
    </row>
    <row r="42" spans="2:9">
      <c r="B42" s="16"/>
      <c r="C42" s="16"/>
      <c r="D42" s="34"/>
      <c r="E42" s="34"/>
      <c r="F42" s="34"/>
    </row>
    <row r="43" spans="2:9">
      <c r="B43" s="141"/>
      <c r="C43" s="141"/>
      <c r="D43" s="141"/>
      <c r="E43" s="141"/>
      <c r="F43" s="141"/>
    </row>
    <row r="52" spans="2:6">
      <c r="E52" s="88"/>
    </row>
    <row r="54" spans="2:6">
      <c r="B54" s="141"/>
      <c r="C54" s="141"/>
      <c r="D54" s="141"/>
      <c r="E54" s="141"/>
      <c r="F54" s="141"/>
    </row>
    <row r="72" spans="1:6">
      <c r="B72" s="164"/>
      <c r="C72" s="164"/>
      <c r="D72" s="30"/>
      <c r="E72" s="30"/>
      <c r="F72" s="30"/>
    </row>
    <row r="73" spans="1:6">
      <c r="A73" s="16"/>
      <c r="B73" s="16"/>
      <c r="C73" s="16"/>
      <c r="D73" s="16"/>
      <c r="E73" s="16"/>
    </row>
    <row r="80" spans="1:6">
      <c r="A80" s="74"/>
      <c r="B80" s="78"/>
      <c r="C80" s="77"/>
      <c r="D80" s="79"/>
      <c r="E80" s="80"/>
      <c r="F80" s="76"/>
    </row>
    <row r="81" spans="1:8">
      <c r="A81" s="74"/>
      <c r="B81" s="78"/>
      <c r="C81" s="77"/>
      <c r="D81" s="77"/>
      <c r="E81" s="16"/>
      <c r="F81" s="81"/>
    </row>
    <row r="82" spans="1:8">
      <c r="A82" s="74"/>
      <c r="B82" s="78"/>
      <c r="C82" s="77"/>
      <c r="D82" s="77"/>
      <c r="E82" s="16"/>
      <c r="F82" s="16"/>
    </row>
    <row r="83" spans="1:8">
      <c r="A83" s="74"/>
      <c r="B83" s="74"/>
      <c r="C83" s="77"/>
      <c r="D83" s="77"/>
      <c r="E83" s="16"/>
      <c r="F83" s="16"/>
    </row>
    <row r="84" spans="1:8">
      <c r="A84" s="74"/>
      <c r="B84" s="74"/>
      <c r="C84" s="77"/>
      <c r="D84" s="77"/>
      <c r="E84" s="16"/>
      <c r="F84" s="16"/>
    </row>
    <row r="85" spans="1:8">
      <c r="A85" s="74"/>
      <c r="B85" s="74"/>
      <c r="C85" s="77"/>
      <c r="D85" s="77"/>
      <c r="E85" s="16"/>
      <c r="F85" s="16"/>
    </row>
    <row r="86" spans="1:8">
      <c r="A86" s="74"/>
      <c r="B86" s="75"/>
      <c r="C86" s="77"/>
      <c r="D86" s="77"/>
      <c r="E86" s="16"/>
      <c r="F86" s="16"/>
    </row>
    <row r="87" spans="1:8">
      <c r="A87" s="74"/>
      <c r="B87" s="16"/>
      <c r="C87" s="16"/>
      <c r="D87" s="82"/>
      <c r="E87" s="16"/>
      <c r="F87" s="16"/>
      <c r="H87" s="41"/>
    </row>
    <row r="88" spans="1:8">
      <c r="A88" s="16"/>
      <c r="B88" s="16"/>
      <c r="C88" s="16"/>
      <c r="D88" s="16"/>
      <c r="E88" s="16"/>
    </row>
    <row r="89" spans="1:8">
      <c r="A89" s="16"/>
      <c r="B89" s="16"/>
      <c r="C89" s="16"/>
      <c r="D89" s="16"/>
      <c r="E89" s="16"/>
    </row>
    <row r="90" spans="1:8">
      <c r="A90" s="16"/>
      <c r="B90" s="16"/>
      <c r="C90" s="16"/>
      <c r="D90" s="16"/>
      <c r="E90" s="16"/>
    </row>
  </sheetData>
  <mergeCells count="6">
    <mergeCell ref="B72:C72"/>
    <mergeCell ref="B11:F11"/>
    <mergeCell ref="B43:F43"/>
    <mergeCell ref="B54:F54"/>
    <mergeCell ref="C6:D6"/>
    <mergeCell ref="C10:D10"/>
  </mergeCells>
  <phoneticPr fontId="2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4:T47"/>
  <sheetViews>
    <sheetView workbookViewId="0">
      <selection activeCell="F26" sqref="F26"/>
    </sheetView>
  </sheetViews>
  <sheetFormatPr baseColWidth="10" defaultRowHeight="12.75"/>
  <cols>
    <col min="3" max="3" width="32.7109375" customWidth="1"/>
    <col min="4" max="4" width="16.7109375" bestFit="1" customWidth="1"/>
    <col min="6" max="6" width="22.5703125" bestFit="1" customWidth="1"/>
    <col min="7" max="7" width="16.85546875" bestFit="1" customWidth="1"/>
    <col min="8" max="8" width="15.42578125" bestFit="1" customWidth="1"/>
    <col min="11" max="11" width="15.7109375" customWidth="1"/>
    <col min="17" max="17" width="13.140625" bestFit="1" customWidth="1"/>
    <col min="19" max="19" width="11" customWidth="1"/>
  </cols>
  <sheetData>
    <row r="4" spans="3:7">
      <c r="C4" s="164" t="s">
        <v>215</v>
      </c>
      <c r="D4" s="164"/>
      <c r="E4" s="164"/>
      <c r="F4" s="164"/>
      <c r="G4" s="164"/>
    </row>
    <row r="5" spans="3:7">
      <c r="C5" s="18" t="s">
        <v>46</v>
      </c>
      <c r="D5" s="18" t="s">
        <v>15</v>
      </c>
      <c r="E5" s="18" t="s">
        <v>43</v>
      </c>
      <c r="F5" s="18" t="s">
        <v>16</v>
      </c>
      <c r="G5" s="18" t="s">
        <v>44</v>
      </c>
    </row>
    <row r="6" spans="3:7">
      <c r="C6" s="1" t="s">
        <v>155</v>
      </c>
      <c r="D6" s="23">
        <v>1</v>
      </c>
      <c r="E6" s="12">
        <v>800</v>
      </c>
      <c r="F6" s="12">
        <v>800</v>
      </c>
      <c r="G6" s="91">
        <f>E6*12</f>
        <v>9600</v>
      </c>
    </row>
    <row r="7" spans="3:7">
      <c r="C7" s="1" t="s">
        <v>156</v>
      </c>
      <c r="D7" s="23">
        <v>1</v>
      </c>
      <c r="E7" s="12">
        <v>600</v>
      </c>
      <c r="F7" s="12">
        <v>600</v>
      </c>
      <c r="G7" s="91">
        <f>E7*12</f>
        <v>7200</v>
      </c>
    </row>
    <row r="8" spans="3:7">
      <c r="C8" s="1" t="s">
        <v>157</v>
      </c>
      <c r="D8" s="23">
        <v>1</v>
      </c>
      <c r="E8" s="12">
        <v>600</v>
      </c>
      <c r="F8" s="12">
        <v>600</v>
      </c>
      <c r="G8" s="91">
        <f>E8*12</f>
        <v>7200</v>
      </c>
    </row>
    <row r="9" spans="3:7">
      <c r="C9" s="1" t="s">
        <v>158</v>
      </c>
      <c r="D9" s="23">
        <v>1</v>
      </c>
      <c r="E9" s="12">
        <v>600</v>
      </c>
      <c r="F9" s="12">
        <v>600</v>
      </c>
      <c r="G9" s="91">
        <f>E9*12</f>
        <v>7200</v>
      </c>
    </row>
    <row r="10" spans="3:7">
      <c r="C10" s="17" t="s">
        <v>161</v>
      </c>
      <c r="D10" s="23">
        <v>1</v>
      </c>
      <c r="E10" s="11">
        <v>300</v>
      </c>
      <c r="F10" s="11">
        <v>300</v>
      </c>
      <c r="G10" s="91">
        <f>E10*12</f>
        <v>3600</v>
      </c>
    </row>
    <row r="11" spans="3:7">
      <c r="C11" s="1" t="str">
        <f>+'Estructura Adm.'!B12</f>
        <v>Operadores</v>
      </c>
      <c r="D11" s="1">
        <f>+'Estructura Adm.'!D12</f>
        <v>2</v>
      </c>
      <c r="E11" s="11">
        <f>+'Estructura Adm.'!C12</f>
        <v>550</v>
      </c>
      <c r="F11" s="11">
        <f>+E11*D11</f>
        <v>1100</v>
      </c>
      <c r="G11" s="11">
        <f>+F11*12</f>
        <v>13200</v>
      </c>
    </row>
    <row r="12" spans="3:7">
      <c r="C12" s="17" t="str">
        <f>+'Estructura Adm.'!B13</f>
        <v>Trabajadores de planta</v>
      </c>
      <c r="D12" s="17">
        <f>+'Estructura Adm.'!D13</f>
        <v>4</v>
      </c>
      <c r="E12" s="12">
        <f>+'Estructura Adm.'!C13</f>
        <v>350</v>
      </c>
      <c r="F12" s="12">
        <f>+E12*D12</f>
        <v>1400</v>
      </c>
      <c r="G12" s="12">
        <f>+F12*12</f>
        <v>16800</v>
      </c>
    </row>
    <row r="13" spans="3:7">
      <c r="C13" s="1" t="str">
        <f>+'Estructura Adm.'!B15</f>
        <v>Distribuidores</v>
      </c>
      <c r="D13" s="1">
        <f>+'Estructura Adm.'!D15</f>
        <v>2</v>
      </c>
      <c r="E13" s="11">
        <f>+'Estructura Adm.'!C15</f>
        <v>300</v>
      </c>
      <c r="F13" s="11">
        <f>+E13*D13</f>
        <v>600</v>
      </c>
      <c r="G13" s="11">
        <f>+F13*12</f>
        <v>7200</v>
      </c>
    </row>
    <row r="14" spans="3:7">
      <c r="C14" s="17" t="str">
        <f>+'Estructura Adm.'!B16</f>
        <v xml:space="preserve">Guardiania </v>
      </c>
      <c r="D14" s="17">
        <f>+'Estructura Adm.'!D16</f>
        <v>1</v>
      </c>
      <c r="E14" s="11">
        <f>+'Estructura Adm.'!C16</f>
        <v>300</v>
      </c>
      <c r="F14" s="11">
        <f>+E14*D14</f>
        <v>300</v>
      </c>
      <c r="G14" s="11">
        <f>+F14*12</f>
        <v>3600</v>
      </c>
    </row>
    <row r="15" spans="3:7">
      <c r="C15" s="1" t="str">
        <f>+'Estructura Adm.'!B17</f>
        <v>Mantenimiento y Limpieza</v>
      </c>
      <c r="D15" s="1">
        <f>+'Estructura Adm.'!D17</f>
        <v>2</v>
      </c>
      <c r="E15" s="11">
        <f>+'Estructura Adm.'!C17</f>
        <v>300</v>
      </c>
      <c r="F15" s="11">
        <f>+E15*D15</f>
        <v>600</v>
      </c>
      <c r="G15" s="11">
        <f>+F15*12</f>
        <v>7200</v>
      </c>
    </row>
    <row r="16" spans="3:7">
      <c r="C16" s="1"/>
      <c r="D16" s="23"/>
      <c r="E16" s="43"/>
      <c r="F16" s="89"/>
    </row>
    <row r="17" spans="1:20">
      <c r="C17" s="17" t="s">
        <v>0</v>
      </c>
      <c r="D17" s="28"/>
      <c r="E17" s="83">
        <f>SUM(E6:E15)</f>
        <v>4700</v>
      </c>
      <c r="F17" s="83">
        <f>SUM(F6:F15)</f>
        <v>6900</v>
      </c>
      <c r="G17" s="83">
        <f>SUM(G6:G15)</f>
        <v>82800</v>
      </c>
    </row>
    <row r="19" spans="1:20">
      <c r="K19" s="16"/>
      <c r="L19" s="16"/>
    </row>
    <row r="20" spans="1:20">
      <c r="C20" s="164" t="s">
        <v>216</v>
      </c>
      <c r="D20" s="164"/>
      <c r="E20" s="164"/>
      <c r="F20" s="164"/>
      <c r="G20" s="164"/>
      <c r="K20" s="16"/>
      <c r="L20" s="16"/>
    </row>
    <row r="21" spans="1:20">
      <c r="C21" s="18" t="s">
        <v>46</v>
      </c>
      <c r="D21" s="18" t="s">
        <v>15</v>
      </c>
      <c r="E21" s="18" t="s">
        <v>43</v>
      </c>
      <c r="F21" s="18" t="s">
        <v>44</v>
      </c>
      <c r="I21" s="16"/>
      <c r="J21" s="16"/>
      <c r="K21" s="16"/>
      <c r="L21" s="16"/>
    </row>
    <row r="22" spans="1:20" s="16" customFormat="1">
      <c r="C22" s="85" t="s">
        <v>193</v>
      </c>
      <c r="D22" s="23"/>
      <c r="E22" s="43">
        <v>400</v>
      </c>
      <c r="F22" s="73">
        <f>E22*12</f>
        <v>4800</v>
      </c>
      <c r="G22"/>
      <c r="P22"/>
      <c r="Q22"/>
      <c r="R22"/>
      <c r="S22"/>
      <c r="T22"/>
    </row>
    <row r="23" spans="1:20" s="16" customFormat="1">
      <c r="C23" s="85" t="s">
        <v>194</v>
      </c>
      <c r="D23" s="23"/>
      <c r="E23" s="43">
        <v>250</v>
      </c>
      <c r="F23" s="73">
        <f>E23*12</f>
        <v>3000</v>
      </c>
      <c r="G23"/>
      <c r="P23"/>
      <c r="Q23"/>
      <c r="R23"/>
      <c r="S23"/>
      <c r="T23"/>
    </row>
    <row r="24" spans="1:20" s="16" customFormat="1">
      <c r="C24" s="85" t="s">
        <v>195</v>
      </c>
      <c r="D24" s="23"/>
      <c r="E24" s="43">
        <v>50</v>
      </c>
      <c r="F24" s="73">
        <f>E24*12</f>
        <v>600</v>
      </c>
      <c r="G24"/>
    </row>
    <row r="25" spans="1:20" s="16" customFormat="1">
      <c r="C25" s="86" t="s">
        <v>196</v>
      </c>
      <c r="D25" s="23"/>
      <c r="E25" s="43">
        <v>3000</v>
      </c>
      <c r="F25" s="73">
        <f>E25*12</f>
        <v>36000</v>
      </c>
      <c r="G25"/>
      <c r="I25" s="63"/>
      <c r="J25" s="63"/>
      <c r="K25" s="63"/>
      <c r="L25" s="63"/>
    </row>
    <row r="26" spans="1:20" s="16" customFormat="1">
      <c r="C26" s="90"/>
      <c r="D26" s="23"/>
      <c r="E26" s="43"/>
      <c r="F26" s="89"/>
      <c r="G26"/>
      <c r="I26" s="63"/>
      <c r="J26" s="63"/>
      <c r="K26" s="63"/>
      <c r="L26" s="63"/>
    </row>
    <row r="27" spans="1:20" s="16" customFormat="1">
      <c r="C27" s="17" t="s">
        <v>0</v>
      </c>
      <c r="D27" s="28"/>
      <c r="E27" s="87">
        <f>SUM(E22:E25)</f>
        <v>3700</v>
      </c>
      <c r="F27" s="83">
        <f>SUM(F22:F25)</f>
        <v>44400</v>
      </c>
      <c r="G27" s="24"/>
      <c r="I27" s="58"/>
      <c r="J27" s="58"/>
      <c r="K27" s="15"/>
      <c r="L27" s="27"/>
    </row>
    <row r="28" spans="1:20" s="63" customFormat="1">
      <c r="A28" s="56"/>
      <c r="B28" s="56"/>
      <c r="I28" s="64"/>
      <c r="J28" s="64"/>
      <c r="K28" s="65"/>
      <c r="L28" s="66"/>
    </row>
    <row r="29" spans="1:20" s="63" customFormat="1">
      <c r="C29" s="164" t="s">
        <v>217</v>
      </c>
      <c r="D29" s="164"/>
      <c r="E29" s="164"/>
      <c r="F29" s="164"/>
      <c r="G29" s="164"/>
      <c r="I29" s="64"/>
      <c r="J29" s="64"/>
      <c r="K29" s="65"/>
      <c r="L29" s="66"/>
    </row>
    <row r="30" spans="1:20" s="63" customFormat="1">
      <c r="C30"/>
      <c r="D30"/>
      <c r="E30"/>
      <c r="F30"/>
      <c r="G30"/>
      <c r="H30"/>
      <c r="I30" s="64"/>
      <c r="J30" s="64"/>
      <c r="K30" s="65"/>
      <c r="L30" s="66"/>
    </row>
    <row r="31" spans="1:20" s="63" customFormat="1">
      <c r="C31" s="18" t="s">
        <v>46</v>
      </c>
      <c r="D31" s="18" t="s">
        <v>15</v>
      </c>
      <c r="E31" s="18" t="s">
        <v>43</v>
      </c>
      <c r="F31" s="18" t="s">
        <v>16</v>
      </c>
      <c r="G31" s="18" t="s">
        <v>44</v>
      </c>
      <c r="H31" s="67"/>
      <c r="I31" s="67"/>
      <c r="J31" s="67"/>
      <c r="K31" s="65"/>
      <c r="L31" s="66"/>
    </row>
    <row r="32" spans="1:20" s="63" customFormat="1">
      <c r="C32" s="1" t="s">
        <v>47</v>
      </c>
      <c r="D32" s="1"/>
      <c r="E32" s="21">
        <f>+'Equipos Of. y PLanta'!F45</f>
        <v>54.5</v>
      </c>
      <c r="F32" s="21">
        <f>+E32</f>
        <v>54.5</v>
      </c>
      <c r="G32" s="21">
        <f>+F32*12</f>
        <v>654</v>
      </c>
      <c r="H32" s="67"/>
      <c r="I32" s="67"/>
      <c r="J32" s="67"/>
      <c r="K32" s="65"/>
      <c r="L32" s="66"/>
    </row>
    <row r="33" spans="3:20" s="63" customFormat="1">
      <c r="C33" s="1" t="s">
        <v>48</v>
      </c>
      <c r="D33" s="1"/>
      <c r="E33" s="21">
        <f>+'Equipos Of. y PLanta'!F30</f>
        <v>115.65</v>
      </c>
      <c r="F33" s="21">
        <f>+E33</f>
        <v>115.65</v>
      </c>
      <c r="G33" s="21">
        <f>+F33*12</f>
        <v>1387.8000000000002</v>
      </c>
      <c r="I33" s="67"/>
      <c r="J33" s="67"/>
      <c r="K33" s="65"/>
      <c r="L33" s="66"/>
    </row>
    <row r="34" spans="3:20" s="63" customFormat="1">
      <c r="C34" s="1" t="s">
        <v>0</v>
      </c>
      <c r="D34" s="1"/>
      <c r="E34" s="21">
        <f>SUM(E32:E33)</f>
        <v>170.15</v>
      </c>
      <c r="F34" s="21">
        <f>SUM(F32:F33)</f>
        <v>170.15</v>
      </c>
      <c r="G34" s="21">
        <f>SUM(G32:G33)</f>
        <v>2041.8000000000002</v>
      </c>
      <c r="H34" s="66"/>
      <c r="I34" s="67"/>
      <c r="J34" s="67"/>
      <c r="K34" s="67"/>
      <c r="L34" s="65"/>
      <c r="M34" s="66"/>
    </row>
    <row r="35" spans="3:20" s="63" customFormat="1">
      <c r="C35" s="16"/>
      <c r="D35" s="16"/>
      <c r="E35" s="33"/>
      <c r="F35" s="33"/>
      <c r="G35" s="33"/>
      <c r="H35" s="66"/>
      <c r="I35" s="67"/>
      <c r="J35" s="67"/>
      <c r="K35" s="67"/>
      <c r="L35" s="65"/>
      <c r="M35" s="66"/>
    </row>
    <row r="36" spans="3:20" s="63" customFormat="1">
      <c r="C36" s="164" t="s">
        <v>218</v>
      </c>
      <c r="D36" s="164"/>
      <c r="E36" s="164"/>
      <c r="F36" s="164"/>
      <c r="G36" s="164"/>
      <c r="H36"/>
      <c r="I36"/>
      <c r="J36"/>
      <c r="K36" s="67"/>
      <c r="L36" s="65"/>
      <c r="M36" s="66"/>
    </row>
    <row r="37" spans="3:20" s="63" customFormat="1">
      <c r="C37" s="18" t="s">
        <v>46</v>
      </c>
      <c r="D37" s="18" t="s">
        <v>15</v>
      </c>
      <c r="E37" s="18" t="s">
        <v>43</v>
      </c>
      <c r="F37" s="18" t="s">
        <v>44</v>
      </c>
      <c r="G37"/>
      <c r="H37"/>
      <c r="I37"/>
      <c r="J37"/>
      <c r="K37" s="67"/>
      <c r="L37" s="65"/>
      <c r="M37" s="66"/>
    </row>
    <row r="38" spans="3:20" s="63" customFormat="1">
      <c r="C38" s="29" t="s">
        <v>192</v>
      </c>
      <c r="D38" s="23">
        <v>90</v>
      </c>
      <c r="E38" s="83">
        <f>D38*1.15</f>
        <v>103.49999999999999</v>
      </c>
      <c r="F38" s="83">
        <f>E38*12</f>
        <v>1241.9999999999998</v>
      </c>
      <c r="G38"/>
      <c r="H38"/>
      <c r="I38"/>
      <c r="J38"/>
      <c r="K38" s="67"/>
      <c r="L38" s="65"/>
      <c r="M38" s="66"/>
    </row>
    <row r="39" spans="3:20" s="59" customFormat="1">
      <c r="C39" s="17" t="s">
        <v>0</v>
      </c>
      <c r="D39" s="28"/>
      <c r="E39" s="23"/>
      <c r="F39" s="83">
        <f>F38</f>
        <v>1241.9999999999998</v>
      </c>
      <c r="G39" s="24"/>
      <c r="H39"/>
      <c r="I39" s="17" t="s">
        <v>192</v>
      </c>
      <c r="J39" s="1">
        <v>1.1499999999999999</v>
      </c>
      <c r="K39" s="55"/>
      <c r="L39" s="60"/>
      <c r="M39" s="61"/>
    </row>
    <row r="40" spans="3:20" s="16" customFormat="1">
      <c r="I40"/>
      <c r="J40"/>
      <c r="K40"/>
      <c r="L40" s="15"/>
      <c r="M40" s="27"/>
    </row>
    <row r="41" spans="3:20" s="16" customFormat="1">
      <c r="C41" s="175" t="s">
        <v>72</v>
      </c>
      <c r="D41" s="175"/>
      <c r="E41" s="175"/>
      <c r="F41" s="175"/>
      <c r="G41" s="175"/>
      <c r="H41" s="175"/>
      <c r="K41" s="27"/>
      <c r="L41" s="15"/>
    </row>
    <row r="42" spans="3:20">
      <c r="C42" s="18" t="s">
        <v>137</v>
      </c>
      <c r="D42" s="18" t="s">
        <v>118</v>
      </c>
      <c r="E42" s="18" t="s">
        <v>15</v>
      </c>
      <c r="F42" s="18" t="s">
        <v>43</v>
      </c>
      <c r="G42" s="18" t="s">
        <v>16</v>
      </c>
      <c r="H42" s="18" t="s">
        <v>44</v>
      </c>
      <c r="I42" s="54"/>
      <c r="P42" s="16"/>
      <c r="Q42" s="16"/>
      <c r="R42" s="16"/>
      <c r="S42" s="16"/>
      <c r="T42" s="16"/>
    </row>
    <row r="43" spans="3:20">
      <c r="C43" s="1" t="s">
        <v>199</v>
      </c>
      <c r="D43" s="1" t="s">
        <v>138</v>
      </c>
      <c r="E43" s="1">
        <v>8</v>
      </c>
      <c r="F43" s="21">
        <v>550</v>
      </c>
      <c r="G43" s="21">
        <f>+F43</f>
        <v>550</v>
      </c>
      <c r="H43" s="21">
        <f>+G43*12</f>
        <v>6600</v>
      </c>
      <c r="I43" s="27"/>
      <c r="J43" s="27"/>
    </row>
    <row r="44" spans="3:20">
      <c r="C44" s="1" t="s">
        <v>197</v>
      </c>
      <c r="D44" s="1" t="s">
        <v>198</v>
      </c>
      <c r="E44" s="1">
        <v>40</v>
      </c>
      <c r="F44" s="21">
        <v>480</v>
      </c>
      <c r="G44" s="21">
        <f>+F44</f>
        <v>480</v>
      </c>
      <c r="H44" s="21">
        <f>+G44*12</f>
        <v>5760</v>
      </c>
      <c r="I44" s="33"/>
      <c r="J44" s="33"/>
    </row>
    <row r="45" spans="3:20">
      <c r="C45" s="1" t="s">
        <v>121</v>
      </c>
      <c r="D45" s="1"/>
      <c r="E45" s="1">
        <v>500</v>
      </c>
      <c r="F45" s="21">
        <v>170</v>
      </c>
      <c r="G45" s="21">
        <f>+F45</f>
        <v>170</v>
      </c>
      <c r="H45" s="21">
        <f>+G45*6</f>
        <v>1020</v>
      </c>
      <c r="I45" s="33"/>
      <c r="J45" s="33"/>
    </row>
    <row r="46" spans="3:20">
      <c r="C46" s="1"/>
      <c r="D46" s="1"/>
      <c r="E46" s="1"/>
      <c r="F46" s="21">
        <f>SUM(F43:F45)</f>
        <v>1200</v>
      </c>
      <c r="G46" s="21">
        <f>SUM(G43:G45)</f>
        <v>1200</v>
      </c>
      <c r="H46" s="21">
        <f>SUM(H43:H45)</f>
        <v>13380</v>
      </c>
      <c r="I46" s="33"/>
      <c r="J46" s="33"/>
    </row>
    <row r="47" spans="3:20">
      <c r="I47" s="33"/>
      <c r="J47" s="33"/>
    </row>
  </sheetData>
  <mergeCells count="5">
    <mergeCell ref="C41:H41"/>
    <mergeCell ref="C4:G4"/>
    <mergeCell ref="C20:G20"/>
    <mergeCell ref="C29:G29"/>
    <mergeCell ref="C36:G36"/>
  </mergeCells>
  <phoneticPr fontId="2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27"/>
  <sheetViews>
    <sheetView zoomScale="75" workbookViewId="0">
      <selection activeCell="G27" sqref="G27"/>
    </sheetView>
  </sheetViews>
  <sheetFormatPr baseColWidth="10" defaultRowHeight="12.75"/>
  <cols>
    <col min="1" max="1" width="25.85546875" customWidth="1"/>
    <col min="5" max="5" width="12.5703125" bestFit="1" customWidth="1"/>
    <col min="8" max="8" width="12.5703125" bestFit="1" customWidth="1"/>
    <col min="10" max="13" width="13.42578125" customWidth="1"/>
  </cols>
  <sheetData>
    <row r="3" spans="1:16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6">
      <c r="A5" s="18"/>
      <c r="B5" s="18" t="s">
        <v>85</v>
      </c>
      <c r="C5" s="18" t="s">
        <v>86</v>
      </c>
      <c r="D5" s="18" t="s">
        <v>87</v>
      </c>
      <c r="E5" s="18" t="s">
        <v>88</v>
      </c>
      <c r="F5" s="18" t="s">
        <v>89</v>
      </c>
      <c r="G5" s="18" t="s">
        <v>90</v>
      </c>
      <c r="H5" s="18" t="s">
        <v>91</v>
      </c>
      <c r="I5" s="18" t="s">
        <v>92</v>
      </c>
      <c r="J5" s="18" t="s">
        <v>93</v>
      </c>
      <c r="K5" s="18" t="s">
        <v>94</v>
      </c>
      <c r="L5" s="18" t="s">
        <v>95</v>
      </c>
      <c r="M5" s="18" t="s">
        <v>96</v>
      </c>
    </row>
    <row r="6" spans="1:16">
      <c r="A6" s="1" t="s">
        <v>12</v>
      </c>
      <c r="B6" s="1">
        <f>+Poblacion!D49</f>
        <v>1</v>
      </c>
      <c r="C6" s="1">
        <f>+Poblacion!D49</f>
        <v>1</v>
      </c>
      <c r="D6" s="1">
        <f>+Poblacion!D49</f>
        <v>1</v>
      </c>
      <c r="E6" s="1">
        <f>+Poblacion!D49</f>
        <v>1</v>
      </c>
      <c r="F6" s="1">
        <f>+Poblacion!D49</f>
        <v>1</v>
      </c>
      <c r="G6" s="1">
        <f>+Poblacion!D49</f>
        <v>1</v>
      </c>
      <c r="H6" s="1">
        <f>+Poblacion!D49</f>
        <v>1</v>
      </c>
      <c r="I6" s="1">
        <f>+Poblacion!D49</f>
        <v>1</v>
      </c>
      <c r="J6" s="1">
        <f>+Poblacion!D49</f>
        <v>1</v>
      </c>
      <c r="K6" s="1">
        <f>+Poblacion!D49</f>
        <v>1</v>
      </c>
      <c r="L6" s="1">
        <f>+Poblacion!D49</f>
        <v>1</v>
      </c>
      <c r="M6" s="1">
        <f>+Poblacion!D49</f>
        <v>1</v>
      </c>
      <c r="O6" s="38"/>
    </row>
    <row r="7" spans="1:16">
      <c r="A7" s="1" t="s">
        <v>97</v>
      </c>
      <c r="B7" s="31">
        <f>O15*2.5%</f>
        <v>9757.4476725180011</v>
      </c>
      <c r="C7" s="31">
        <f>O15*5%</f>
        <v>19514.895345036002</v>
      </c>
      <c r="D7" s="31">
        <f>O15*6%</f>
        <v>23417.874414043203</v>
      </c>
      <c r="E7" s="31">
        <f>O15*6.5%</f>
        <v>25369.363948546801</v>
      </c>
      <c r="F7" s="31">
        <f>O15*6.5%</f>
        <v>25369.363948546801</v>
      </c>
      <c r="G7" s="31">
        <f>O15*7%</f>
        <v>27320.853483050403</v>
      </c>
      <c r="H7" s="31">
        <f>O15*8%</f>
        <v>31223.832552057604</v>
      </c>
      <c r="I7" s="31">
        <f>O15*8%</f>
        <v>31223.832552057604</v>
      </c>
      <c r="J7" s="31">
        <f>I7</f>
        <v>31223.832552057604</v>
      </c>
      <c r="K7" s="31">
        <f>O15*10%</f>
        <v>39029.790690072005</v>
      </c>
      <c r="L7" s="31">
        <f>O15*22%</f>
        <v>85865.539518158403</v>
      </c>
      <c r="M7" s="31">
        <f>O15*10.5%</f>
        <v>40981.280224575603</v>
      </c>
      <c r="N7" s="38">
        <f>SUM(B7:M7)</f>
        <v>390297.90690072003</v>
      </c>
    </row>
    <row r="8" spans="1:16">
      <c r="A8" s="118" t="s">
        <v>98</v>
      </c>
      <c r="B8" s="118">
        <f>B6*B7</f>
        <v>9757.4476725180011</v>
      </c>
      <c r="C8" s="118">
        <f t="shared" ref="C8:M8" si="0">C6*C7</f>
        <v>19514.895345036002</v>
      </c>
      <c r="D8" s="118">
        <f t="shared" si="0"/>
        <v>23417.874414043203</v>
      </c>
      <c r="E8" s="118">
        <f t="shared" si="0"/>
        <v>25369.363948546801</v>
      </c>
      <c r="F8" s="118">
        <f t="shared" si="0"/>
        <v>25369.363948546801</v>
      </c>
      <c r="G8" s="118">
        <f t="shared" si="0"/>
        <v>27320.853483050403</v>
      </c>
      <c r="H8" s="118">
        <f t="shared" si="0"/>
        <v>31223.832552057604</v>
      </c>
      <c r="I8" s="118">
        <f t="shared" si="0"/>
        <v>31223.832552057604</v>
      </c>
      <c r="J8" s="118">
        <f t="shared" si="0"/>
        <v>31223.832552057604</v>
      </c>
      <c r="K8" s="118">
        <f t="shared" si="0"/>
        <v>39029.790690072005</v>
      </c>
      <c r="L8" s="118">
        <f t="shared" si="0"/>
        <v>85865.539518158403</v>
      </c>
      <c r="M8" s="118">
        <f t="shared" si="0"/>
        <v>40981.280224575603</v>
      </c>
      <c r="N8" s="109"/>
      <c r="O8" s="40"/>
    </row>
    <row r="9" spans="1:16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6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9"/>
    </row>
    <row r="11" spans="1:16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>
        <f>O15-N7</f>
        <v>0</v>
      </c>
      <c r="O11">
        <f>N11/O15</f>
        <v>0</v>
      </c>
    </row>
    <row r="12" spans="1:16">
      <c r="A12" s="176" t="s">
        <v>18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09"/>
    </row>
    <row r="13" spans="1:16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6">
      <c r="A14" s="122" t="s">
        <v>19</v>
      </c>
      <c r="B14" s="122" t="s">
        <v>20</v>
      </c>
      <c r="C14" s="122" t="s">
        <v>21</v>
      </c>
      <c r="D14" s="122" t="s">
        <v>22</v>
      </c>
      <c r="E14" s="122" t="s">
        <v>23</v>
      </c>
      <c r="F14" s="122" t="s">
        <v>24</v>
      </c>
      <c r="G14" s="122" t="s">
        <v>25</v>
      </c>
      <c r="H14" s="122" t="s">
        <v>26</v>
      </c>
      <c r="I14" s="122" t="s">
        <v>27</v>
      </c>
      <c r="J14" s="122" t="s">
        <v>28</v>
      </c>
      <c r="K14" s="122" t="s">
        <v>29</v>
      </c>
      <c r="L14" s="122" t="s">
        <v>30</v>
      </c>
      <c r="M14" s="122" t="s">
        <v>31</v>
      </c>
      <c r="N14" s="109"/>
    </row>
    <row r="15" spans="1:16">
      <c r="A15" s="123" t="s">
        <v>32</v>
      </c>
      <c r="B15" s="118">
        <f>+B8</f>
        <v>9757.4476725180011</v>
      </c>
      <c r="C15" s="118">
        <f>+C8</f>
        <v>19514.895345036002</v>
      </c>
      <c r="D15" s="118">
        <f t="shared" ref="D15:M15" si="1">+D8</f>
        <v>23417.874414043203</v>
      </c>
      <c r="E15" s="118">
        <f t="shared" si="1"/>
        <v>25369.363948546801</v>
      </c>
      <c r="F15" s="118">
        <f t="shared" si="1"/>
        <v>25369.363948546801</v>
      </c>
      <c r="G15" s="118">
        <f t="shared" si="1"/>
        <v>27320.853483050403</v>
      </c>
      <c r="H15" s="118">
        <f t="shared" si="1"/>
        <v>31223.832552057604</v>
      </c>
      <c r="I15" s="118">
        <f t="shared" si="1"/>
        <v>31223.832552057604</v>
      </c>
      <c r="J15" s="118">
        <f t="shared" si="1"/>
        <v>31223.832552057604</v>
      </c>
      <c r="K15" s="118">
        <f t="shared" si="1"/>
        <v>39029.790690072005</v>
      </c>
      <c r="L15" s="118">
        <f t="shared" si="1"/>
        <v>85865.539518158403</v>
      </c>
      <c r="M15" s="118">
        <f t="shared" si="1"/>
        <v>40981.280224575603</v>
      </c>
      <c r="N15" s="124">
        <f>SUM(B15:M15)</f>
        <v>390297.90690072003</v>
      </c>
      <c r="O15" s="95">
        <f>Poblacion!D48</f>
        <v>390297.90690072003</v>
      </c>
      <c r="P15" s="38"/>
    </row>
    <row r="16" spans="1:16">
      <c r="A16" s="123" t="s">
        <v>60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>
      <c r="A17" s="118" t="s">
        <v>62</v>
      </c>
      <c r="B17" s="118">
        <f>+Gastos!F17+Gastos!E27+Gastos!F34</f>
        <v>10770.15</v>
      </c>
      <c r="C17" s="118">
        <f t="shared" ref="C17:M17" si="2">B17</f>
        <v>10770.15</v>
      </c>
      <c r="D17" s="118">
        <f t="shared" si="2"/>
        <v>10770.15</v>
      </c>
      <c r="E17" s="118">
        <f t="shared" si="2"/>
        <v>10770.15</v>
      </c>
      <c r="F17" s="118">
        <f t="shared" si="2"/>
        <v>10770.15</v>
      </c>
      <c r="G17" s="118">
        <f t="shared" si="2"/>
        <v>10770.15</v>
      </c>
      <c r="H17" s="118">
        <f t="shared" si="2"/>
        <v>10770.15</v>
      </c>
      <c r="I17" s="118">
        <f t="shared" si="2"/>
        <v>10770.15</v>
      </c>
      <c r="J17" s="118">
        <f t="shared" si="2"/>
        <v>10770.15</v>
      </c>
      <c r="K17" s="118">
        <f t="shared" si="2"/>
        <v>10770.15</v>
      </c>
      <c r="L17" s="118">
        <f t="shared" si="2"/>
        <v>10770.15</v>
      </c>
      <c r="M17" s="118">
        <f t="shared" si="2"/>
        <v>10770.15</v>
      </c>
      <c r="N17" s="118">
        <f>SUM(B17:M17)</f>
        <v>129241.79999999997</v>
      </c>
    </row>
    <row r="18" spans="1:14">
      <c r="A18" s="118" t="s">
        <v>61</v>
      </c>
      <c r="B18" s="118">
        <f>Gastos!E38+Gastos!G46</f>
        <v>1303.5</v>
      </c>
      <c r="C18" s="118">
        <f t="shared" ref="C18:M18" si="3">B18</f>
        <v>1303.5</v>
      </c>
      <c r="D18" s="118">
        <f t="shared" si="3"/>
        <v>1303.5</v>
      </c>
      <c r="E18" s="118">
        <f t="shared" si="3"/>
        <v>1303.5</v>
      </c>
      <c r="F18" s="118">
        <f t="shared" si="3"/>
        <v>1303.5</v>
      </c>
      <c r="G18" s="118">
        <f t="shared" si="3"/>
        <v>1303.5</v>
      </c>
      <c r="H18" s="118">
        <f t="shared" si="3"/>
        <v>1303.5</v>
      </c>
      <c r="I18" s="118">
        <f t="shared" si="3"/>
        <v>1303.5</v>
      </c>
      <c r="J18" s="118">
        <f t="shared" si="3"/>
        <v>1303.5</v>
      </c>
      <c r="K18" s="118">
        <f t="shared" si="3"/>
        <v>1303.5</v>
      </c>
      <c r="L18" s="118">
        <f t="shared" si="3"/>
        <v>1303.5</v>
      </c>
      <c r="M18" s="118">
        <f t="shared" si="3"/>
        <v>1303.5</v>
      </c>
      <c r="N18" s="124">
        <f>SUM(B18:M18)</f>
        <v>15642</v>
      </c>
    </row>
    <row r="19" spans="1:14">
      <c r="A19" s="118" t="s">
        <v>219</v>
      </c>
      <c r="B19" s="118">
        <f>Costos!D24</f>
        <v>18283.885200000001</v>
      </c>
      <c r="C19" s="118">
        <f t="shared" ref="C19:M19" si="4">B19</f>
        <v>18283.885200000001</v>
      </c>
      <c r="D19" s="118">
        <f t="shared" si="4"/>
        <v>18283.885200000001</v>
      </c>
      <c r="E19" s="118">
        <f t="shared" si="4"/>
        <v>18283.885200000001</v>
      </c>
      <c r="F19" s="118">
        <f t="shared" si="4"/>
        <v>18283.885200000001</v>
      </c>
      <c r="G19" s="118">
        <f t="shared" si="4"/>
        <v>18283.885200000001</v>
      </c>
      <c r="H19" s="118">
        <f t="shared" si="4"/>
        <v>18283.885200000001</v>
      </c>
      <c r="I19" s="118">
        <f t="shared" si="4"/>
        <v>18283.885200000001</v>
      </c>
      <c r="J19" s="118">
        <f t="shared" si="4"/>
        <v>18283.885200000001</v>
      </c>
      <c r="K19" s="118">
        <f t="shared" si="4"/>
        <v>18283.885200000001</v>
      </c>
      <c r="L19" s="118">
        <f t="shared" si="4"/>
        <v>18283.885200000001</v>
      </c>
      <c r="M19" s="118">
        <f t="shared" si="4"/>
        <v>18283.885200000001</v>
      </c>
      <c r="N19" s="118">
        <f>SUM(B19:M19)</f>
        <v>219406.62239999996</v>
      </c>
    </row>
    <row r="20" spans="1:14">
      <c r="A20" s="123" t="s">
        <v>99</v>
      </c>
      <c r="B20" s="118">
        <f>SUM(B17:B19)</f>
        <v>30357.535199999998</v>
      </c>
      <c r="C20" s="118">
        <f t="shared" ref="C20:M20" si="5">SUM(C17:C19)</f>
        <v>30357.535199999998</v>
      </c>
      <c r="D20" s="118">
        <f t="shared" si="5"/>
        <v>30357.535199999998</v>
      </c>
      <c r="E20" s="118">
        <f t="shared" si="5"/>
        <v>30357.535199999998</v>
      </c>
      <c r="F20" s="118">
        <f t="shared" si="5"/>
        <v>30357.535199999998</v>
      </c>
      <c r="G20" s="118">
        <f t="shared" si="5"/>
        <v>30357.535199999998</v>
      </c>
      <c r="H20" s="118">
        <f t="shared" si="5"/>
        <v>30357.535199999998</v>
      </c>
      <c r="I20" s="118">
        <f t="shared" si="5"/>
        <v>30357.535199999998</v>
      </c>
      <c r="J20" s="118">
        <f t="shared" si="5"/>
        <v>30357.535199999998</v>
      </c>
      <c r="K20" s="118">
        <f t="shared" si="5"/>
        <v>30357.535199999998</v>
      </c>
      <c r="L20" s="118">
        <f t="shared" si="5"/>
        <v>30357.535199999998</v>
      </c>
      <c r="M20" s="118">
        <f t="shared" si="5"/>
        <v>30357.535199999998</v>
      </c>
      <c r="N20" s="118">
        <f>SUM(B20:M20)</f>
        <v>364290.42239999986</v>
      </c>
    </row>
    <row r="21" spans="1:14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>
      <c r="A24" s="123" t="s">
        <v>74</v>
      </c>
      <c r="B24" s="118">
        <f t="shared" ref="B24:M24" si="6">+B8</f>
        <v>9757.4476725180011</v>
      </c>
      <c r="C24" s="118">
        <f>+C8</f>
        <v>19514.895345036002</v>
      </c>
      <c r="D24" s="118">
        <f t="shared" si="6"/>
        <v>23417.874414043203</v>
      </c>
      <c r="E24" s="118">
        <f t="shared" si="6"/>
        <v>25369.363948546801</v>
      </c>
      <c r="F24" s="118">
        <f t="shared" si="6"/>
        <v>25369.363948546801</v>
      </c>
      <c r="G24" s="118">
        <f t="shared" si="6"/>
        <v>27320.853483050403</v>
      </c>
      <c r="H24" s="118">
        <f t="shared" si="6"/>
        <v>31223.832552057604</v>
      </c>
      <c r="I24" s="118">
        <f t="shared" si="6"/>
        <v>31223.832552057604</v>
      </c>
      <c r="J24" s="118">
        <f t="shared" si="6"/>
        <v>31223.832552057604</v>
      </c>
      <c r="K24" s="118">
        <f t="shared" si="6"/>
        <v>39029.790690072005</v>
      </c>
      <c r="L24" s="118">
        <f t="shared" si="6"/>
        <v>85865.539518158403</v>
      </c>
      <c r="M24" s="118">
        <f t="shared" si="6"/>
        <v>40981.280224575603</v>
      </c>
      <c r="N24" s="109">
        <f>SUM(B24:M24)</f>
        <v>390297.90690072003</v>
      </c>
    </row>
    <row r="25" spans="1:14">
      <c r="A25" s="123" t="s">
        <v>99</v>
      </c>
      <c r="B25" s="118">
        <f>+B20</f>
        <v>30357.535199999998</v>
      </c>
      <c r="C25" s="118">
        <f>+C20</f>
        <v>30357.535199999998</v>
      </c>
      <c r="D25" s="118">
        <f t="shared" ref="D25:M25" si="7">+D20</f>
        <v>30357.535199999998</v>
      </c>
      <c r="E25" s="118">
        <f t="shared" si="7"/>
        <v>30357.535199999998</v>
      </c>
      <c r="F25" s="118">
        <f t="shared" si="7"/>
        <v>30357.535199999998</v>
      </c>
      <c r="G25" s="118">
        <f t="shared" si="7"/>
        <v>30357.535199999998</v>
      </c>
      <c r="H25" s="118">
        <f t="shared" si="7"/>
        <v>30357.535199999998</v>
      </c>
      <c r="I25" s="118">
        <f t="shared" si="7"/>
        <v>30357.535199999998</v>
      </c>
      <c r="J25" s="118">
        <f t="shared" si="7"/>
        <v>30357.535199999998</v>
      </c>
      <c r="K25" s="118">
        <f t="shared" si="7"/>
        <v>30357.535199999998</v>
      </c>
      <c r="L25" s="118">
        <f t="shared" si="7"/>
        <v>30357.535199999998</v>
      </c>
      <c r="M25" s="118">
        <f t="shared" si="7"/>
        <v>30357.535199999998</v>
      </c>
      <c r="N25" s="109">
        <f>SUM(B25:M25)</f>
        <v>364290.42239999986</v>
      </c>
    </row>
    <row r="26" spans="1:14">
      <c r="A26" s="123" t="s">
        <v>100</v>
      </c>
      <c r="B26" s="118">
        <f>+B24-B25</f>
        <v>-20600.087527481999</v>
      </c>
      <c r="C26" s="118">
        <f>+C24-C25</f>
        <v>-10842.639854963996</v>
      </c>
      <c r="D26" s="118">
        <f>+D24-D25</f>
        <v>-6939.6607859567957</v>
      </c>
      <c r="E26" s="118">
        <f t="shared" ref="E26:M26" si="8">+E24-E25</f>
        <v>-4988.1712514531973</v>
      </c>
      <c r="F26" s="118">
        <f t="shared" si="8"/>
        <v>-4988.1712514531973</v>
      </c>
      <c r="G26" s="118">
        <f t="shared" si="8"/>
        <v>-3036.6817169495953</v>
      </c>
      <c r="H26" s="118">
        <f t="shared" si="8"/>
        <v>866.29735205760517</v>
      </c>
      <c r="I26" s="118">
        <f t="shared" si="8"/>
        <v>866.29735205760517</v>
      </c>
      <c r="J26" s="118">
        <f t="shared" si="8"/>
        <v>866.29735205760517</v>
      </c>
      <c r="K26" s="118">
        <f t="shared" si="8"/>
        <v>8672.2554900720061</v>
      </c>
      <c r="L26" s="118">
        <f t="shared" si="8"/>
        <v>55508.004318158404</v>
      </c>
      <c r="M26" s="118">
        <f t="shared" si="8"/>
        <v>10623.745024575604</v>
      </c>
      <c r="N26" s="109"/>
    </row>
    <row r="27" spans="1:14">
      <c r="A27" s="123" t="s">
        <v>101</v>
      </c>
      <c r="B27" s="124">
        <f>+B26</f>
        <v>-20600.087527481999</v>
      </c>
      <c r="C27" s="118">
        <f>+C26+B27</f>
        <v>-31442.727382445995</v>
      </c>
      <c r="D27" s="125">
        <f>+D26+C27</f>
        <v>-38382.388168402787</v>
      </c>
      <c r="E27" s="126">
        <f>+E26+D27</f>
        <v>-43370.559419855985</v>
      </c>
      <c r="F27" s="124">
        <f t="shared" ref="F27:L27" si="9">+F26+E27</f>
        <v>-48358.730671309182</v>
      </c>
      <c r="G27" s="127">
        <f t="shared" si="9"/>
        <v>-51395.412388258774</v>
      </c>
      <c r="H27" s="124">
        <f t="shared" si="9"/>
        <v>-50529.115036201169</v>
      </c>
      <c r="I27" s="118">
        <f t="shared" si="9"/>
        <v>-49662.817684143563</v>
      </c>
      <c r="J27" s="124">
        <f t="shared" si="9"/>
        <v>-48796.520332085958</v>
      </c>
      <c r="K27" s="118">
        <f t="shared" si="9"/>
        <v>-40124.264842013952</v>
      </c>
      <c r="L27" s="118">
        <f t="shared" si="9"/>
        <v>15383.739476144452</v>
      </c>
      <c r="M27" s="118">
        <f>+M26+L27</f>
        <v>26007.484500720057</v>
      </c>
      <c r="N27" s="109"/>
    </row>
  </sheetData>
  <mergeCells count="1">
    <mergeCell ref="A12:M12"/>
  </mergeCells>
  <phoneticPr fontId="2" type="noConversion"/>
  <pageMargins left="0.75" right="0.75" top="1" bottom="1" header="0" footer="0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4:I32"/>
  <sheetViews>
    <sheetView tabSelected="1" workbookViewId="0">
      <selection activeCell="H26" sqref="H26"/>
    </sheetView>
  </sheetViews>
  <sheetFormatPr baseColWidth="10" defaultRowHeight="12.75"/>
  <cols>
    <col min="2" max="2" width="42.140625" customWidth="1"/>
    <col min="3" max="3" width="12.5703125" bestFit="1" customWidth="1"/>
  </cols>
  <sheetData>
    <row r="4" spans="1:9">
      <c r="B4" s="164" t="s">
        <v>78</v>
      </c>
      <c r="C4" s="164"/>
      <c r="D4" s="164"/>
      <c r="E4" s="164"/>
      <c r="F4" s="164"/>
      <c r="G4" s="164"/>
      <c r="H4" s="164"/>
    </row>
    <row r="7" spans="1:9">
      <c r="B7" s="177" t="s">
        <v>79</v>
      </c>
      <c r="C7" s="177" t="s">
        <v>225</v>
      </c>
      <c r="D7" s="177" t="s">
        <v>80</v>
      </c>
      <c r="E7" s="177" t="s">
        <v>81</v>
      </c>
      <c r="F7" s="177" t="s">
        <v>82</v>
      </c>
      <c r="G7" s="177" t="s">
        <v>83</v>
      </c>
      <c r="H7" s="177" t="s">
        <v>84</v>
      </c>
    </row>
    <row r="8" spans="1:9">
      <c r="B8" s="177"/>
      <c r="C8" s="177"/>
      <c r="D8" s="177"/>
      <c r="E8" s="177"/>
      <c r="F8" s="177"/>
      <c r="G8" s="177"/>
      <c r="H8" s="177"/>
    </row>
    <row r="9" spans="1:9">
      <c r="A9" s="113" t="s">
        <v>255</v>
      </c>
      <c r="B9" s="99" t="s">
        <v>177</v>
      </c>
      <c r="C9" s="21">
        <f>'Equipos Of. y PLanta'!F8</f>
        <v>20000</v>
      </c>
      <c r="D9" s="10">
        <v>5</v>
      </c>
      <c r="E9" s="25">
        <f>C9/D9</f>
        <v>4000</v>
      </c>
      <c r="F9" s="10">
        <v>5</v>
      </c>
      <c r="G9" s="25">
        <f>E9*F9</f>
        <v>20000</v>
      </c>
      <c r="H9" s="21">
        <f>0</f>
        <v>0</v>
      </c>
      <c r="I9" s="117">
        <f>E9</f>
        <v>4000</v>
      </c>
    </row>
    <row r="10" spans="1:9" ht="25.5">
      <c r="A10" s="178" t="s">
        <v>254</v>
      </c>
      <c r="B10" s="98" t="s">
        <v>50</v>
      </c>
      <c r="C10" s="115">
        <f>'Equipos Of. y PLanta'!F7</f>
        <v>2680</v>
      </c>
      <c r="D10" s="114">
        <v>3</v>
      </c>
      <c r="E10" s="116">
        <f>C10/D10</f>
        <v>893.33333333333337</v>
      </c>
      <c r="F10" s="10">
        <v>5</v>
      </c>
      <c r="G10" s="116">
        <f>E10*F10</f>
        <v>4466.666666666667</v>
      </c>
      <c r="H10" s="115">
        <f>0</f>
        <v>0</v>
      </c>
      <c r="I10" s="180">
        <f>SUM(E10:E16)</f>
        <v>1317.3333333333335</v>
      </c>
    </row>
    <row r="11" spans="1:9">
      <c r="A11" s="179"/>
      <c r="B11" s="98" t="s">
        <v>162</v>
      </c>
      <c r="C11" s="21">
        <f>'Equipos Of. y PLanta'!F9</f>
        <v>625</v>
      </c>
      <c r="D11" s="10">
        <v>10</v>
      </c>
      <c r="E11" s="25">
        <f t="shared" ref="E11:E22" si="0">C11/D11</f>
        <v>62.5</v>
      </c>
      <c r="F11" s="10">
        <v>5</v>
      </c>
      <c r="G11" s="25">
        <f t="shared" ref="G11:G22" si="1">E11*F11</f>
        <v>312.5</v>
      </c>
      <c r="H11" s="21">
        <f>C11-G11</f>
        <v>312.5</v>
      </c>
      <c r="I11" s="181"/>
    </row>
    <row r="12" spans="1:9">
      <c r="A12" s="179"/>
      <c r="B12" s="98" t="s">
        <v>51</v>
      </c>
      <c r="C12" s="21">
        <f>'Equipos Of. y PLanta'!F10</f>
        <v>275</v>
      </c>
      <c r="D12" s="10">
        <v>10</v>
      </c>
      <c r="E12" s="25">
        <f t="shared" si="0"/>
        <v>27.5</v>
      </c>
      <c r="F12" s="10">
        <v>5</v>
      </c>
      <c r="G12" s="25">
        <f t="shared" si="1"/>
        <v>137.5</v>
      </c>
      <c r="H12" s="21">
        <f t="shared" ref="H12:H22" si="2">C12-G12</f>
        <v>137.5</v>
      </c>
      <c r="I12" s="181"/>
    </row>
    <row r="13" spans="1:9">
      <c r="A13" s="179"/>
      <c r="B13" s="98" t="s">
        <v>115</v>
      </c>
      <c r="C13" s="21">
        <f>'Equipos Of. y PLanta'!F11</f>
        <v>300</v>
      </c>
      <c r="D13" s="10">
        <v>10</v>
      </c>
      <c r="E13" s="25">
        <f t="shared" si="0"/>
        <v>30</v>
      </c>
      <c r="F13" s="10">
        <v>5</v>
      </c>
      <c r="G13" s="25">
        <f t="shared" si="1"/>
        <v>150</v>
      </c>
      <c r="H13" s="21">
        <f t="shared" si="2"/>
        <v>150</v>
      </c>
      <c r="I13" s="181"/>
    </row>
    <row r="14" spans="1:9">
      <c r="A14" s="179"/>
      <c r="B14" s="98" t="s">
        <v>163</v>
      </c>
      <c r="C14" s="21">
        <f>'Equipos Of. y PLanta'!F12</f>
        <v>480</v>
      </c>
      <c r="D14" s="10">
        <v>10</v>
      </c>
      <c r="E14" s="25">
        <f t="shared" si="0"/>
        <v>48</v>
      </c>
      <c r="F14" s="10">
        <v>5</v>
      </c>
      <c r="G14" s="25">
        <f t="shared" si="1"/>
        <v>240</v>
      </c>
      <c r="H14" s="21">
        <f t="shared" si="2"/>
        <v>240</v>
      </c>
      <c r="I14" s="181"/>
    </row>
    <row r="15" spans="1:9">
      <c r="A15" s="179"/>
      <c r="B15" s="98" t="s">
        <v>52</v>
      </c>
      <c r="C15" s="21">
        <f>'Equipos Of. y PLanta'!F13</f>
        <v>60</v>
      </c>
      <c r="D15" s="10">
        <v>10</v>
      </c>
      <c r="E15" s="25">
        <f>C15/D15</f>
        <v>6</v>
      </c>
      <c r="F15" s="10">
        <v>5</v>
      </c>
      <c r="G15" s="25">
        <f t="shared" si="1"/>
        <v>30</v>
      </c>
      <c r="H15" s="21">
        <f t="shared" si="2"/>
        <v>30</v>
      </c>
      <c r="I15" s="181"/>
    </row>
    <row r="16" spans="1:9">
      <c r="A16" s="179"/>
      <c r="B16" s="98" t="s">
        <v>136</v>
      </c>
      <c r="C16" s="21">
        <f>'Equipos Of. y PLanta'!F14</f>
        <v>2500</v>
      </c>
      <c r="D16" s="10">
        <v>10</v>
      </c>
      <c r="E16" s="25">
        <f t="shared" si="0"/>
        <v>250</v>
      </c>
      <c r="F16" s="10">
        <v>5</v>
      </c>
      <c r="G16" s="25">
        <f t="shared" si="1"/>
        <v>1250</v>
      </c>
      <c r="H16" s="21">
        <f t="shared" si="2"/>
        <v>1250</v>
      </c>
      <c r="I16" s="181"/>
    </row>
    <row r="17" spans="1:9">
      <c r="A17" s="178" t="s">
        <v>253</v>
      </c>
      <c r="B17" s="92" t="s">
        <v>201</v>
      </c>
      <c r="C17" s="21">
        <f>'Equipos Of. y PLanta'!E51</f>
        <v>8000</v>
      </c>
      <c r="D17" s="10">
        <v>10</v>
      </c>
      <c r="E17" s="25">
        <f t="shared" si="0"/>
        <v>800</v>
      </c>
      <c r="F17" s="10">
        <v>5</v>
      </c>
      <c r="G17" s="25">
        <f t="shared" si="1"/>
        <v>4000</v>
      </c>
      <c r="H17" s="21">
        <f t="shared" si="2"/>
        <v>4000</v>
      </c>
      <c r="I17" s="180">
        <f>SUM(E17:E22)</f>
        <v>5960</v>
      </c>
    </row>
    <row r="18" spans="1:9">
      <c r="A18" s="179"/>
      <c r="B18" s="17" t="s">
        <v>200</v>
      </c>
      <c r="C18" s="21">
        <f>'Equipos Of. y PLanta'!E52</f>
        <v>5000</v>
      </c>
      <c r="D18" s="10">
        <v>10</v>
      </c>
      <c r="E18" s="25">
        <f t="shared" si="0"/>
        <v>500</v>
      </c>
      <c r="F18" s="10">
        <v>5</v>
      </c>
      <c r="G18" s="25">
        <f t="shared" si="1"/>
        <v>2500</v>
      </c>
      <c r="H18" s="21">
        <f t="shared" si="2"/>
        <v>2500</v>
      </c>
      <c r="I18" s="181"/>
    </row>
    <row r="19" spans="1:9">
      <c r="A19" s="179"/>
      <c r="B19" s="17" t="s">
        <v>186</v>
      </c>
      <c r="C19" s="21">
        <f>'Equipos Of. y PLanta'!E53</f>
        <v>22000</v>
      </c>
      <c r="D19" s="10">
        <v>10</v>
      </c>
      <c r="E19" s="25">
        <f t="shared" si="0"/>
        <v>2200</v>
      </c>
      <c r="F19" s="10">
        <v>5</v>
      </c>
      <c r="G19" s="25">
        <f t="shared" si="1"/>
        <v>11000</v>
      </c>
      <c r="H19" s="21">
        <f t="shared" si="2"/>
        <v>11000</v>
      </c>
      <c r="I19" s="181"/>
    </row>
    <row r="20" spans="1:9">
      <c r="A20" s="179"/>
      <c r="B20" s="17" t="s">
        <v>188</v>
      </c>
      <c r="C20" s="21">
        <f>'Equipos Of. y PLanta'!E54</f>
        <v>15000</v>
      </c>
      <c r="D20" s="10">
        <v>10</v>
      </c>
      <c r="E20" s="25">
        <f t="shared" si="0"/>
        <v>1500</v>
      </c>
      <c r="F20" s="10">
        <v>5</v>
      </c>
      <c r="G20" s="25">
        <f t="shared" si="1"/>
        <v>7500</v>
      </c>
      <c r="H20" s="21">
        <f t="shared" si="2"/>
        <v>7500</v>
      </c>
      <c r="I20" s="181"/>
    </row>
    <row r="21" spans="1:9">
      <c r="A21" s="179"/>
      <c r="B21" s="17" t="s">
        <v>189</v>
      </c>
      <c r="C21" s="21">
        <f>'Equipos Of. y PLanta'!E55</f>
        <v>6000</v>
      </c>
      <c r="D21" s="10">
        <v>10</v>
      </c>
      <c r="E21" s="25">
        <f t="shared" si="0"/>
        <v>600</v>
      </c>
      <c r="F21" s="10">
        <v>5</v>
      </c>
      <c r="G21" s="25">
        <f t="shared" si="1"/>
        <v>3000</v>
      </c>
      <c r="H21" s="21">
        <f t="shared" si="2"/>
        <v>3000</v>
      </c>
      <c r="I21" s="181"/>
    </row>
    <row r="22" spans="1:9">
      <c r="A22" s="179"/>
      <c r="B22" s="17" t="s">
        <v>190</v>
      </c>
      <c r="C22" s="21">
        <f>'Equipos Of. y PLanta'!E56</f>
        <v>3600</v>
      </c>
      <c r="D22" s="10">
        <v>10</v>
      </c>
      <c r="E22" s="25">
        <f t="shared" si="0"/>
        <v>360</v>
      </c>
      <c r="F22" s="10">
        <v>5</v>
      </c>
      <c r="G22" s="25">
        <f t="shared" si="1"/>
        <v>1800</v>
      </c>
      <c r="H22" s="21">
        <f t="shared" si="2"/>
        <v>1800</v>
      </c>
      <c r="I22" s="181"/>
    </row>
    <row r="23" spans="1:9">
      <c r="B23" s="1"/>
      <c r="C23" s="21"/>
      <c r="D23" s="10"/>
      <c r="E23" s="1"/>
      <c r="F23" s="10"/>
      <c r="G23" s="25"/>
      <c r="H23" s="25"/>
    </row>
    <row r="24" spans="1:9">
      <c r="B24" s="1"/>
      <c r="C24" s="182" t="s">
        <v>116</v>
      </c>
      <c r="D24" s="183"/>
      <c r="E24" s="96">
        <f>SUM(E9:E22)</f>
        <v>11277.333333333332</v>
      </c>
      <c r="F24" s="184" t="s">
        <v>117</v>
      </c>
      <c r="G24" s="185"/>
      <c r="H24" s="108">
        <f>SUM(H9:H22)</f>
        <v>31920</v>
      </c>
    </row>
    <row r="27" spans="1:9">
      <c r="B27" s="164" t="s">
        <v>226</v>
      </c>
      <c r="C27" s="164"/>
      <c r="D27" s="164"/>
      <c r="E27" s="164"/>
      <c r="F27" s="164"/>
      <c r="G27" s="164"/>
      <c r="H27" s="164"/>
    </row>
    <row r="28" spans="1:9">
      <c r="B28" s="54"/>
      <c r="C28" s="54"/>
      <c r="D28" s="54"/>
      <c r="E28" s="54"/>
      <c r="F28" s="54"/>
      <c r="G28" s="54"/>
      <c r="H28" s="54"/>
    </row>
    <row r="29" spans="1:9">
      <c r="B29" s="18" t="s">
        <v>113</v>
      </c>
      <c r="C29" s="18" t="s">
        <v>114</v>
      </c>
      <c r="D29" s="18" t="s">
        <v>55</v>
      </c>
      <c r="E29" s="18" t="s">
        <v>56</v>
      </c>
      <c r="F29" s="18" t="s">
        <v>57</v>
      </c>
      <c r="G29" s="18" t="s">
        <v>58</v>
      </c>
      <c r="H29" s="18" t="s">
        <v>59</v>
      </c>
    </row>
    <row r="30" spans="1:9">
      <c r="B30" s="17" t="s">
        <v>227</v>
      </c>
      <c r="C30" s="21">
        <v>1300</v>
      </c>
      <c r="D30" s="21">
        <f>$C$30/5</f>
        <v>260</v>
      </c>
      <c r="E30" s="21">
        <f>$C$30/5</f>
        <v>260</v>
      </c>
      <c r="F30" s="21">
        <f>$C$30/5</f>
        <v>260</v>
      </c>
      <c r="G30" s="21">
        <f>$C$30/5</f>
        <v>260</v>
      </c>
      <c r="H30" s="21">
        <f>$C$30/5</f>
        <v>260</v>
      </c>
    </row>
    <row r="31" spans="1:9">
      <c r="B31" s="1"/>
      <c r="C31" s="21"/>
      <c r="D31" s="21"/>
      <c r="E31" s="21"/>
      <c r="F31" s="21"/>
      <c r="G31" s="21"/>
      <c r="H31" s="21"/>
    </row>
    <row r="32" spans="1:9">
      <c r="B32" s="1" t="s">
        <v>0</v>
      </c>
      <c r="C32" s="21">
        <f t="shared" ref="C32:H32" si="3">SUM(C30:C31)</f>
        <v>1300</v>
      </c>
      <c r="D32" s="21">
        <f t="shared" si="3"/>
        <v>260</v>
      </c>
      <c r="E32" s="21">
        <f t="shared" si="3"/>
        <v>260</v>
      </c>
      <c r="F32" s="21">
        <f t="shared" si="3"/>
        <v>260</v>
      </c>
      <c r="G32" s="21">
        <f t="shared" si="3"/>
        <v>260</v>
      </c>
      <c r="H32" s="21">
        <f t="shared" si="3"/>
        <v>260</v>
      </c>
    </row>
  </sheetData>
  <mergeCells count="15">
    <mergeCell ref="A17:A22"/>
    <mergeCell ref="A10:A16"/>
    <mergeCell ref="I10:I16"/>
    <mergeCell ref="I17:I22"/>
    <mergeCell ref="C24:D24"/>
    <mergeCell ref="F24:G24"/>
    <mergeCell ref="B27:H27"/>
    <mergeCell ref="B4:H4"/>
    <mergeCell ref="F7:F8"/>
    <mergeCell ref="G7:G8"/>
    <mergeCell ref="H7:H8"/>
    <mergeCell ref="B7:B8"/>
    <mergeCell ref="C7:C8"/>
    <mergeCell ref="D7:D8"/>
    <mergeCell ref="E7:E8"/>
  </mergeCells>
  <phoneticPr fontId="2" type="noConversion"/>
  <pageMargins left="0.75" right="0.75" top="1" bottom="1" header="0" footer="0"/>
  <pageSetup paperSize="9" orientation="landscape" horizontalDpi="4294967293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M37"/>
  <sheetViews>
    <sheetView zoomScale="90" zoomScaleNormal="90" workbookViewId="0">
      <selection activeCell="D11" sqref="D11"/>
    </sheetView>
  </sheetViews>
  <sheetFormatPr baseColWidth="10" defaultRowHeight="12.75"/>
  <cols>
    <col min="2" max="2" width="24.85546875" customWidth="1"/>
    <col min="4" max="4" width="23.28515625" customWidth="1"/>
    <col min="8" max="9" width="13.5703125" customWidth="1"/>
    <col min="10" max="11" width="15.7109375" customWidth="1"/>
    <col min="12" max="12" width="13.5703125" customWidth="1"/>
  </cols>
  <sheetData>
    <row r="2" spans="2:12">
      <c r="G2" s="156" t="s">
        <v>119</v>
      </c>
      <c r="H2" s="156"/>
      <c r="I2" s="21">
        <f>+E8</f>
        <v>77949.247432955264</v>
      </c>
    </row>
    <row r="3" spans="2:12">
      <c r="G3" s="156" t="s">
        <v>120</v>
      </c>
      <c r="H3" s="156"/>
      <c r="I3" s="1">
        <v>10</v>
      </c>
    </row>
    <row r="7" spans="2:12">
      <c r="B7" s="1"/>
      <c r="C7" s="1"/>
      <c r="D7" s="1"/>
      <c r="E7" s="1"/>
    </row>
    <row r="8" spans="2:12">
      <c r="B8" s="20" t="s">
        <v>102</v>
      </c>
      <c r="C8" s="1"/>
      <c r="D8" s="1" t="s">
        <v>104</v>
      </c>
      <c r="E8" s="21">
        <f>I30</f>
        <v>77949.247432955264</v>
      </c>
      <c r="G8" s="188" t="s">
        <v>221</v>
      </c>
      <c r="H8" s="189"/>
      <c r="I8" s="35">
        <v>0.1</v>
      </c>
    </row>
    <row r="9" spans="2:12">
      <c r="B9" s="1" t="s">
        <v>103</v>
      </c>
      <c r="C9" s="97">
        <f>-D.A.M!G27</f>
        <v>51395.412388258774</v>
      </c>
      <c r="D9" s="1"/>
      <c r="E9" s="21"/>
    </row>
    <row r="10" spans="2:12">
      <c r="G10" s="164" t="s">
        <v>105</v>
      </c>
      <c r="H10" s="164"/>
      <c r="I10" s="164"/>
      <c r="J10" s="164"/>
      <c r="K10" s="164"/>
      <c r="L10" s="164"/>
    </row>
    <row r="12" spans="2:12">
      <c r="G12" s="18" t="s">
        <v>106</v>
      </c>
      <c r="H12" s="18" t="s">
        <v>107</v>
      </c>
      <c r="I12" s="18" t="s">
        <v>222</v>
      </c>
      <c r="J12" s="18" t="s">
        <v>223</v>
      </c>
      <c r="K12" s="18" t="s">
        <v>224</v>
      </c>
    </row>
    <row r="13" spans="2:12">
      <c r="G13" s="1">
        <v>0</v>
      </c>
      <c r="H13" s="21">
        <f>I2</f>
        <v>77949.247432955264</v>
      </c>
      <c r="I13" s="1"/>
      <c r="J13" s="1"/>
      <c r="K13" s="1"/>
    </row>
    <row r="14" spans="2:12">
      <c r="G14" s="1">
        <v>1</v>
      </c>
      <c r="H14" s="21">
        <f>H13-I14</f>
        <v>62359.39794636421</v>
      </c>
      <c r="I14" s="25">
        <f>$I$2/5</f>
        <v>15589.849486591052</v>
      </c>
      <c r="J14" s="21">
        <f>H13*10%</f>
        <v>7794.9247432955272</v>
      </c>
      <c r="K14" s="21">
        <f>I14+J14</f>
        <v>23384.774229886578</v>
      </c>
    </row>
    <row r="15" spans="2:12">
      <c r="G15" s="1">
        <v>2</v>
      </c>
      <c r="H15" s="21">
        <f>H14-I15</f>
        <v>46769.548459773156</v>
      </c>
      <c r="I15" s="25">
        <f>$I$2/5</f>
        <v>15589.849486591052</v>
      </c>
      <c r="J15" s="21">
        <f>H14*10%</f>
        <v>6235.9397946364215</v>
      </c>
      <c r="K15" s="21">
        <f>I15+J15</f>
        <v>21825.789281227473</v>
      </c>
    </row>
    <row r="16" spans="2:12">
      <c r="G16" s="1">
        <v>3</v>
      </c>
      <c r="H16" s="21">
        <f>H15-I16</f>
        <v>31179.698973182101</v>
      </c>
      <c r="I16" s="25">
        <f>$I$2/5</f>
        <v>15589.849486591052</v>
      </c>
      <c r="J16" s="21">
        <f>H15*10%</f>
        <v>4676.9548459773159</v>
      </c>
      <c r="K16" s="21">
        <f>I16+J16</f>
        <v>20266.804332568368</v>
      </c>
    </row>
    <row r="17" spans="7:13">
      <c r="G17" s="1">
        <v>4</v>
      </c>
      <c r="H17" s="21">
        <f>H16-I17</f>
        <v>15589.849486591049</v>
      </c>
      <c r="I17" s="25">
        <f>$I$2/5</f>
        <v>15589.849486591052</v>
      </c>
      <c r="J17" s="21">
        <f>H16*10%</f>
        <v>3117.9698973182103</v>
      </c>
      <c r="K17" s="21">
        <f>I17+J17</f>
        <v>18707.819383909264</v>
      </c>
    </row>
    <row r="18" spans="7:13">
      <c r="G18" s="1">
        <v>5</v>
      </c>
      <c r="H18" s="21">
        <f>H17-I18</f>
        <v>0</v>
      </c>
      <c r="I18" s="25">
        <f>$I$2/5</f>
        <v>15589.849486591052</v>
      </c>
      <c r="J18" s="21">
        <f>H17*10%</f>
        <v>1558.9849486591049</v>
      </c>
      <c r="K18" s="21">
        <f>I18+J18</f>
        <v>17148.834435250159</v>
      </c>
    </row>
    <row r="19" spans="7:13">
      <c r="G19" s="16"/>
      <c r="H19" s="33"/>
      <c r="I19" s="34"/>
      <c r="J19" s="33"/>
      <c r="K19" s="33"/>
      <c r="L19" s="33"/>
    </row>
    <row r="20" spans="7:13">
      <c r="G20" s="16"/>
      <c r="H20" s="33"/>
      <c r="I20" s="34"/>
      <c r="J20" s="33"/>
      <c r="K20" s="33"/>
      <c r="L20" s="33"/>
    </row>
    <row r="21" spans="7:13">
      <c r="G21" s="16"/>
      <c r="H21" s="33"/>
      <c r="I21" s="34"/>
      <c r="J21" s="33"/>
      <c r="K21" s="33"/>
      <c r="L21" s="33"/>
    </row>
    <row r="22" spans="7:13">
      <c r="G22" s="16"/>
      <c r="H22" s="33"/>
      <c r="I22" s="34"/>
      <c r="J22" s="33"/>
      <c r="K22" s="33"/>
      <c r="L22" s="33"/>
    </row>
    <row r="23" spans="7:13">
      <c r="G23" s="16"/>
      <c r="H23" s="33"/>
      <c r="I23" s="34"/>
      <c r="J23" s="33"/>
      <c r="K23" s="33"/>
      <c r="L23" s="33"/>
    </row>
    <row r="24" spans="7:13">
      <c r="G24" s="16"/>
      <c r="H24" s="33"/>
      <c r="I24" s="34"/>
      <c r="J24" s="33"/>
      <c r="K24" s="33"/>
      <c r="L24" s="33"/>
    </row>
    <row r="25" spans="7:13">
      <c r="G25" s="16"/>
      <c r="H25" s="33"/>
      <c r="I25" s="34"/>
      <c r="J25" s="33"/>
      <c r="K25" s="33"/>
      <c r="L25" s="33"/>
    </row>
    <row r="26" spans="7:13">
      <c r="G26" s="16"/>
      <c r="H26" s="33"/>
      <c r="I26" s="34"/>
      <c r="J26" s="33"/>
      <c r="K26" s="33"/>
      <c r="L26" s="33"/>
    </row>
    <row r="27" spans="7:13" ht="15">
      <c r="G27" s="36"/>
      <c r="H27" s="36"/>
      <c r="I27" s="51" t="s">
        <v>122</v>
      </c>
      <c r="J27" s="51" t="s">
        <v>123</v>
      </c>
      <c r="K27" s="33"/>
      <c r="L27" s="33"/>
    </row>
    <row r="28" spans="7:13" ht="15">
      <c r="G28" s="190" t="s">
        <v>124</v>
      </c>
      <c r="H28" s="191"/>
      <c r="I28" s="52">
        <f>'Equipos Of. y PLanta'!C64+C9</f>
        <v>129915.41238825877</v>
      </c>
      <c r="J28" s="53">
        <v>1</v>
      </c>
      <c r="K28" s="33"/>
      <c r="L28" s="33"/>
    </row>
    <row r="29" spans="7:13" ht="15">
      <c r="G29" s="190" t="s">
        <v>125</v>
      </c>
      <c r="H29" s="191"/>
      <c r="I29" s="52">
        <f>I28*40%</f>
        <v>51966.164955303509</v>
      </c>
      <c r="J29" s="53">
        <v>0.4</v>
      </c>
      <c r="K29" s="33"/>
      <c r="L29" s="33"/>
    </row>
    <row r="30" spans="7:13" ht="15">
      <c r="G30" s="186" t="s">
        <v>104</v>
      </c>
      <c r="H30" s="187"/>
      <c r="I30" s="52">
        <f>I28*J30</f>
        <v>77949.247432955264</v>
      </c>
      <c r="J30" s="53">
        <v>0.6</v>
      </c>
      <c r="K30" s="33"/>
      <c r="L30" s="33"/>
    </row>
    <row r="31" spans="7:13">
      <c r="G31" s="16"/>
      <c r="H31" s="33"/>
      <c r="I31" s="34"/>
      <c r="J31" s="33"/>
      <c r="K31" s="33"/>
      <c r="L31" s="33"/>
    </row>
    <row r="32" spans="7:13">
      <c r="G32" s="16"/>
      <c r="H32" s="33"/>
      <c r="I32" s="34"/>
      <c r="J32" s="33"/>
      <c r="K32" s="33"/>
      <c r="L32" s="33"/>
      <c r="M32" s="33"/>
    </row>
    <row r="33" spans="7:13">
      <c r="G33" s="16"/>
      <c r="H33" s="33"/>
      <c r="I33" s="34"/>
      <c r="J33" s="33"/>
      <c r="K33" s="33"/>
      <c r="L33" s="33"/>
      <c r="M33" s="33"/>
    </row>
    <row r="34" spans="7:13">
      <c r="G34" s="16"/>
      <c r="H34" s="33"/>
      <c r="I34" s="34"/>
      <c r="J34" s="33"/>
      <c r="K34" s="33"/>
      <c r="L34" s="33"/>
      <c r="M34" s="33"/>
    </row>
    <row r="35" spans="7:13">
      <c r="G35" s="16"/>
      <c r="H35" s="33"/>
      <c r="I35" s="34"/>
      <c r="J35" s="33"/>
      <c r="K35" s="33"/>
      <c r="L35" s="33"/>
      <c r="M35" s="33"/>
    </row>
    <row r="36" spans="7:13">
      <c r="G36" s="16"/>
      <c r="H36" s="33"/>
      <c r="I36" s="34"/>
      <c r="J36" s="33"/>
      <c r="K36" s="33"/>
      <c r="L36" s="33"/>
    </row>
    <row r="37" spans="7:13">
      <c r="G37" s="16"/>
      <c r="H37" s="33"/>
      <c r="I37" s="16"/>
      <c r="J37" s="16"/>
      <c r="K37" s="16"/>
      <c r="L37" s="16"/>
    </row>
  </sheetData>
  <mergeCells count="7">
    <mergeCell ref="G30:H30"/>
    <mergeCell ref="G10:L10"/>
    <mergeCell ref="G2:H2"/>
    <mergeCell ref="G3:H3"/>
    <mergeCell ref="G8:H8"/>
    <mergeCell ref="G28:H28"/>
    <mergeCell ref="G29:H29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Poblacion</vt:lpstr>
      <vt:lpstr>Estructura Adm.</vt:lpstr>
      <vt:lpstr>Equipos Of. y PLanta</vt:lpstr>
      <vt:lpstr>Ingresos</vt:lpstr>
      <vt:lpstr>Costos</vt:lpstr>
      <vt:lpstr>Gastos</vt:lpstr>
      <vt:lpstr>D.A.M</vt:lpstr>
      <vt:lpstr>V.S</vt:lpstr>
      <vt:lpstr>Amortizacion</vt:lpstr>
      <vt:lpstr>Flujo Proyect</vt:lpstr>
      <vt:lpstr>A. Sensib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Bravo Zuniga</dc:creator>
  <cp:lastModifiedBy>silgivar</cp:lastModifiedBy>
  <cp:lastPrinted>2003-11-28T18:03:43Z</cp:lastPrinted>
  <dcterms:created xsi:type="dcterms:W3CDTF">2003-12-08T14:52:48Z</dcterms:created>
  <dcterms:modified xsi:type="dcterms:W3CDTF">2010-06-09T15:50:25Z</dcterms:modified>
</cp:coreProperties>
</file>