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9915" tabRatio="942" firstSheet="3" activeTab="9"/>
  </bookViews>
  <sheets>
    <sheet name="Gastos" sheetId="7" r:id="rId1"/>
    <sheet name="Equipo de ofic y planta" sheetId="5" r:id="rId2"/>
    <sheet name="Costos" sheetId="4" r:id="rId3"/>
    <sheet name="Estructura y Abministracion" sheetId="1" r:id="rId4"/>
    <sheet name="Activos" sheetId="2" r:id="rId5"/>
    <sheet name="Poblacion" sheetId="3" r:id="rId6"/>
    <sheet name="Ingreso" sheetId="8" r:id="rId7"/>
    <sheet name="Calculo de la Demanda" sheetId="9" r:id="rId8"/>
    <sheet name="def. acum . max" sheetId="10" r:id="rId9"/>
    <sheet name="Flujo Caja de pro" sheetId="12" r:id="rId10"/>
    <sheet name="Flujo caja accc" sheetId="11" r:id="rId11"/>
    <sheet name="Est. Sit. In" sheetId="13" r:id="rId12"/>
    <sheet name="V. salvamento" sheetId="14" r:id="rId13"/>
    <sheet name="tmar" sheetId="15" r:id="rId14"/>
    <sheet name="pay back" sheetId="19" r:id="rId15"/>
    <sheet name="ana sensi" sheetId="18" r:id="rId16"/>
    <sheet name="esta perdi y ganan" sheetId="17" r:id="rId17"/>
    <sheet name="P.EQUILIBRIO" sheetId="16" r:id="rId18"/>
  </sheets>
  <calcPr calcId="125725"/>
</workbook>
</file>

<file path=xl/calcChain.xml><?xml version="1.0" encoding="utf-8"?>
<calcChain xmlns="http://schemas.openxmlformats.org/spreadsheetml/2006/main">
  <c r="G44" i="7"/>
  <c r="E52" i="5"/>
  <c r="F15" i="4"/>
  <c r="G15" s="1"/>
  <c r="F16"/>
  <c r="G16" s="1"/>
  <c r="F17"/>
  <c r="G17" s="1"/>
  <c r="F35" i="5"/>
  <c r="F36"/>
  <c r="F37"/>
  <c r="F38"/>
  <c r="F39"/>
  <c r="F40"/>
  <c r="F41"/>
  <c r="F42"/>
  <c r="E37" i="4" s="1"/>
  <c r="F37" s="1"/>
  <c r="G37" s="1"/>
  <c r="G38" s="1"/>
  <c r="F24" i="7"/>
  <c r="H24" s="1"/>
  <c r="I24" s="1"/>
  <c r="K24" s="1"/>
  <c r="F25"/>
  <c r="H25" s="1"/>
  <c r="I25" s="1"/>
  <c r="K25" s="1"/>
  <c r="F26"/>
  <c r="H26" s="1"/>
  <c r="I26" s="1"/>
  <c r="K26" s="1"/>
  <c r="F27"/>
  <c r="H27" s="1"/>
  <c r="I27" s="1"/>
  <c r="K27" s="1"/>
  <c r="F28"/>
  <c r="H28" s="1"/>
  <c r="I28" s="1"/>
  <c r="K28" s="1"/>
  <c r="F29"/>
  <c r="H29" s="1"/>
  <c r="I29" s="1"/>
  <c r="K29" s="1"/>
  <c r="F30"/>
  <c r="H30" s="1"/>
  <c r="I30" s="1"/>
  <c r="K30" s="1"/>
  <c r="F31"/>
  <c r="H31" s="1"/>
  <c r="I31" s="1"/>
  <c r="K31" s="1"/>
  <c r="F32"/>
  <c r="H32" s="1"/>
  <c r="I32" s="1"/>
  <c r="K32" s="1"/>
  <c r="F33"/>
  <c r="H33" s="1"/>
  <c r="I33" s="1"/>
  <c r="K33" s="1"/>
  <c r="F35"/>
  <c r="H35" s="1"/>
  <c r="I35" s="1"/>
  <c r="K35" s="1"/>
  <c r="H34"/>
  <c r="I34" s="1"/>
  <c r="K34" s="1"/>
  <c r="F7"/>
  <c r="H7" s="1"/>
  <c r="F6"/>
  <c r="H6" s="1"/>
  <c r="F8"/>
  <c r="H8" s="1"/>
  <c r="F9"/>
  <c r="H9" s="1"/>
  <c r="F10"/>
  <c r="H10" s="1"/>
  <c r="F11"/>
  <c r="H11" s="1"/>
  <c r="F12"/>
  <c r="H12" s="1"/>
  <c r="H44"/>
  <c r="I44"/>
  <c r="E5" i="8"/>
  <c r="E6" s="1"/>
  <c r="E7" s="1"/>
  <c r="E8" s="1"/>
  <c r="E9" s="1"/>
  <c r="E10" s="1"/>
  <c r="K6" i="16"/>
  <c r="F42" i="3"/>
  <c r="E26"/>
  <c r="E27" s="1"/>
  <c r="E28" s="1"/>
  <c r="E29" s="1"/>
  <c r="G7" s="1"/>
  <c r="H7" s="1"/>
  <c r="E30" s="1"/>
  <c r="E31" s="1"/>
  <c r="E48" i="5"/>
  <c r="D9" i="14"/>
  <c r="F9" s="1"/>
  <c r="E47" i="5"/>
  <c r="D8" i="14" s="1"/>
  <c r="F8" s="1"/>
  <c r="F63" i="5"/>
  <c r="D6" i="14"/>
  <c r="F6" s="1"/>
  <c r="F64" i="5"/>
  <c r="D7" i="14" s="1"/>
  <c r="F7" s="1"/>
  <c r="E49" i="5"/>
  <c r="D10" i="14"/>
  <c r="F10" s="1"/>
  <c r="E50" i="5"/>
  <c r="D11" i="14" s="1"/>
  <c r="F11" s="1"/>
  <c r="E51" i="5"/>
  <c r="D12" i="14"/>
  <c r="F12" s="1"/>
  <c r="D13"/>
  <c r="F13" s="1"/>
  <c r="E53" i="5"/>
  <c r="D14" i="14" s="1"/>
  <c r="F14" s="1"/>
  <c r="E54" i="5"/>
  <c r="D15" i="14"/>
  <c r="F15" s="1"/>
  <c r="E55" i="5"/>
  <c r="D16" i="14" s="1"/>
  <c r="F16" s="1"/>
  <c r="E56" i="5"/>
  <c r="D17" i="14"/>
  <c r="F17" s="1"/>
  <c r="E57" i="5"/>
  <c r="D18" i="14" s="1"/>
  <c r="F18" s="1"/>
  <c r="E58" i="5"/>
  <c r="D19" i="14"/>
  <c r="F19" s="1"/>
  <c r="F5" i="5"/>
  <c r="D20" i="14" s="1"/>
  <c r="F20" s="1"/>
  <c r="F9" i="5"/>
  <c r="D21" i="14"/>
  <c r="F21" s="1"/>
  <c r="F10" i="5"/>
  <c r="D22" i="14" s="1"/>
  <c r="F22" s="1"/>
  <c r="F11" i="5"/>
  <c r="D23" i="14"/>
  <c r="F23" s="1"/>
  <c r="F15" i="5"/>
  <c r="D24" i="14" s="1"/>
  <c r="F24" s="1"/>
  <c r="D3" i="10"/>
  <c r="E7" i="7"/>
  <c r="G7" s="1"/>
  <c r="E6"/>
  <c r="G6" s="1"/>
  <c r="E8"/>
  <c r="G8" s="1"/>
  <c r="E9"/>
  <c r="G9" s="1"/>
  <c r="E10"/>
  <c r="G10" s="1"/>
  <c r="E11"/>
  <c r="G11" s="1"/>
  <c r="E12"/>
  <c r="G12" s="1"/>
  <c r="E3" i="10"/>
  <c r="F3"/>
  <c r="D9" i="2"/>
  <c r="C9"/>
  <c r="E9"/>
  <c r="D8"/>
  <c r="C8"/>
  <c r="E8" s="1"/>
  <c r="D6"/>
  <c r="C6"/>
  <c r="E6" s="1"/>
  <c r="D7"/>
  <c r="C7"/>
  <c r="E7" s="1"/>
  <c r="D10"/>
  <c r="C10"/>
  <c r="E10" s="1"/>
  <c r="D11"/>
  <c r="C11"/>
  <c r="E11" s="1"/>
  <c r="D13"/>
  <c r="C13"/>
  <c r="E13" s="1"/>
  <c r="D14"/>
  <c r="C14"/>
  <c r="E14" s="1"/>
  <c r="D15"/>
  <c r="C15"/>
  <c r="E15" s="1"/>
  <c r="D16"/>
  <c r="C16"/>
  <c r="E16" s="1"/>
  <c r="D17"/>
  <c r="C17"/>
  <c r="E17"/>
  <c r="D18"/>
  <c r="C18"/>
  <c r="E18" s="1"/>
  <c r="D19"/>
  <c r="C19"/>
  <c r="E19" s="1"/>
  <c r="D20"/>
  <c r="C20"/>
  <c r="D25"/>
  <c r="C25"/>
  <c r="E25" s="1"/>
  <c r="D26"/>
  <c r="C26"/>
  <c r="E26" s="1"/>
  <c r="D27"/>
  <c r="C27"/>
  <c r="E27" s="1"/>
  <c r="D28"/>
  <c r="C28"/>
  <c r="E28" s="1"/>
  <c r="D29"/>
  <c r="C29"/>
  <c r="D30"/>
  <c r="C30"/>
  <c r="E30"/>
  <c r="D31"/>
  <c r="C31"/>
  <c r="E31" s="1"/>
  <c r="D32"/>
  <c r="C32"/>
  <c r="E32" s="1"/>
  <c r="D33"/>
  <c r="C33"/>
  <c r="E33" s="1"/>
  <c r="D34"/>
  <c r="C34"/>
  <c r="E34" s="1"/>
  <c r="D35"/>
  <c r="C35"/>
  <c r="E35" s="1"/>
  <c r="D36"/>
  <c r="C36"/>
  <c r="E36" s="1"/>
  <c r="D42"/>
  <c r="C42"/>
  <c r="E42"/>
  <c r="D43"/>
  <c r="C43"/>
  <c r="E43" s="1"/>
  <c r="D44"/>
  <c r="C44"/>
  <c r="E44" s="1"/>
  <c r="D45"/>
  <c r="C45"/>
  <c r="E45" s="1"/>
  <c r="D46"/>
  <c r="C46"/>
  <c r="E46"/>
  <c r="D47"/>
  <c r="C47"/>
  <c r="D48"/>
  <c r="C48"/>
  <c r="E48"/>
  <c r="D49"/>
  <c r="C49"/>
  <c r="D50"/>
  <c r="C50"/>
  <c r="E50"/>
  <c r="E27" i="5"/>
  <c r="D51" i="2"/>
  <c r="E51" s="1"/>
  <c r="E28" i="5"/>
  <c r="D52" i="2" s="1"/>
  <c r="C52"/>
  <c r="H43" i="7"/>
  <c r="F7" i="4"/>
  <c r="G7"/>
  <c r="H45" i="7"/>
  <c r="I45" s="1"/>
  <c r="I43"/>
  <c r="H9" i="14"/>
  <c r="I9" s="1"/>
  <c r="H8"/>
  <c r="I8" s="1"/>
  <c r="H6"/>
  <c r="I6" s="1"/>
  <c r="H7"/>
  <c r="I7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I20"/>
  <c r="H21"/>
  <c r="I21"/>
  <c r="H22"/>
  <c r="I22"/>
  <c r="H23"/>
  <c r="I23"/>
  <c r="H24"/>
  <c r="I24"/>
  <c r="H42" i="7"/>
  <c r="H46" s="1"/>
  <c r="D18" i="10" s="1"/>
  <c r="E18" s="1"/>
  <c r="F18" s="1"/>
  <c r="G18" s="1"/>
  <c r="H18" s="1"/>
  <c r="I18" s="1"/>
  <c r="J18" s="1"/>
  <c r="K18" s="1"/>
  <c r="L18" s="1"/>
  <c r="M18" s="1"/>
  <c r="N18" s="1"/>
  <c r="O18" s="1"/>
  <c r="D22" i="15"/>
  <c r="I42" i="7"/>
  <c r="D64" i="4"/>
  <c r="F31"/>
  <c r="G31" s="1"/>
  <c r="E12" i="2"/>
  <c r="F14" i="4"/>
  <c r="F18"/>
  <c r="F19"/>
  <c r="F20"/>
  <c r="F21"/>
  <c r="F8"/>
  <c r="F9" s="1"/>
  <c r="D15" i="10" s="1"/>
  <c r="E15" s="1"/>
  <c r="F15" s="1"/>
  <c r="G15" s="1"/>
  <c r="H15" s="1"/>
  <c r="I15" s="1"/>
  <c r="J15" s="1"/>
  <c r="K15" s="1"/>
  <c r="L15" s="1"/>
  <c r="M15" s="1"/>
  <c r="N15" s="1"/>
  <c r="O15" s="1"/>
  <c r="D27" i="15"/>
  <c r="D24"/>
  <c r="F18"/>
  <c r="F19"/>
  <c r="G19" s="1"/>
  <c r="D19" s="1"/>
  <c r="D26" s="1"/>
  <c r="G20"/>
  <c r="G7"/>
  <c r="D10"/>
  <c r="G10" s="1"/>
  <c r="D16" s="1"/>
  <c r="E10"/>
  <c r="F10"/>
  <c r="H20" i="14"/>
  <c r="E32" i="3"/>
  <c r="C31" i="10" s="1"/>
  <c r="E43"/>
  <c r="F33" s="1"/>
  <c r="E8" i="9"/>
  <c r="D21" i="2"/>
  <c r="I7" i="3"/>
  <c r="J7"/>
  <c r="F5" i="7"/>
  <c r="H23"/>
  <c r="I23" s="1"/>
  <c r="F15"/>
  <c r="F16"/>
  <c r="I19" i="3"/>
  <c r="P11"/>
  <c r="Q6" s="1"/>
  <c r="O23"/>
  <c r="P22"/>
  <c r="P21"/>
  <c r="P20"/>
  <c r="P19"/>
  <c r="P18"/>
  <c r="P23" s="1"/>
  <c r="D101" i="2"/>
  <c r="D108" s="1"/>
  <c r="E91"/>
  <c r="E93" s="1"/>
  <c r="D91"/>
  <c r="D37"/>
  <c r="I45" i="4"/>
  <c r="J45" s="1"/>
  <c r="I44"/>
  <c r="I46" s="1"/>
  <c r="F38"/>
  <c r="G21"/>
  <c r="G20"/>
  <c r="G19"/>
  <c r="G18"/>
  <c r="L25" i="7"/>
  <c r="M25" s="1"/>
  <c r="L28"/>
  <c r="M28" s="1"/>
  <c r="L29"/>
  <c r="M29" s="1"/>
  <c r="L31"/>
  <c r="M31" s="1"/>
  <c r="L33"/>
  <c r="M33" s="1"/>
  <c r="L35"/>
  <c r="M35" s="1"/>
  <c r="G16"/>
  <c r="H16" s="1"/>
  <c r="D26" i="1"/>
  <c r="D62" i="4" s="1"/>
  <c r="D63" s="1"/>
  <c r="E65" i="5"/>
  <c r="F65"/>
  <c r="D59"/>
  <c r="E59"/>
  <c r="E42"/>
  <c r="F6"/>
  <c r="F7"/>
  <c r="F8"/>
  <c r="F12"/>
  <c r="F13"/>
  <c r="F14"/>
  <c r="F16"/>
  <c r="F17"/>
  <c r="F18"/>
  <c r="F19"/>
  <c r="F20"/>
  <c r="F21"/>
  <c r="F22"/>
  <c r="F23"/>
  <c r="F24"/>
  <c r="F25"/>
  <c r="F26"/>
  <c r="F27"/>
  <c r="F28"/>
  <c r="F9" i="1"/>
  <c r="G9"/>
  <c r="F8"/>
  <c r="G8"/>
  <c r="F7"/>
  <c r="G7"/>
  <c r="F6"/>
  <c r="G6"/>
  <c r="F10"/>
  <c r="G10"/>
  <c r="F11"/>
  <c r="G11"/>
  <c r="F12"/>
  <c r="G12"/>
  <c r="F13"/>
  <c r="G13"/>
  <c r="D14"/>
  <c r="G15" i="7"/>
  <c r="H15" s="1"/>
  <c r="F29" i="5"/>
  <c r="E29"/>
  <c r="F14" i="1"/>
  <c r="G14" s="1"/>
  <c r="E14"/>
  <c r="L32" i="7"/>
  <c r="M32"/>
  <c r="L26"/>
  <c r="M26"/>
  <c r="L27"/>
  <c r="M27"/>
  <c r="L30"/>
  <c r="M30"/>
  <c r="L24"/>
  <c r="M24"/>
  <c r="L34"/>
  <c r="M34"/>
  <c r="D53" i="2"/>
  <c r="G14" i="4"/>
  <c r="G22" s="1"/>
  <c r="E52" i="2" l="1"/>
  <c r="E49"/>
  <c r="E29"/>
  <c r="E20"/>
  <c r="D65" i="4"/>
  <c r="D66" s="1"/>
  <c r="E47" i="2"/>
  <c r="D32" i="14"/>
  <c r="C15" i="13"/>
  <c r="C14"/>
  <c r="D31" i="14"/>
  <c r="L23" i="7"/>
  <c r="M23" s="1"/>
  <c r="M36" s="1"/>
  <c r="K23"/>
  <c r="K36" s="1"/>
  <c r="F14" s="1"/>
  <c r="D28" i="15"/>
  <c r="D30" i="11" s="1"/>
  <c r="I25" i="14"/>
  <c r="Q4" i="3"/>
  <c r="Q9"/>
  <c r="Q7"/>
  <c r="Q5"/>
  <c r="F42" i="10"/>
  <c r="F40"/>
  <c r="F38"/>
  <c r="F36"/>
  <c r="F34"/>
  <c r="F32"/>
  <c r="J44" i="4"/>
  <c r="J46" s="1"/>
  <c r="G8"/>
  <c r="G9" s="1"/>
  <c r="Q11" i="3"/>
  <c r="Q10"/>
  <c r="Q8"/>
  <c r="E9" i="9"/>
  <c r="F14" s="1"/>
  <c r="G14" s="1"/>
  <c r="H14" s="1"/>
  <c r="I14" s="1"/>
  <c r="J14" s="1"/>
  <c r="F31" i="10"/>
  <c r="F41"/>
  <c r="F39"/>
  <c r="F37"/>
  <c r="F35"/>
  <c r="F22" i="4"/>
  <c r="D14" i="10" s="1"/>
  <c r="I46" i="7"/>
  <c r="E37" i="2"/>
  <c r="C60" s="1"/>
  <c r="C11" i="13" s="1"/>
  <c r="G5" i="7"/>
  <c r="F25" i="14"/>
  <c r="H5" i="7"/>
  <c r="F69" i="4"/>
  <c r="D69"/>
  <c r="G69"/>
  <c r="H69"/>
  <c r="D28"/>
  <c r="D5" i="8"/>
  <c r="D4" i="10"/>
  <c r="D29" i="4"/>
  <c r="F29" s="1"/>
  <c r="G29" s="1"/>
  <c r="E69"/>
  <c r="E53" i="2"/>
  <c r="C61" s="1"/>
  <c r="C12" i="13" s="1"/>
  <c r="E21" i="2"/>
  <c r="C59" s="1"/>
  <c r="G3" i="10"/>
  <c r="H3" l="1"/>
  <c r="F9" i="12"/>
  <c r="F9" i="11"/>
  <c r="F8" i="17" s="1"/>
  <c r="F28" i="4"/>
  <c r="D30"/>
  <c r="F30" s="1"/>
  <c r="G30" s="1"/>
  <c r="H9" i="11"/>
  <c r="H8" i="17" s="1"/>
  <c r="H9" i="12"/>
  <c r="G9" i="11"/>
  <c r="G8" i="17" s="1"/>
  <c r="G9" i="12"/>
  <c r="D6" i="8"/>
  <c r="F5"/>
  <c r="I9" i="11"/>
  <c r="I8" i="17" s="1"/>
  <c r="I9" i="12"/>
  <c r="E9" i="11"/>
  <c r="E9" i="12"/>
  <c r="I69" i="4"/>
  <c r="E12" i="11"/>
  <c r="E12" i="12"/>
  <c r="F12" s="1"/>
  <c r="G12" s="1"/>
  <c r="H12" s="1"/>
  <c r="I12" s="1"/>
  <c r="G14" i="7"/>
  <c r="F13"/>
  <c r="F17" s="1"/>
  <c r="E31" i="14"/>
  <c r="G31"/>
  <c r="H31"/>
  <c r="I31"/>
  <c r="F31"/>
  <c r="D33"/>
  <c r="C10" i="13"/>
  <c r="C9" s="1"/>
  <c r="C62" i="2"/>
  <c r="D5" i="10"/>
  <c r="E4"/>
  <c r="E15" i="11"/>
  <c r="E15" i="12"/>
  <c r="F15" s="1"/>
  <c r="G15" s="1"/>
  <c r="H15" s="1"/>
  <c r="I15" s="1"/>
  <c r="E14" i="10"/>
  <c r="I26" i="11"/>
  <c r="I22" i="12"/>
  <c r="E32" i="14"/>
  <c r="G32"/>
  <c r="H32"/>
  <c r="I32"/>
  <c r="F32"/>
  <c r="C13" i="13"/>
  <c r="E5" i="10" l="1"/>
  <c r="F4"/>
  <c r="F8" i="16"/>
  <c r="E8" i="17"/>
  <c r="F6" i="8"/>
  <c r="D7"/>
  <c r="G28" i="4"/>
  <c r="G32" s="1"/>
  <c r="F32"/>
  <c r="D16" i="10" s="1"/>
  <c r="I33" i="14"/>
  <c r="G33"/>
  <c r="F14" i="10"/>
  <c r="C18" i="13"/>
  <c r="F15" i="11"/>
  <c r="E13" i="17"/>
  <c r="D23" i="10"/>
  <c r="D12"/>
  <c r="G13" i="7"/>
  <c r="H14"/>
  <c r="F12" i="11"/>
  <c r="F11" i="16"/>
  <c r="E14" i="17"/>
  <c r="I3" i="10"/>
  <c r="F33" i="14"/>
  <c r="H33"/>
  <c r="E33"/>
  <c r="E14" i="11" l="1"/>
  <c r="E14" i="12"/>
  <c r="E20" s="1"/>
  <c r="H14" i="11"/>
  <c r="H14" i="12"/>
  <c r="H20" s="1"/>
  <c r="J3" i="10"/>
  <c r="G12" i="11"/>
  <c r="F14" i="17"/>
  <c r="H13" i="7"/>
  <c r="H17" s="1"/>
  <c r="G17"/>
  <c r="D17" i="10" s="1"/>
  <c r="E17" s="1"/>
  <c r="F17" s="1"/>
  <c r="G17" s="1"/>
  <c r="H17" s="1"/>
  <c r="I17" s="1"/>
  <c r="J17" s="1"/>
  <c r="K17" s="1"/>
  <c r="L17" s="1"/>
  <c r="M17" s="1"/>
  <c r="N17" s="1"/>
  <c r="O17" s="1"/>
  <c r="G15" i="11"/>
  <c r="F13" i="17"/>
  <c r="G14" i="10"/>
  <c r="I14" i="11"/>
  <c r="I14" i="12"/>
  <c r="I20" s="1"/>
  <c r="E8"/>
  <c r="E8" i="11"/>
  <c r="E6"/>
  <c r="E6" i="12"/>
  <c r="E23" i="10"/>
  <c r="E12"/>
  <c r="F14" i="11"/>
  <c r="F14" i="12"/>
  <c r="F20" s="1"/>
  <c r="D25" i="11"/>
  <c r="D21" i="12"/>
  <c r="G14" i="11"/>
  <c r="G14" i="12"/>
  <c r="G20" s="1"/>
  <c r="E16" i="10"/>
  <c r="D19"/>
  <c r="D24" s="1"/>
  <c r="D25" s="1"/>
  <c r="D26" s="1"/>
  <c r="D8" i="8"/>
  <c r="F7"/>
  <c r="G4" i="10"/>
  <c r="F5"/>
  <c r="E6" i="17" l="1"/>
  <c r="E10" i="12"/>
  <c r="F8"/>
  <c r="I12" i="17"/>
  <c r="G13"/>
  <c r="H15" i="11"/>
  <c r="E11"/>
  <c r="E11" i="12"/>
  <c r="F11" s="1"/>
  <c r="G11" s="1"/>
  <c r="H11" s="1"/>
  <c r="I11" s="1"/>
  <c r="G14" i="17"/>
  <c r="H12" i="11"/>
  <c r="H12" i="17"/>
  <c r="H22" i="11"/>
  <c r="E22"/>
  <c r="E12" i="17"/>
  <c r="F23" i="10"/>
  <c r="F12"/>
  <c r="F6" i="12"/>
  <c r="F6" i="11"/>
  <c r="H4" i="10"/>
  <c r="G5"/>
  <c r="F8" i="8"/>
  <c r="D9"/>
  <c r="F16" i="10"/>
  <c r="E19"/>
  <c r="E24" s="1"/>
  <c r="E25" s="1"/>
  <c r="E26" s="1"/>
  <c r="G12" i="17"/>
  <c r="G22" i="11"/>
  <c r="F12" i="17"/>
  <c r="F22" i="11"/>
  <c r="F7" i="16"/>
  <c r="F6" s="1"/>
  <c r="K5" s="1"/>
  <c r="E10" i="11"/>
  <c r="E7" s="1"/>
  <c r="E13" s="1"/>
  <c r="E16" s="1"/>
  <c r="F8"/>
  <c r="E7" i="17"/>
  <c r="H14" i="10"/>
  <c r="K3"/>
  <c r="L3" l="1"/>
  <c r="F9" i="8"/>
  <c r="D10"/>
  <c r="F10" s="1"/>
  <c r="G23" i="10"/>
  <c r="G12"/>
  <c r="F6" i="17"/>
  <c r="H14"/>
  <c r="I12" i="11"/>
  <c r="I14" i="17" s="1"/>
  <c r="H13"/>
  <c r="I15" i="11"/>
  <c r="F10" i="12"/>
  <c r="F7" s="1"/>
  <c r="G8"/>
  <c r="E9" i="17"/>
  <c r="I14" i="10"/>
  <c r="G8" i="11"/>
  <c r="F10"/>
  <c r="F7" i="17"/>
  <c r="F5" i="16"/>
  <c r="F12" s="1"/>
  <c r="K7"/>
  <c r="G16" i="10"/>
  <c r="F19"/>
  <c r="F24" s="1"/>
  <c r="G6" i="11"/>
  <c r="G6" i="12"/>
  <c r="I4" i="10"/>
  <c r="H5"/>
  <c r="F10" i="16"/>
  <c r="F9" s="1"/>
  <c r="F11" i="11"/>
  <c r="E11" i="17"/>
  <c r="E10" s="1"/>
  <c r="F13" i="12"/>
  <c r="F16" s="1"/>
  <c r="F25" i="10"/>
  <c r="F26" s="1"/>
  <c r="E7" i="12"/>
  <c r="E13" s="1"/>
  <c r="E16" s="1"/>
  <c r="E19" s="1"/>
  <c r="E25" s="1"/>
  <c r="J4" i="10" l="1"/>
  <c r="I5"/>
  <c r="G6" i="17"/>
  <c r="H16" i="10"/>
  <c r="G19"/>
  <c r="G24" s="1"/>
  <c r="G25" s="1"/>
  <c r="G26" s="1"/>
  <c r="J14"/>
  <c r="H6" i="11"/>
  <c r="H6" i="12"/>
  <c r="F7" i="11"/>
  <c r="F13" s="1"/>
  <c r="F16" s="1"/>
  <c r="E15" i="17"/>
  <c r="F9"/>
  <c r="F18" i="12"/>
  <c r="F17"/>
  <c r="G11" i="11"/>
  <c r="F11" i="17"/>
  <c r="F10" s="1"/>
  <c r="H23" i="10"/>
  <c r="H12"/>
  <c r="G7" i="17"/>
  <c r="H8" i="11"/>
  <c r="G10"/>
  <c r="G7" s="1"/>
  <c r="G13" s="1"/>
  <c r="G16" s="1"/>
  <c r="G10" i="12"/>
  <c r="G7" s="1"/>
  <c r="H8"/>
  <c r="I13" i="17"/>
  <c r="I22" i="11"/>
  <c r="I6"/>
  <c r="I6" i="12"/>
  <c r="M3" i="10"/>
  <c r="G13" i="12"/>
  <c r="G16" s="1"/>
  <c r="F19" l="1"/>
  <c r="F25" s="1"/>
  <c r="N3" i="10"/>
  <c r="H10" i="12"/>
  <c r="H7" s="1"/>
  <c r="I8"/>
  <c r="I10" s="1"/>
  <c r="I7" s="1"/>
  <c r="G11" i="17"/>
  <c r="G10" s="1"/>
  <c r="H11" i="11"/>
  <c r="I23" i="10"/>
  <c r="I12"/>
  <c r="I13" i="12"/>
  <c r="I16" s="1"/>
  <c r="H13"/>
  <c r="H16" s="1"/>
  <c r="G18"/>
  <c r="G17"/>
  <c r="G19"/>
  <c r="G25" s="1"/>
  <c r="I6" i="17"/>
  <c r="H7"/>
  <c r="I8" i="11"/>
  <c r="H10"/>
  <c r="H7" s="1"/>
  <c r="H6" i="17"/>
  <c r="H9" s="1"/>
  <c r="H13" i="11"/>
  <c r="H16" s="1"/>
  <c r="K14" i="10"/>
  <c r="I16"/>
  <c r="H19"/>
  <c r="H24" s="1"/>
  <c r="H25" s="1"/>
  <c r="H26" s="1"/>
  <c r="K4"/>
  <c r="J5"/>
  <c r="F15" i="17"/>
  <c r="G9"/>
  <c r="G15" s="1"/>
  <c r="L4" i="10" l="1"/>
  <c r="K5"/>
  <c r="J16"/>
  <c r="I19"/>
  <c r="I24" s="1"/>
  <c r="I7" i="17"/>
  <c r="I10" i="11"/>
  <c r="I18" i="12"/>
  <c r="I17"/>
  <c r="I19" s="1"/>
  <c r="I25" i="10"/>
  <c r="I26" s="1"/>
  <c r="J23"/>
  <c r="J12"/>
  <c r="L14"/>
  <c r="H18" i="12"/>
  <c r="H17"/>
  <c r="H19" s="1"/>
  <c r="H25" s="1"/>
  <c r="H11" i="17"/>
  <c r="H10" s="1"/>
  <c r="H15" s="1"/>
  <c r="I11" i="11"/>
  <c r="I11" i="17" s="1"/>
  <c r="I10" s="1"/>
  <c r="O3" i="10"/>
  <c r="I9" i="17"/>
  <c r="I15" s="1"/>
  <c r="I7" i="11" l="1"/>
  <c r="I13" s="1"/>
  <c r="I16" s="1"/>
  <c r="K23" i="10"/>
  <c r="K12"/>
  <c r="M14"/>
  <c r="K16"/>
  <c r="J19"/>
  <c r="J24" s="1"/>
  <c r="M4"/>
  <c r="L5"/>
  <c r="J25"/>
  <c r="J26" s="1"/>
  <c r="L23" l="1"/>
  <c r="L12"/>
  <c r="N14"/>
  <c r="N4"/>
  <c r="M5"/>
  <c r="L16"/>
  <c r="K19"/>
  <c r="K24" s="1"/>
  <c r="K25" s="1"/>
  <c r="K26" s="1"/>
  <c r="M23" l="1"/>
  <c r="M12"/>
  <c r="M16"/>
  <c r="L19"/>
  <c r="L24" s="1"/>
  <c r="O4"/>
  <c r="O5" s="1"/>
  <c r="N5"/>
  <c r="O14"/>
  <c r="L25"/>
  <c r="L26" s="1"/>
  <c r="N23" l="1"/>
  <c r="N12"/>
  <c r="O23"/>
  <c r="O12"/>
  <c r="N16"/>
  <c r="M19"/>
  <c r="M24" s="1"/>
  <c r="M25" s="1"/>
  <c r="M26" s="1"/>
  <c r="O16" l="1"/>
  <c r="O19" s="1"/>
  <c r="O24" s="1"/>
  <c r="N19"/>
  <c r="N24" s="1"/>
  <c r="O25"/>
  <c r="N25"/>
  <c r="N26" s="1"/>
  <c r="O26" l="1"/>
  <c r="C7" i="13" s="1"/>
  <c r="C16" s="1"/>
  <c r="D27" i="11"/>
  <c r="I28" s="1"/>
  <c r="D23" i="12"/>
  <c r="F6" i="13" l="1"/>
  <c r="E7"/>
  <c r="F15"/>
  <c r="E15"/>
  <c r="I24" i="12"/>
  <c r="I25" s="1"/>
  <c r="D25"/>
  <c r="D27" s="1"/>
  <c r="H27" i="13" l="1"/>
  <c r="G6"/>
  <c r="D17" i="15" s="1"/>
  <c r="D24" i="11"/>
  <c r="D29" s="1"/>
  <c r="D5" i="19"/>
  <c r="F16" i="13"/>
  <c r="D28" l="1"/>
  <c r="E17" i="11" s="1"/>
  <c r="J15" i="13"/>
  <c r="C28" s="1"/>
  <c r="F5" i="19"/>
  <c r="D18" i="15"/>
  <c r="D29" s="1"/>
  <c r="D26" i="12" s="1"/>
  <c r="D28" s="1"/>
  <c r="E17" i="17" l="1"/>
  <c r="E18" s="1"/>
  <c r="E21" s="1"/>
  <c r="E18" i="11"/>
  <c r="E21" s="1"/>
  <c r="F28" i="13"/>
  <c r="C29"/>
  <c r="E23" i="11" l="1"/>
  <c r="G28" i="13"/>
  <c r="H28"/>
  <c r="C30"/>
  <c r="E29" i="11"/>
  <c r="D29" i="13" l="1"/>
  <c r="E5" i="19"/>
  <c r="G5" s="1"/>
  <c r="D6" s="1"/>
  <c r="C31" i="13"/>
  <c r="C32" l="1"/>
  <c r="F6" i="19"/>
  <c r="F17" i="11"/>
  <c r="F29" i="13"/>
  <c r="F17" i="17" l="1"/>
  <c r="F18" s="1"/>
  <c r="F18" i="11"/>
  <c r="F23"/>
  <c r="G29" i="13"/>
  <c r="H29"/>
  <c r="D30" l="1"/>
  <c r="F20" i="17"/>
  <c r="F19"/>
  <c r="F21" s="1"/>
  <c r="F20" i="11"/>
  <c r="F19"/>
  <c r="F21" s="1"/>
  <c r="F29" s="1"/>
  <c r="E6" i="19" l="1"/>
  <c r="G6" s="1"/>
  <c r="D7" s="1"/>
  <c r="G17" i="11"/>
  <c r="F30" i="13"/>
  <c r="G17" i="17" l="1"/>
  <c r="G18" s="1"/>
  <c r="G18" i="11"/>
  <c r="G23"/>
  <c r="G30" i="13"/>
  <c r="H30"/>
  <c r="F7" i="19"/>
  <c r="D31" i="13" l="1"/>
  <c r="G20" i="17"/>
  <c r="G19"/>
  <c r="G21"/>
  <c r="G19" i="11"/>
  <c r="G21"/>
  <c r="G29" s="1"/>
  <c r="G20"/>
  <c r="E7" i="19" l="1"/>
  <c r="G7" s="1"/>
  <c r="D8" s="1"/>
  <c r="H17" i="11"/>
  <c r="F31" i="13"/>
  <c r="H23" i="11" l="1"/>
  <c r="G31" i="13"/>
  <c r="H31"/>
  <c r="H17" i="17"/>
  <c r="H18" s="1"/>
  <c r="H18" i="11"/>
  <c r="F8" i="19"/>
  <c r="H20" i="11" l="1"/>
  <c r="H19"/>
  <c r="H21" s="1"/>
  <c r="H29" s="1"/>
  <c r="D32" i="13"/>
  <c r="H20" i="17"/>
  <c r="H19"/>
  <c r="H21"/>
  <c r="E8" i="19" l="1"/>
  <c r="G8" s="1"/>
  <c r="D9" s="1"/>
  <c r="F9" s="1"/>
  <c r="I17" i="11"/>
  <c r="F32" i="13"/>
  <c r="I23" i="11" l="1"/>
  <c r="G32" i="13"/>
  <c r="H32"/>
  <c r="I17" i="17"/>
  <c r="I18" s="1"/>
  <c r="I18" i="11"/>
  <c r="I19" l="1"/>
  <c r="I20"/>
  <c r="I20" i="17"/>
  <c r="I19"/>
  <c r="I21" s="1"/>
  <c r="I21" i="11" l="1"/>
  <c r="I29" s="1"/>
  <c r="E9" i="19"/>
  <c r="G9" s="1"/>
  <c r="D32" i="11"/>
  <c r="D31"/>
</calcChain>
</file>

<file path=xl/comments1.xml><?xml version="1.0" encoding="utf-8"?>
<comments xmlns="http://schemas.openxmlformats.org/spreadsheetml/2006/main">
  <authors>
    <author>Leonor Mogrovejo</author>
  </authors>
  <commentList>
    <comment ref="B16" authorId="0">
      <text>
        <r>
          <rPr>
            <sz val="8"/>
            <color indexed="8"/>
            <rFont val="Calibri"/>
            <family val="2"/>
          </rPr>
          <t xml:space="preserve">1 m3 es 2000 litros
</t>
        </r>
      </text>
    </comment>
  </commentList>
</comments>
</file>

<file path=xl/comments2.xml><?xml version="1.0" encoding="utf-8"?>
<comments xmlns="http://schemas.openxmlformats.org/spreadsheetml/2006/main">
  <authors>
    <author>Leonor Mogrovejo</author>
  </authors>
  <commentList>
    <comment ref="D80" authorId="0">
      <text>
        <r>
          <rPr>
            <sz val="8"/>
            <color indexed="81"/>
            <rFont val="Tahoma"/>
          </rPr>
          <t>dos dias de haber ingresado la escritura de constitucion a la super de compañia</t>
        </r>
      </text>
    </comment>
    <comment ref="D82" authorId="0">
      <text>
        <r>
          <rPr>
            <sz val="8"/>
            <color indexed="81"/>
            <rFont val="Tahoma"/>
          </rPr>
          <t>se lo hace un dia despues de tner de escritura de constitucion ya aprobada por la Super de cia</t>
        </r>
      </text>
    </comment>
    <comment ref="E85" authorId="0">
      <text>
        <r>
          <rPr>
            <sz val="8"/>
            <color indexed="81"/>
            <rFont val="Tahoma"/>
          </rPr>
          <t xml:space="preserve">Registro el nombraminetode un representante eso me vale 12 si registro de mas representante cada uno vale 12
</t>
        </r>
      </text>
    </comment>
    <comment ref="D102" authorId="0">
      <text>
        <r>
          <rPr>
            <sz val="8"/>
            <color indexed="81"/>
            <rFont val="Tahoma"/>
          </rPr>
          <t>A personas juridicas pagan 150 y naturales 75</t>
        </r>
      </text>
    </comment>
  </commentList>
</comments>
</file>

<file path=xl/comments3.xml><?xml version="1.0" encoding="utf-8"?>
<comments xmlns="http://schemas.openxmlformats.org/spreadsheetml/2006/main">
  <authors>
    <author>auxiliar</author>
  </authors>
  <commentList>
    <comment ref="F11" authorId="0">
      <text>
        <r>
          <rPr>
            <b/>
            <sz val="8"/>
            <color indexed="81"/>
            <rFont val="Tahoma"/>
          </rPr>
          <t>En los ultimos años se ha incrementado el salario en un promedio del 10%</t>
        </r>
      </text>
    </comment>
  </commentList>
</comments>
</file>

<file path=xl/comments4.xml><?xml version="1.0" encoding="utf-8"?>
<comments xmlns="http://schemas.openxmlformats.org/spreadsheetml/2006/main">
  <authors>
    <author>auxiliar</author>
  </authors>
  <commentList>
    <comment ref="F11" authorId="0">
      <text>
        <r>
          <rPr>
            <b/>
            <sz val="8"/>
            <color indexed="81"/>
            <rFont val="Tahoma"/>
          </rPr>
          <t>En los ultimos años se ha incrementado el salario en un promedio del 10%</t>
        </r>
      </text>
    </comment>
  </commentList>
</comments>
</file>

<file path=xl/comments5.xml><?xml version="1.0" encoding="utf-8"?>
<comments xmlns="http://schemas.openxmlformats.org/spreadsheetml/2006/main">
  <authors>
    <author>auxiliar</author>
  </authors>
  <commentList>
    <comment ref="I20" authorId="0">
      <text>
        <r>
          <rPr>
            <sz val="8"/>
            <color indexed="81"/>
            <rFont val="Tahoma"/>
          </rPr>
          <t xml:space="preserve">
Se Reinvierte en el cuarto periodo
 (año 4)</t>
        </r>
      </text>
    </comment>
  </commentList>
</comments>
</file>

<file path=xl/comments6.xml><?xml version="1.0" encoding="utf-8"?>
<comments xmlns="http://schemas.openxmlformats.org/spreadsheetml/2006/main">
  <authors>
    <author>auxiliar</author>
  </authors>
  <commentList>
    <comment ref="E19" authorId="0">
      <text>
        <r>
          <rPr>
            <b/>
            <sz val="8"/>
            <color indexed="81"/>
            <rFont val="Tahoma"/>
          </rPr>
          <t>Riesgo Pais al 20 feb 2010 es de 810 puntos base</t>
        </r>
      </text>
    </comment>
    <comment ref="C20" authorId="0">
      <text>
        <r>
          <rPr>
            <b/>
            <sz val="8"/>
            <color indexed="81"/>
            <rFont val="Tahoma"/>
          </rPr>
          <t>Tasa libre de riesgo</t>
        </r>
      </text>
    </comment>
    <comment ref="C26" authorId="0">
      <text>
        <r>
          <rPr>
            <b/>
            <sz val="8"/>
            <color indexed="81"/>
            <rFont val="Tahoma"/>
          </rPr>
          <t>Tasa libre de riesgo Ecuador</t>
        </r>
      </text>
    </comment>
  </commentList>
</comments>
</file>

<file path=xl/sharedStrings.xml><?xml version="1.0" encoding="utf-8"?>
<sst xmlns="http://schemas.openxmlformats.org/spreadsheetml/2006/main" count="735" uniqueCount="441">
  <si>
    <t>PERSONAS REQUERIDAS</t>
  </si>
  <si>
    <t>DESCRIPCION</t>
  </si>
  <si>
    <t>CANTIDAD</t>
  </si>
  <si>
    <t>MENSUAL</t>
  </si>
  <si>
    <t>TOTAL MENSUAL</t>
  </si>
  <si>
    <t>TOTAL ANUAL</t>
  </si>
  <si>
    <t>Gerente</t>
  </si>
  <si>
    <t>Asistentes y Secretarias</t>
  </si>
  <si>
    <t>Jefe de Planta (Maq. Empacadora)</t>
  </si>
  <si>
    <t>Ayudante Maq y Empacador</t>
  </si>
  <si>
    <t>Jefe Financiero</t>
  </si>
  <si>
    <t xml:space="preserve">Guardiania </t>
  </si>
  <si>
    <t>Mantenimiento y Limpieza</t>
  </si>
  <si>
    <t>Total</t>
  </si>
  <si>
    <t>Jefe Venta</t>
  </si>
  <si>
    <t>Jefe Produccion</t>
  </si>
  <si>
    <t>Vendedores</t>
  </si>
  <si>
    <t>INFRAESTRUCTURA FISICA</t>
  </si>
  <si>
    <t>USD $</t>
  </si>
  <si>
    <t>Equipos de Oficina</t>
  </si>
  <si>
    <t>EQUIPO</t>
  </si>
  <si>
    <t>DETALLE</t>
  </si>
  <si>
    <t>Valor Unitario</t>
  </si>
  <si>
    <t>Valor Total</t>
  </si>
  <si>
    <t>Vehiculos</t>
  </si>
  <si>
    <t>Equipo</t>
  </si>
  <si>
    <t xml:space="preserve">Detalle </t>
  </si>
  <si>
    <t>Cantidad</t>
  </si>
  <si>
    <t xml:space="preserve">Equipo de Oficina y Computacion </t>
  </si>
  <si>
    <t>Fax</t>
  </si>
  <si>
    <t xml:space="preserve">Telefono </t>
  </si>
  <si>
    <t>Computador(Monitor, CPU, Mouse, Teclado, Impresora, regulador, parlantes)</t>
  </si>
  <si>
    <t>Mueble y Enceres de Oficina</t>
  </si>
  <si>
    <t>Escritorio y sillón tipo Gerente</t>
  </si>
  <si>
    <t>Escritorio y sillón tipo secretaria</t>
  </si>
  <si>
    <t>Papeleras</t>
  </si>
  <si>
    <t>Mesa de Reuniones</t>
  </si>
  <si>
    <t>Aire acondicionado
Modelo : AS12CDB</t>
  </si>
  <si>
    <t>Archivadores de 4 gavetas</t>
  </si>
  <si>
    <t>Utiles de Oficina</t>
  </si>
  <si>
    <t>Paquete de 500 hojas A4 75 gr.</t>
  </si>
  <si>
    <t>Plumas Bic azul, negras y rojas puntas finas</t>
  </si>
  <si>
    <t>Archivador Ideal oficio 7 cm</t>
  </si>
  <si>
    <t>Grapas en cajas</t>
  </si>
  <si>
    <t>Borradores</t>
  </si>
  <si>
    <t>Clic en cajas</t>
  </si>
  <si>
    <t>Saca punta metal</t>
  </si>
  <si>
    <t>Goma Ega 250 gr.</t>
  </si>
  <si>
    <t>Saca grapa, Perforadora y grapadora</t>
  </si>
  <si>
    <t>Notas, cinta autodhasivas 40 m</t>
  </si>
  <si>
    <t>Lápiz  marca MONGOL</t>
  </si>
  <si>
    <t>Calculadoras</t>
  </si>
  <si>
    <t>Sillas fijas con Brazo</t>
  </si>
  <si>
    <t>Extintor de incendio de 20 libras</t>
  </si>
  <si>
    <t xml:space="preserve"> Tacho de Basura</t>
  </si>
  <si>
    <t>SUMINISTRO DE LIMPIEZA</t>
  </si>
  <si>
    <t>Suministro de Limpieza</t>
  </si>
  <si>
    <t>Escoba</t>
  </si>
  <si>
    <t>Escoba cerdas plasticas</t>
  </si>
  <si>
    <t>Desinfectante</t>
  </si>
  <si>
    <t>Ultra desinfectante 100 cm3</t>
  </si>
  <si>
    <t xml:space="preserve">Detergente </t>
  </si>
  <si>
    <t>Trapeador</t>
  </si>
  <si>
    <t>Jerga de Lana</t>
  </si>
  <si>
    <t>Jabón</t>
  </si>
  <si>
    <t>Liquido</t>
  </si>
  <si>
    <t>Papel Higienico</t>
  </si>
  <si>
    <t>Industrial</t>
  </si>
  <si>
    <t>Deja grande</t>
  </si>
  <si>
    <t>Bomba Sumergible</t>
  </si>
  <si>
    <t>Bomba de Agua</t>
  </si>
  <si>
    <t>Maquina de Ozono</t>
  </si>
  <si>
    <t>Maquina de Ultra Violeta</t>
  </si>
  <si>
    <t>Maquina Embotelladora</t>
  </si>
  <si>
    <t>Maquina de Enfundar</t>
  </si>
  <si>
    <t>Filtro de Carbon Activado</t>
  </si>
  <si>
    <t>Filtro de Arena</t>
  </si>
  <si>
    <t>Filtro Ablandador</t>
  </si>
  <si>
    <t>Filtro Pulidor</t>
  </si>
  <si>
    <t>Tubería de 4" x 6m</t>
  </si>
  <si>
    <t>Maquinaria y Equipo de Planta</t>
  </si>
  <si>
    <t>Vehiculo</t>
  </si>
  <si>
    <t>Camion Hino Grande</t>
  </si>
  <si>
    <t>camioneta luv D una cabina</t>
  </si>
  <si>
    <t>GASTOS ADMINISTRATIVOS</t>
  </si>
  <si>
    <t>DESCRIPCIóN</t>
  </si>
  <si>
    <t>ANUAL</t>
  </si>
  <si>
    <t>Sueldos Administrativos</t>
  </si>
  <si>
    <t>Servicios Básicos</t>
  </si>
  <si>
    <t>Precio</t>
  </si>
  <si>
    <t>Electricidad 2000 Kv por mes</t>
  </si>
  <si>
    <t>Agua</t>
  </si>
  <si>
    <t>Teléfono</t>
  </si>
  <si>
    <t>Total Gastos Administrativos</t>
  </si>
  <si>
    <t xml:space="preserve">Herramientas </t>
  </si>
  <si>
    <t>Consumo /Energía/Eléctrica:</t>
  </si>
  <si>
    <t xml:space="preserve">        Consumo Kw/hora</t>
  </si>
  <si>
    <t>Kw/hora</t>
  </si>
  <si>
    <t>Horas/día</t>
  </si>
  <si>
    <t>Kw/Diario</t>
  </si>
  <si>
    <t>Mensual</t>
  </si>
  <si>
    <t>Coste$/kw./hora</t>
  </si>
  <si>
    <t>Consumo mensual</t>
  </si>
  <si>
    <t>Anual</t>
  </si>
  <si>
    <t>Consumo Anual $</t>
  </si>
  <si>
    <t>Computadora</t>
  </si>
  <si>
    <t>Focos Encendidos</t>
  </si>
  <si>
    <t>Aire Acondicionado</t>
  </si>
  <si>
    <t>total de consumo de energia electrica</t>
  </si>
  <si>
    <t>Kv</t>
  </si>
  <si>
    <t>m3 =$,45</t>
  </si>
  <si>
    <t>GASTO DE VENTA Y PUBLICIDAD</t>
  </si>
  <si>
    <t>Nombre Medio</t>
  </si>
  <si>
    <t>Detalle</t>
  </si>
  <si>
    <t>1/4 pag. Color</t>
  </si>
  <si>
    <t>Diario Expreso Publicidad 1/4 B y N</t>
  </si>
  <si>
    <t>1/4 B y N</t>
  </si>
  <si>
    <t>vallas publicitarias</t>
  </si>
  <si>
    <t>Total Gasto de Venta y Publicidad</t>
  </si>
  <si>
    <t>Diario Universo Publicidad 1/4 a color</t>
  </si>
  <si>
    <t>Afiches de 50 * 50 cms papel caushe</t>
  </si>
  <si>
    <t>COSTO FIJO</t>
  </si>
  <si>
    <t>MANO DE OBRA INDIRECTA</t>
  </si>
  <si>
    <t>MANO DE OBRA DIRECTA</t>
  </si>
  <si>
    <t>CARGO</t>
  </si>
  <si>
    <t>COSTO VARIABLE</t>
  </si>
  <si>
    <t>MATERIALES DIRECTOS</t>
  </si>
  <si>
    <t xml:space="preserve">Cantidad </t>
  </si>
  <si>
    <t>Precio compra</t>
  </si>
  <si>
    <t>Descripcion</t>
  </si>
  <si>
    <t>Bidón 20 Litros</t>
  </si>
  <si>
    <t>MATERIALES INDIRECTOS</t>
  </si>
  <si>
    <t>Cloro (galones)</t>
  </si>
  <si>
    <t>Etiquetas (unidad)</t>
  </si>
  <si>
    <t>DENOMINACION</t>
  </si>
  <si>
    <t>U</t>
  </si>
  <si>
    <t>REFERENCIA</t>
  </si>
  <si>
    <t>CANT.</t>
  </si>
  <si>
    <t>C. UNITA.</t>
  </si>
  <si>
    <t>Diesel</t>
  </si>
  <si>
    <t>Gl</t>
  </si>
  <si>
    <t>3 galones diarios</t>
  </si>
  <si>
    <t>Aceite</t>
  </si>
  <si>
    <t>Seis cambios de aceite al año</t>
  </si>
  <si>
    <t>Costos Fijos de Transporte</t>
  </si>
  <si>
    <t>Coto mensual</t>
  </si>
  <si>
    <t>Costo Anual</t>
  </si>
  <si>
    <t>Activos Fijos</t>
  </si>
  <si>
    <t>Mueble y enceres de oficina</t>
  </si>
  <si>
    <t>Precio Total</t>
  </si>
  <si>
    <t>ACTIVOS DIFERIDOS</t>
  </si>
  <si>
    <t>Tiempo del Tramite en día laborables</t>
  </si>
  <si>
    <t>Costo</t>
  </si>
  <si>
    <t>Aprobación de denominación en la Superintendencia de Cía</t>
  </si>
  <si>
    <t>Escitura Pública de Constitución de Compañía</t>
  </si>
  <si>
    <t>Aporte en número: apertura de Cuenta de Integración Capital en Banco (Capital mínimo US$800, 25% al inicio)</t>
  </si>
  <si>
    <t>Valuación de bienes muebles e inmuebles que se aportarán como Capital</t>
  </si>
  <si>
    <t>Elaboración de Minuta - Escritura Pública</t>
  </si>
  <si>
    <t>Solicitud de aprobación dirigida a la Superintendencia de Compañía</t>
  </si>
  <si>
    <t>Resolución aprobada emitidapor parte de la Superintendencia de Compañía</t>
  </si>
  <si>
    <t>Publicación de extracto (Prensa escrita)</t>
  </si>
  <si>
    <t>Anotaciones Marginales</t>
  </si>
  <si>
    <t>Inscribir Escritura en Registro Mercantil</t>
  </si>
  <si>
    <t>Proceder a realizar los nombramientos correspondiente y a su respectiva inscriccion en el registro Mercantil</t>
  </si>
  <si>
    <t>Obtención del RUC</t>
  </si>
  <si>
    <t>Afiliación a la Cámara de la Industria</t>
  </si>
  <si>
    <t>Retiro de fondos depositados en Cuenta de Integración de Capital</t>
  </si>
  <si>
    <t>TOTAL</t>
  </si>
  <si>
    <t>(-) Devolución por Integración de Capital</t>
  </si>
  <si>
    <t>Total de Gastos de Constitución</t>
  </si>
  <si>
    <t>GASTOS DE FUNCIONAMIENTO</t>
  </si>
  <si>
    <t>VALORES ANUALES</t>
  </si>
  <si>
    <t>COSTO</t>
  </si>
  <si>
    <t>OBSERVACIONES</t>
  </si>
  <si>
    <t>Registro del negocio en el SRI</t>
  </si>
  <si>
    <t>sin costo</t>
  </si>
  <si>
    <t>Permisos Municipales</t>
  </si>
  <si>
    <t>Registro de Patente Municipal Anual</t>
  </si>
  <si>
    <t>A personas juridicas</t>
  </si>
  <si>
    <t>Tasa de habitación de Establecimiento</t>
  </si>
  <si>
    <t>Permiso del Ministerio de Salud</t>
  </si>
  <si>
    <t>Certificado Sanitario de los empleados de la empresa</t>
  </si>
  <si>
    <t>Pago anual al Benemérito Cuerpo de Bomberos</t>
  </si>
  <si>
    <t>Pago Anual al Ministerio de Gobierno y Policía</t>
  </si>
  <si>
    <t>CONSUMO SEMANAL POR FAMILIA DE AGUA PURIFICADA EN LA PROVINCIA DE EL ORO</t>
  </si>
  <si>
    <t>Nº</t>
  </si>
  <si>
    <t>ALTERNATIVA</t>
  </si>
  <si>
    <t>FRECUENCIAS</t>
  </si>
  <si>
    <t>CONSUMO SEMANAL</t>
  </si>
  <si>
    <t>CONSUMO ANUAL</t>
  </si>
  <si>
    <t>0 - 20 LIT.</t>
  </si>
  <si>
    <t>21 - 40 LIT.</t>
  </si>
  <si>
    <t>41- 60 LIT.</t>
  </si>
  <si>
    <t>61- 80 LIT.</t>
  </si>
  <si>
    <t>81- 100 LIT.</t>
  </si>
  <si>
    <t>101 - 120 LIT.</t>
  </si>
  <si>
    <t>ESTARÍA DISPUESTO A ADQUIRIR AGUA PURIFICADA EN LA NUEVA PLANTA QUE SE CREARA EN NUESTRA PROVINCIA</t>
  </si>
  <si>
    <t xml:space="preserve">FRECUENCIAS </t>
  </si>
  <si>
    <t xml:space="preserve">% </t>
  </si>
  <si>
    <t>SI</t>
  </si>
  <si>
    <t>NO</t>
  </si>
  <si>
    <t>Demanda Total Anual</t>
  </si>
  <si>
    <t>D. Mensual Promedio</t>
  </si>
  <si>
    <t>6,5% Demanda</t>
  </si>
  <si>
    <t>D. Anual ajustada</t>
  </si>
  <si>
    <t>Precio de compra</t>
  </si>
  <si>
    <t>Precio de de venta</t>
  </si>
  <si>
    <t>Demanda anual de agua</t>
  </si>
  <si>
    <t>D. Mensual ajustada 10%</t>
  </si>
  <si>
    <t>¿EN QUÉ TIPO DE PRESENTACION ADQUIERE ESTE PRODUCTO?</t>
  </si>
  <si>
    <t>%</t>
  </si>
  <si>
    <t>BIDON (20 LIT.)</t>
  </si>
  <si>
    <t>GALÓN (5 LIT.)</t>
  </si>
  <si>
    <t>FUNDA ( 4 LIT.)</t>
  </si>
  <si>
    <t>BOTELLA (½ LIT.)</t>
  </si>
  <si>
    <t>FUNDA (½ LIT.)</t>
  </si>
  <si>
    <t>demanda del bidon</t>
  </si>
  <si>
    <t>Demanda funda de 4 litros</t>
  </si>
  <si>
    <t>CUANTOS LITROS DE AGUA PURIFICADA CONSUME A LA SEMANA SU FAMILIA</t>
  </si>
  <si>
    <t>OTROS</t>
  </si>
  <si>
    <t>Elaboración: Los Autores</t>
  </si>
  <si>
    <t>Grupo de Edad</t>
  </si>
  <si>
    <t xml:space="preserve"> TOTAL </t>
  </si>
  <si>
    <t>Prov. De El Oro</t>
  </si>
  <si>
    <t># de Fmilias</t>
  </si>
  <si>
    <t># DE CONSUMIDORES</t>
  </si>
  <si>
    <t>Demanda Semanal</t>
  </si>
  <si>
    <t>CANTIDAD DE EMBASE</t>
  </si>
  <si>
    <t>CONSUMO MEDIO LITROA</t>
  </si>
  <si>
    <t>CONSUMO MENSUAL Prom</t>
  </si>
  <si>
    <t>Construccion de la Planta</t>
  </si>
  <si>
    <t>Consumo semanal en bindones</t>
  </si>
  <si>
    <t>60% Demanda</t>
  </si>
  <si>
    <t xml:space="preserve">totAL </t>
  </si>
  <si>
    <t>costo de produccion por envase</t>
  </si>
  <si>
    <t>DEMANDA</t>
  </si>
  <si>
    <t>INGRESO</t>
  </si>
  <si>
    <t>Demanda Mensual</t>
  </si>
  <si>
    <t>Ing. Mensual</t>
  </si>
  <si>
    <t>Ing. Anual</t>
  </si>
  <si>
    <t>Consumo Mensual</t>
  </si>
  <si>
    <t>Consumo Anual</t>
  </si>
  <si>
    <t xml:space="preserve">P. VENTA </t>
  </si>
  <si>
    <t>CALCULO DE LA DEMANDA</t>
  </si>
  <si>
    <t>Damanda Total</t>
  </si>
  <si>
    <t>Damanda mensual</t>
  </si>
  <si>
    <t>Damanda Anual</t>
  </si>
  <si>
    <t>Periodo</t>
  </si>
  <si>
    <t>Año 1</t>
  </si>
  <si>
    <t>Año 2</t>
  </si>
  <si>
    <t>Año 3</t>
  </si>
  <si>
    <t>Año 4</t>
  </si>
  <si>
    <t>Año 5</t>
  </si>
  <si>
    <t>Damanda Anual de bidones de Agua</t>
  </si>
  <si>
    <t>Venta (q)</t>
  </si>
  <si>
    <t>Ventas ($)</t>
  </si>
  <si>
    <t>Ventas Totales ($)</t>
  </si>
  <si>
    <t xml:space="preserve">Agua
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</si>
  <si>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</si>
  <si>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</si>
  <si>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</si>
  <si>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</si>
  <si>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</si>
  <si>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</si>
  <si>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</si>
  <si>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</si>
  <si>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</si>
  <si>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</si>
  <si>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</si>
  <si>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</si>
  <si>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</si>
  <si>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</si>
  <si>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Febrero</t>
  </si>
  <si>
    <t>Enero</t>
  </si>
  <si>
    <t>Agosto</t>
  </si>
  <si>
    <t>Septiembre</t>
  </si>
  <si>
    <t>Junio</t>
  </si>
  <si>
    <t>Noviembre</t>
  </si>
  <si>
    <t>julio</t>
  </si>
  <si>
    <t>Mayo</t>
  </si>
  <si>
    <t>Octubre</t>
  </si>
  <si>
    <t>Diciembre</t>
  </si>
  <si>
    <t>Consumo anual</t>
  </si>
  <si>
    <t>EGRESOS</t>
  </si>
  <si>
    <t>Mano de Obra Directa</t>
  </si>
  <si>
    <t>Mano de Obra Indirecta</t>
  </si>
  <si>
    <t>Material Directo</t>
  </si>
  <si>
    <t>Gastos Administrativos</t>
  </si>
  <si>
    <t>Gastos de Ventas</t>
  </si>
  <si>
    <t>Egreso Mensual</t>
  </si>
  <si>
    <t>Ingreso Mensual</t>
  </si>
  <si>
    <t>Saldo Mensual</t>
  </si>
  <si>
    <t>Saldo Acumulado</t>
  </si>
  <si>
    <t>ACTIVO</t>
  </si>
  <si>
    <t>DISPONIBLE</t>
  </si>
  <si>
    <t>Capital de Trabajo</t>
  </si>
  <si>
    <t>FIJOS</t>
  </si>
  <si>
    <t>Muebles y Enseres</t>
  </si>
  <si>
    <t>Utiles de oficina</t>
  </si>
  <si>
    <t>DIFERIDOS</t>
  </si>
  <si>
    <t>Gasto de Constitución</t>
  </si>
  <si>
    <t>Gasto de Funcionamiento</t>
  </si>
  <si>
    <t>Total Activo</t>
  </si>
  <si>
    <t>Inversion Inicial</t>
  </si>
  <si>
    <t>ESTADO SITUACION INICIAL</t>
  </si>
  <si>
    <t>PASIVO</t>
  </si>
  <si>
    <t>Préstamo</t>
  </si>
  <si>
    <t>PATRIMONIO</t>
  </si>
  <si>
    <t>Capital</t>
  </si>
  <si>
    <t>AMORTIZACION DEL PRESTAMO</t>
  </si>
  <si>
    <t>PERIODO EN AÑOS</t>
  </si>
  <si>
    <t>PAGO</t>
  </si>
  <si>
    <t>INTERES</t>
  </si>
  <si>
    <t>AMORTIZACION</t>
  </si>
  <si>
    <t>CAP. AMORTIZ</t>
  </si>
  <si>
    <t>SALDO</t>
  </si>
  <si>
    <t>Año 0</t>
  </si>
  <si>
    <t>Capital Inicial</t>
  </si>
  <si>
    <t>Periodo de Pago</t>
  </si>
  <si>
    <t>Numero Total de Cuotas</t>
  </si>
  <si>
    <t>Comisión de Estudio</t>
  </si>
  <si>
    <t>Comisión de Apertura</t>
  </si>
  <si>
    <t>Amortizacion</t>
  </si>
  <si>
    <t>VALOR DE SALVAMENTO</t>
  </si>
  <si>
    <t>VALOR DE COMPRA</t>
  </si>
  <si>
    <t>VIDA CONTABLE</t>
  </si>
  <si>
    <t>DEPREC. ANUAL</t>
  </si>
  <si>
    <t>AÑO DEPREC.</t>
  </si>
  <si>
    <t>DEPREC. ACUMUL.</t>
  </si>
  <si>
    <t>VALOR EN LIBRO</t>
  </si>
  <si>
    <t>Equipo de Computación</t>
  </si>
  <si>
    <t>Depreciacion Acumulada</t>
  </si>
  <si>
    <t>Valor de Salvamento</t>
  </si>
  <si>
    <t>AMORTIZACION INTANGIBLE</t>
  </si>
  <si>
    <t>Descripción</t>
  </si>
  <si>
    <t>Valor</t>
  </si>
  <si>
    <t>Total Activos Diferidos</t>
  </si>
  <si>
    <t>Gastos de funcionamiento</t>
  </si>
  <si>
    <t>Gastos de constitucion</t>
  </si>
  <si>
    <t>CALCULO DE BETA</t>
  </si>
  <si>
    <t>Beta Coefficient</t>
  </si>
  <si>
    <t>Market Cap (millones)</t>
  </si>
  <si>
    <t>Beta*(Mark Cap/Total Mark</t>
  </si>
  <si>
    <t>Beta</t>
  </si>
  <si>
    <t>TMAR</t>
  </si>
  <si>
    <t>L</t>
  </si>
  <si>
    <t>1-L</t>
  </si>
  <si>
    <t>re=rf+B(rm-rf)+rfecuador</t>
  </si>
  <si>
    <t>Riesgo País 24/03/2007</t>
  </si>
  <si>
    <t>L=Pasivo/Activo</t>
  </si>
  <si>
    <t>rf</t>
  </si>
  <si>
    <t>T=Impuesto/Utilidad Ant Imp</t>
  </si>
  <si>
    <t>rm</t>
  </si>
  <si>
    <t>Ba= (1-L)B/(1-TL)</t>
  </si>
  <si>
    <t>rd</t>
  </si>
  <si>
    <t>t</t>
  </si>
  <si>
    <t>WACC</t>
  </si>
  <si>
    <t>1-t</t>
  </si>
  <si>
    <t>rk=rd(1-t)*(L)+(1-L)*re</t>
  </si>
  <si>
    <t>Prima/Riesgo</t>
  </si>
  <si>
    <t>re</t>
  </si>
  <si>
    <t>rk</t>
  </si>
  <si>
    <t>tmar=13,63%</t>
  </si>
  <si>
    <t>Ingresos</t>
  </si>
  <si>
    <t>Egresos</t>
  </si>
  <si>
    <t>Costos de Venta</t>
  </si>
  <si>
    <t>Costos de Bodega</t>
  </si>
  <si>
    <t>Coste de Fabricación</t>
  </si>
  <si>
    <t>Gasto Administrativo</t>
  </si>
  <si>
    <t>Gasto de Venta y Publicidad</t>
  </si>
  <si>
    <t>Flujo Operacional</t>
  </si>
  <si>
    <t>Amortización Intangible</t>
  </si>
  <si>
    <t>Depreciación</t>
  </si>
  <si>
    <t>Flujo no Operacional</t>
  </si>
  <si>
    <t>Intereses sobe préstamos</t>
  </si>
  <si>
    <t>Utilidad antes de Impuesto</t>
  </si>
  <si>
    <t>25% Impuesto a la Renta</t>
  </si>
  <si>
    <t>15% Participación de Trabajadores</t>
  </si>
  <si>
    <t>Utilidad Neta</t>
  </si>
  <si>
    <t>Depreciación y Amortización Intangible</t>
  </si>
  <si>
    <t>Pago de Capital</t>
  </si>
  <si>
    <t>Prestamo</t>
  </si>
  <si>
    <t>Inversión Inicial</t>
  </si>
  <si>
    <t>Recuperación del Capital de Trabajo</t>
  </si>
  <si>
    <t>Flujo neto del accionistas</t>
  </si>
  <si>
    <t>TMAR (CAPM)</t>
  </si>
  <si>
    <t>TIR</t>
  </si>
  <si>
    <t>VAN</t>
  </si>
  <si>
    <t>Demanda anual año 1</t>
  </si>
  <si>
    <t>Demanda anual año 2</t>
  </si>
  <si>
    <t>Demanda anual año 3</t>
  </si>
  <si>
    <t>Demanda anual año 4</t>
  </si>
  <si>
    <t>Demanda anual año 5</t>
  </si>
  <si>
    <t>tapas para el envase</t>
  </si>
  <si>
    <t>Bloque</t>
  </si>
  <si>
    <t>Cuota de entrada</t>
  </si>
  <si>
    <t>Años plazo</t>
  </si>
  <si>
    <t>Cuota entrada</t>
  </si>
  <si>
    <t>Tasa mensual</t>
  </si>
  <si>
    <t>Cuota Mensual</t>
  </si>
  <si>
    <t>FINANCIAMIENTO Bodega</t>
  </si>
  <si>
    <t>Pagoa Anual</t>
  </si>
  <si>
    <t xml:space="preserve">COSTO  DE PLANTA </t>
  </si>
  <si>
    <t>Tamaño Planta m2</t>
  </si>
  <si>
    <t>400 m2</t>
  </si>
  <si>
    <t>FLUJO DE CAJA DE LOS aacionista</t>
  </si>
  <si>
    <t>FLUJO DE CAJA PROYECTO</t>
  </si>
  <si>
    <t>Flujo neto del proyecto</t>
  </si>
  <si>
    <t>PAY BACK</t>
  </si>
  <si>
    <t>Periodo en
(años)</t>
  </si>
  <si>
    <t>Saldo
Inversion</t>
  </si>
  <si>
    <t>Flujo de
caja</t>
  </si>
  <si>
    <t>Rentabilidad
Exigida</t>
  </si>
  <si>
    <t>Recuperacion
Inversion</t>
  </si>
  <si>
    <t>ANALISIS DE SENSIBILIDAD UNIVARIABLE</t>
  </si>
  <si>
    <t>ANALISIS DE SENSIBILIDAD RESPECTO A INGRESOS</t>
  </si>
  <si>
    <t xml:space="preserve">VARIACION
</t>
  </si>
  <si>
    <t xml:space="preserve">      ∆</t>
  </si>
  <si>
    <t>RESULTADO</t>
  </si>
  <si>
    <t>FACTIBLE</t>
  </si>
  <si>
    <t>ANALISIS DE SENSIBILIDAD RESPECTO A COSTOS</t>
  </si>
  <si>
    <t xml:space="preserve">           ∆</t>
  </si>
  <si>
    <t>costo de agua por envase</t>
  </si>
  <si>
    <t>ESTADO DE PERDIDAS Y GANANCIAS</t>
  </si>
  <si>
    <t>Costo de Venta</t>
  </si>
  <si>
    <t>Costo de bodega</t>
  </si>
  <si>
    <t>Margen Bruto</t>
  </si>
  <si>
    <t>Gastos Operacionales</t>
  </si>
  <si>
    <t>Amortización</t>
  </si>
  <si>
    <t>Gastos de Venta</t>
  </si>
  <si>
    <t>Utilidad Operacional</t>
  </si>
  <si>
    <t>Gastos Financieros</t>
  </si>
  <si>
    <t>Intereses sobre prestamos</t>
  </si>
  <si>
    <t>Utilidad antes de Impuestos</t>
  </si>
  <si>
    <t>25% Impuestos a la Renta</t>
  </si>
  <si>
    <t>UTILIDAD NETA</t>
  </si>
  <si>
    <t>Demanda</t>
  </si>
  <si>
    <t>Punto Equilibrio</t>
  </si>
  <si>
    <t>Precio Promedio</t>
  </si>
  <si>
    <t>Ingreso Anual</t>
  </si>
  <si>
    <t xml:space="preserve">Utilidad </t>
  </si>
</sst>
</file>

<file path=xl/styles.xml><?xml version="1.0" encoding="utf-8"?>
<styleSheet xmlns="http://schemas.openxmlformats.org/spreadsheetml/2006/main">
  <numFmts count="12">
    <numFmt numFmtId="43" formatCode="_-* #,##0.00\ _€_-;\-* #,##0.00\ _€_-;_-* &quot;-&quot;??\ _€_-;_-@_-"/>
    <numFmt numFmtId="165" formatCode="&quot;$&quot;\ #,##0;[Red]&quot;$&quot;\ \-#,##0"/>
    <numFmt numFmtId="167" formatCode="&quot;$&quot;\ #,##0.00;[Red]&quot;$&quot;\ \-#,##0.00"/>
    <numFmt numFmtId="179" formatCode="_(* #,##0.00_);_(* \(#,##0.00\);_(* &quot;-&quot;??_);_(@_)"/>
    <numFmt numFmtId="180" formatCode="[$$-409]#,##0;[Red][$$-409]#,##0"/>
    <numFmt numFmtId="181" formatCode="_-* #,##0\ _€_-;\-* #,##0\ _€_-;_-* &quot;-&quot;??\ _€_-;_-@_-"/>
    <numFmt numFmtId="182" formatCode="0.0%"/>
    <numFmt numFmtId="185" formatCode="0.000000"/>
    <numFmt numFmtId="190" formatCode="[$$-409]#,##0.0;[Red][$$-409]#,##0.0"/>
    <numFmt numFmtId="191" formatCode="0.0000;[Red]0.0000"/>
    <numFmt numFmtId="192" formatCode="0.000%"/>
    <numFmt numFmtId="193" formatCode="[$$-409]#,##0.00;[Red][$$-409]#,##0.00"/>
  </numFmts>
  <fonts count="42"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color indexed="62"/>
      <name val="Arial"/>
      <family val="2"/>
    </font>
    <font>
      <b/>
      <sz val="10"/>
      <color indexed="6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4"/>
      <color indexed="8"/>
      <name val="Calibri"/>
      <family val="2"/>
    </font>
    <font>
      <b/>
      <i/>
      <u/>
      <sz val="16"/>
      <color indexed="8"/>
      <name val="Calibri"/>
      <family val="2"/>
    </font>
    <font>
      <b/>
      <i/>
      <u/>
      <sz val="16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u/>
      <sz val="10"/>
      <name val="Arial"/>
      <family val="2"/>
    </font>
    <font>
      <sz val="9"/>
      <name val="Arial Narrow"/>
      <family val="2"/>
    </font>
    <font>
      <sz val="12"/>
      <name val="Arial Narrow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sz val="8"/>
      <color indexed="81"/>
      <name val="Tahoma"/>
    </font>
    <font>
      <b/>
      <i/>
      <u/>
      <sz val="11"/>
      <color indexed="8"/>
      <name val="Calibri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color indexed="10"/>
      <name val="Calibri"/>
    </font>
    <font>
      <b/>
      <sz val="8"/>
      <color indexed="81"/>
      <name val="Tahoma"/>
    </font>
    <font>
      <sz val="8"/>
      <name val="Calibri"/>
      <family val="2"/>
    </font>
    <font>
      <b/>
      <u/>
      <sz val="10"/>
      <name val="Arial"/>
      <family val="2"/>
    </font>
    <font>
      <b/>
      <sz val="11"/>
      <color indexed="8"/>
      <name val="Calibri"/>
    </font>
    <font>
      <b/>
      <i/>
      <u/>
      <sz val="14"/>
      <color indexed="8"/>
      <name val="Calibri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60"/>
      <name val="Arial"/>
      <family val="2"/>
    </font>
    <font>
      <sz val="9"/>
      <name val="Tahoma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z val="11"/>
      <color rgb="FF0061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1" fillId="17" borderId="0" applyNumberFormat="0" applyBorder="0" applyAlignment="0" applyProtection="0"/>
    <xf numFmtId="179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5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80" fontId="3" fillId="0" borderId="0" xfId="0" applyNumberFormat="1" applyFont="1" applyFill="1" applyBorder="1" applyAlignment="1" applyProtection="1"/>
    <xf numFmtId="0" fontId="0" fillId="0" borderId="0" xfId="0" applyBorder="1"/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/>
    <xf numFmtId="0" fontId="6" fillId="0" borderId="1" xfId="7" applyBorder="1"/>
    <xf numFmtId="0" fontId="6" fillId="0" borderId="1" xfId="7" applyBorder="1" applyAlignment="1">
      <alignment horizontal="center"/>
    </xf>
    <xf numFmtId="0" fontId="6" fillId="0" borderId="1" xfId="7" applyFill="1" applyBorder="1"/>
    <xf numFmtId="0" fontId="6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justify" vertical="top" wrapText="1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vertical="justify" wrapText="1"/>
    </xf>
    <xf numFmtId="0" fontId="10" fillId="0" borderId="1" xfId="8" applyFont="1" applyBorder="1" applyAlignment="1">
      <alignment horizontal="left" vertical="center" wrapText="1"/>
    </xf>
    <xf numFmtId="0" fontId="9" fillId="0" borderId="1" xfId="9" applyFont="1" applyBorder="1" applyAlignment="1">
      <alignment vertical="top" wrapText="1"/>
    </xf>
    <xf numFmtId="0" fontId="6" fillId="3" borderId="1" xfId="10" applyFill="1" applyBorder="1" applyAlignment="1">
      <alignment vertical="justify" wrapText="1"/>
    </xf>
    <xf numFmtId="0" fontId="6" fillId="3" borderId="1" xfId="11" applyFill="1" applyBorder="1" applyAlignment="1">
      <alignment vertical="justify" wrapText="1"/>
    </xf>
    <xf numFmtId="0" fontId="0" fillId="0" borderId="1" xfId="0" applyBorder="1" applyAlignment="1">
      <alignment wrapText="1"/>
    </xf>
    <xf numFmtId="0" fontId="6" fillId="0" borderId="1" xfId="3" applyFill="1" applyBorder="1" applyAlignment="1">
      <alignment vertical="justify" wrapText="1"/>
    </xf>
    <xf numFmtId="0" fontId="6" fillId="0" borderId="2" xfId="0" applyNumberFormat="1" applyFont="1" applyFill="1" applyBorder="1" applyAlignment="1" applyProtection="1"/>
    <xf numFmtId="0" fontId="0" fillId="0" borderId="1" xfId="0" applyBorder="1"/>
    <xf numFmtId="0" fontId="0" fillId="0" borderId="1" xfId="0" applyNumberFormat="1" applyBorder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/>
    <xf numFmtId="0" fontId="11" fillId="0" borderId="0" xfId="0" applyFont="1"/>
    <xf numFmtId="0" fontId="12" fillId="0" borderId="0" xfId="0" applyFont="1"/>
    <xf numFmtId="0" fontId="6" fillId="0" borderId="1" xfId="7" applyNumberFormat="1" applyBorder="1"/>
    <xf numFmtId="0" fontId="4" fillId="0" borderId="1" xfId="0" applyNumberFormat="1" applyFont="1" applyFill="1" applyBorder="1" applyAlignment="1" applyProtection="1">
      <alignment horizontal="justify" vertical="top" wrapText="1"/>
    </xf>
    <xf numFmtId="2" fontId="10" fillId="0" borderId="1" xfId="0" applyNumberFormat="1" applyFont="1" applyFill="1" applyBorder="1" applyAlignment="1" applyProtection="1">
      <alignment horizontal="justify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/>
    <xf numFmtId="2" fontId="10" fillId="4" borderId="5" xfId="0" applyNumberFormat="1" applyFont="1" applyFill="1" applyBorder="1" applyAlignment="1" applyProtection="1">
      <alignment horizontal="justify" vertical="center" wrapText="1"/>
    </xf>
    <xf numFmtId="0" fontId="0" fillId="4" borderId="0" xfId="0" applyFill="1"/>
    <xf numFmtId="0" fontId="6" fillId="4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4"/>
    <xf numFmtId="0" fontId="6" fillId="0" borderId="1" xfId="4" applyBorder="1"/>
    <xf numFmtId="0" fontId="5" fillId="0" borderId="1" xfId="4" applyFont="1" applyBorder="1" applyAlignment="1">
      <alignment horizontal="center"/>
    </xf>
    <xf numFmtId="0" fontId="5" fillId="0" borderId="1" xfId="4" applyFont="1" applyBorder="1"/>
    <xf numFmtId="0" fontId="6" fillId="0" borderId="1" xfId="5" applyBorder="1"/>
    <xf numFmtId="0" fontId="0" fillId="0" borderId="0" xfId="0" applyAlignment="1">
      <alignment horizontal="center"/>
    </xf>
    <xf numFmtId="0" fontId="16" fillId="5" borderId="0" xfId="0" applyFont="1" applyFill="1"/>
    <xf numFmtId="0" fontId="16" fillId="6" borderId="0" xfId="0" applyFont="1" applyFill="1"/>
    <xf numFmtId="0" fontId="0" fillId="5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0" fillId="5" borderId="1" xfId="0" applyFill="1" applyBorder="1"/>
    <xf numFmtId="0" fontId="5" fillId="0" borderId="0" xfId="0" applyFont="1" applyAlignment="1"/>
    <xf numFmtId="2" fontId="18" fillId="0" borderId="1" xfId="0" applyNumberFormat="1" applyFont="1" applyFill="1" applyBorder="1" applyAlignment="1">
      <alignment horizontal="justify" vertical="center" wrapText="1"/>
    </xf>
    <xf numFmtId="181" fontId="10" fillId="0" borderId="1" xfId="2" applyNumberFormat="1" applyFont="1" applyBorder="1" applyAlignment="1">
      <alignment horizontal="center" vertical="center"/>
    </xf>
    <xf numFmtId="179" fontId="10" fillId="0" borderId="1" xfId="2" applyFont="1" applyFill="1" applyBorder="1" applyAlignment="1">
      <alignment horizontal="center" vertical="center" wrapText="1"/>
    </xf>
    <xf numFmtId="43" fontId="0" fillId="0" borderId="0" xfId="0" applyNumberFormat="1"/>
    <xf numFmtId="43" fontId="0" fillId="5" borderId="0" xfId="0" applyNumberFormat="1" applyFill="1"/>
    <xf numFmtId="2" fontId="19" fillId="0" borderId="5" xfId="0" applyNumberFormat="1" applyFont="1" applyFill="1" applyBorder="1" applyAlignment="1">
      <alignment horizontal="justify" vertical="center" wrapText="1"/>
    </xf>
    <xf numFmtId="2" fontId="10" fillId="0" borderId="1" xfId="0" applyNumberFormat="1" applyFont="1" applyBorder="1" applyAlignment="1">
      <alignment horizontal="justify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left" vertical="center"/>
    </xf>
    <xf numFmtId="2" fontId="10" fillId="0" borderId="1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/>
    <xf numFmtId="0" fontId="6" fillId="0" borderId="5" xfId="3" applyFill="1" applyBorder="1" applyAlignment="1">
      <alignment vertical="justify" wrapText="1"/>
    </xf>
    <xf numFmtId="0" fontId="6" fillId="3" borderId="5" xfId="11" applyFill="1" applyBorder="1" applyAlignment="1">
      <alignment vertical="justify" wrapText="1"/>
    </xf>
    <xf numFmtId="0" fontId="22" fillId="0" borderId="0" xfId="0" applyFont="1" applyAlignment="1"/>
    <xf numFmtId="0" fontId="21" fillId="7" borderId="1" xfId="0" applyFont="1" applyFill="1" applyBorder="1"/>
    <xf numFmtId="0" fontId="21" fillId="7" borderId="1" xfId="0" applyFont="1" applyFill="1" applyBorder="1" applyAlignment="1"/>
    <xf numFmtId="0" fontId="0" fillId="0" borderId="1" xfId="0" applyBorder="1" applyAlignment="1"/>
    <xf numFmtId="0" fontId="24" fillId="4" borderId="0" xfId="0" applyFont="1" applyFill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9" fontId="0" fillId="0" borderId="0" xfId="0" applyNumberFormat="1"/>
    <xf numFmtId="0" fontId="0" fillId="0" borderId="1" xfId="0" applyBorder="1"/>
    <xf numFmtId="0" fontId="26" fillId="2" borderId="1" xfId="0" applyFont="1" applyFill="1" applyBorder="1" applyAlignment="1">
      <alignment vertical="justify" wrapText="1"/>
    </xf>
    <xf numFmtId="0" fontId="26" fillId="2" borderId="1" xfId="0" applyFont="1" applyFill="1" applyBorder="1" applyAlignment="1"/>
    <xf numFmtId="0" fontId="27" fillId="0" borderId="1" xfId="0" applyFont="1" applyFill="1" applyBorder="1" applyAlignment="1"/>
    <xf numFmtId="10" fontId="0" fillId="0" borderId="1" xfId="12" applyNumberFormat="1" applyFont="1" applyBorder="1"/>
    <xf numFmtId="10" fontId="0" fillId="0" borderId="0" xfId="12" applyNumberFormat="1" applyFont="1"/>
    <xf numFmtId="10" fontId="0" fillId="0" borderId="0" xfId="0" applyNumberFormat="1"/>
    <xf numFmtId="10" fontId="0" fillId="0" borderId="1" xfId="0" applyNumberFormat="1" applyBorder="1"/>
    <xf numFmtId="1" fontId="0" fillId="0" borderId="1" xfId="0" applyNumberFormat="1" applyBorder="1"/>
    <xf numFmtId="0" fontId="25" fillId="0" borderId="0" xfId="0" applyFont="1" applyBorder="1" applyAlignment="1">
      <alignment horizontal="center"/>
    </xf>
    <xf numFmtId="1" fontId="0" fillId="0" borderId="0" xfId="0" applyNumberFormat="1" applyBorder="1"/>
    <xf numFmtId="0" fontId="27" fillId="0" borderId="0" xfId="0" applyFont="1" applyFill="1" applyBorder="1" applyAlignment="1"/>
    <xf numFmtId="0" fontId="6" fillId="0" borderId="1" xfId="7" applyFont="1" applyBorder="1"/>
    <xf numFmtId="2" fontId="0" fillId="0" borderId="1" xfId="0" applyNumberFormat="1" applyBorder="1"/>
    <xf numFmtId="0" fontId="21" fillId="7" borderId="0" xfId="0" applyFont="1" applyFill="1" applyBorder="1"/>
    <xf numFmtId="0" fontId="28" fillId="5" borderId="0" xfId="0" applyFont="1" applyFill="1"/>
    <xf numFmtId="2" fontId="0" fillId="0" borderId="0" xfId="0" applyNumberFormat="1"/>
    <xf numFmtId="0" fontId="2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90" fontId="5" fillId="0" borderId="1" xfId="0" applyNumberFormat="1" applyFont="1" applyBorder="1"/>
    <xf numFmtId="190" fontId="5" fillId="5" borderId="1" xfId="0" applyNumberFormat="1" applyFont="1" applyFill="1" applyBorder="1"/>
    <xf numFmtId="0" fontId="5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0" fontId="33" fillId="5" borderId="1" xfId="0" applyFont="1" applyFill="1" applyBorder="1"/>
    <xf numFmtId="0" fontId="35" fillId="0" borderId="1" xfId="0" applyFont="1" applyBorder="1"/>
    <xf numFmtId="0" fontId="36" fillId="0" borderId="1" xfId="0" applyFont="1" applyBorder="1"/>
    <xf numFmtId="0" fontId="25" fillId="0" borderId="5" xfId="0" applyFont="1" applyBorder="1" applyAlignment="1"/>
    <xf numFmtId="0" fontId="25" fillId="0" borderId="2" xfId="0" applyFon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0" xfId="0" applyNumberFormat="1"/>
    <xf numFmtId="2" fontId="32" fillId="0" borderId="0" xfId="0" applyNumberFormat="1" applyFont="1"/>
    <xf numFmtId="2" fontId="0" fillId="5" borderId="0" xfId="0" applyNumberFormat="1" applyFill="1"/>
    <xf numFmtId="2" fontId="0" fillId="0" borderId="1" xfId="0" applyNumberFormat="1" applyBorder="1"/>
    <xf numFmtId="2" fontId="0" fillId="5" borderId="1" xfId="0" applyNumberFormat="1" applyFill="1" applyBorder="1"/>
    <xf numFmtId="2" fontId="0" fillId="12" borderId="0" xfId="0" applyNumberFormat="1" applyFill="1"/>
    <xf numFmtId="185" fontId="0" fillId="0" borderId="0" xfId="0" applyNumberFormat="1"/>
    <xf numFmtId="167" fontId="0" fillId="0" borderId="1" xfId="0" applyNumberFormat="1" applyBorder="1"/>
    <xf numFmtId="167" fontId="5" fillId="0" borderId="1" xfId="0" applyNumberFormat="1" applyFont="1" applyBorder="1"/>
    <xf numFmtId="9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167" fontId="0" fillId="0" borderId="1" xfId="0" applyNumberFormat="1" applyBorder="1"/>
    <xf numFmtId="0" fontId="0" fillId="0" borderId="1" xfId="0" applyFill="1" applyBorder="1"/>
    <xf numFmtId="165" fontId="0" fillId="0" borderId="1" xfId="0" applyNumberFormat="1" applyBorder="1"/>
    <xf numFmtId="167" fontId="39" fillId="13" borderId="1" xfId="0" applyNumberFormat="1" applyFont="1" applyFill="1" applyBorder="1"/>
    <xf numFmtId="167" fontId="25" fillId="2" borderId="1" xfId="0" applyNumberFormat="1" applyFont="1" applyFill="1" applyBorder="1"/>
    <xf numFmtId="0" fontId="6" fillId="0" borderId="1" xfId="0" applyFont="1" applyBorder="1" applyAlignment="1">
      <alignment vertical="justify" wrapText="1"/>
    </xf>
    <xf numFmtId="0" fontId="5" fillId="14" borderId="1" xfId="0" applyFont="1" applyFill="1" applyBorder="1" applyAlignment="1">
      <alignment horizontal="center"/>
    </xf>
    <xf numFmtId="0" fontId="0" fillId="12" borderId="1" xfId="0" applyFill="1" applyBorder="1"/>
    <xf numFmtId="9" fontId="0" fillId="0" borderId="1" xfId="12" applyFont="1" applyBorder="1"/>
    <xf numFmtId="182" fontId="0" fillId="0" borderId="1" xfId="0" applyNumberFormat="1" applyBorder="1"/>
    <xf numFmtId="182" fontId="5" fillId="9" borderId="1" xfId="12" applyNumberFormat="1" applyFont="1" applyFill="1" applyBorder="1"/>
    <xf numFmtId="191" fontId="0" fillId="0" borderId="1" xfId="12" applyNumberFormat="1" applyFont="1" applyBorder="1"/>
    <xf numFmtId="192" fontId="5" fillId="9" borderId="1" xfId="12" applyNumberFormat="1" applyFont="1" applyFill="1" applyBorder="1"/>
    <xf numFmtId="0" fontId="5" fillId="0" borderId="0" xfId="0" applyFont="1"/>
    <xf numFmtId="191" fontId="0" fillId="0" borderId="1" xfId="0" applyNumberFormat="1" applyBorder="1"/>
    <xf numFmtId="0" fontId="40" fillId="2" borderId="1" xfId="0" applyFont="1" applyFill="1" applyBorder="1" applyAlignment="1">
      <alignment horizontal="left"/>
    </xf>
    <xf numFmtId="10" fontId="5" fillId="0" borderId="1" xfId="12" applyNumberFormat="1" applyFont="1" applyBorder="1"/>
    <xf numFmtId="0" fontId="31" fillId="2" borderId="1" xfId="0" applyFont="1" applyFill="1" applyBorder="1" applyAlignment="1">
      <alignment horizontal="left"/>
    </xf>
    <xf numFmtId="10" fontId="5" fillId="0" borderId="1" xfId="0" applyNumberFormat="1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2" fontId="5" fillId="0" borderId="1" xfId="0" applyNumberFormat="1" applyFont="1" applyBorder="1"/>
    <xf numFmtId="0" fontId="6" fillId="0" borderId="1" xfId="0" applyFont="1" applyBorder="1"/>
    <xf numFmtId="2" fontId="0" fillId="0" borderId="9" xfId="0" applyNumberFormat="1" applyBorder="1"/>
    <xf numFmtId="0" fontId="34" fillId="0" borderId="1" xfId="0" applyFont="1" applyBorder="1"/>
    <xf numFmtId="2" fontId="34" fillId="0" borderId="9" xfId="0" applyNumberFormat="1" applyFont="1" applyFill="1" applyBorder="1"/>
    <xf numFmtId="0" fontId="25" fillId="0" borderId="1" xfId="0" applyFont="1" applyBorder="1"/>
    <xf numFmtId="2" fontId="25" fillId="0" borderId="9" xfId="0" applyNumberFormat="1" applyFont="1" applyBorder="1"/>
    <xf numFmtId="0" fontId="5" fillId="15" borderId="1" xfId="0" applyFont="1" applyFill="1" applyBorder="1"/>
    <xf numFmtId="2" fontId="5" fillId="15" borderId="9" xfId="0" applyNumberFormat="1" applyFont="1" applyFill="1" applyBorder="1"/>
    <xf numFmtId="0" fontId="5" fillId="10" borderId="1" xfId="0" applyFont="1" applyFill="1" applyBorder="1"/>
    <xf numFmtId="2" fontId="5" fillId="10" borderId="9" xfId="0" applyNumberFormat="1" applyFont="1" applyFill="1" applyBorder="1"/>
    <xf numFmtId="0" fontId="0" fillId="0" borderId="9" xfId="0" applyBorder="1"/>
    <xf numFmtId="2" fontId="6" fillId="0" borderId="1" xfId="0" applyNumberFormat="1" applyFont="1" applyBorder="1"/>
    <xf numFmtId="0" fontId="5" fillId="16" borderId="1" xfId="0" applyFont="1" applyFill="1" applyBorder="1"/>
    <xf numFmtId="167" fontId="5" fillId="16" borderId="1" xfId="0" applyNumberFormat="1" applyFont="1" applyFill="1" applyBorder="1"/>
    <xf numFmtId="0" fontId="5" fillId="0" borderId="1" xfId="0" applyFont="1" applyFill="1" applyBorder="1"/>
    <xf numFmtId="193" fontId="0" fillId="0" borderId="0" xfId="0" applyNumberFormat="1"/>
    <xf numFmtId="193" fontId="5" fillId="0" borderId="1" xfId="0" applyNumberFormat="1" applyFont="1" applyBorder="1"/>
    <xf numFmtId="0" fontId="0" fillId="0" borderId="1" xfId="0" applyBorder="1" applyAlignment="1">
      <alignment horizontal="right"/>
    </xf>
    <xf numFmtId="180" fontId="0" fillId="0" borderId="1" xfId="0" applyNumberFormat="1" applyBorder="1"/>
    <xf numFmtId="180" fontId="0" fillId="0" borderId="0" xfId="0" applyNumberFormat="1" applyBorder="1"/>
    <xf numFmtId="0" fontId="0" fillId="0" borderId="5" xfId="0" applyFill="1" applyBorder="1"/>
    <xf numFmtId="192" fontId="0" fillId="0" borderId="0" xfId="12" applyNumberFormat="1" applyFont="1"/>
    <xf numFmtId="185" fontId="0" fillId="0" borderId="0" xfId="0" applyNumberFormat="1" applyBorder="1"/>
    <xf numFmtId="167" fontId="25" fillId="0" borderId="1" xfId="0" applyNumberFormat="1" applyFont="1" applyBorder="1"/>
    <xf numFmtId="167" fontId="0" fillId="12" borderId="1" xfId="0" applyNumberFormat="1" applyFill="1" applyBorder="1"/>
    <xf numFmtId="2" fontId="34" fillId="0" borderId="1" xfId="0" applyNumberFormat="1" applyFont="1" applyBorder="1"/>
    <xf numFmtId="0" fontId="6" fillId="15" borderId="1" xfId="0" applyFont="1" applyFill="1" applyBorder="1"/>
    <xf numFmtId="0" fontId="0" fillId="15" borderId="1" xfId="0" applyFill="1" applyBorder="1"/>
    <xf numFmtId="2" fontId="0" fillId="15" borderId="1" xfId="0" applyNumberFormat="1" applyFill="1" applyBorder="1"/>
    <xf numFmtId="0" fontId="6" fillId="10" borderId="1" xfId="0" applyFont="1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5" fillId="12" borderId="1" xfId="0" applyFont="1" applyFill="1" applyBorder="1"/>
    <xf numFmtId="1" fontId="0" fillId="0" borderId="1" xfId="0" applyNumberFormat="1" applyBorder="1"/>
    <xf numFmtId="2" fontId="5" fillId="0" borderId="1" xfId="0" applyNumberFormat="1" applyFont="1" applyFill="1" applyBorder="1"/>
    <xf numFmtId="9" fontId="1" fillId="0" borderId="1" xfId="0" applyNumberFormat="1" applyFont="1" applyBorder="1"/>
    <xf numFmtId="2" fontId="1" fillId="0" borderId="1" xfId="0" applyNumberFormat="1" applyFont="1" applyBorder="1"/>
    <xf numFmtId="10" fontId="1" fillId="0" borderId="1" xfId="12" applyNumberFormat="1" applyFont="1" applyBorder="1"/>
    <xf numFmtId="0" fontId="1" fillId="0" borderId="1" xfId="0" applyFont="1" applyBorder="1"/>
    <xf numFmtId="9" fontId="5" fillId="16" borderId="1" xfId="0" applyNumberFormat="1" applyFont="1" applyFill="1" applyBorder="1"/>
    <xf numFmtId="2" fontId="5" fillId="16" borderId="1" xfId="0" applyNumberFormat="1" applyFont="1" applyFill="1" applyBorder="1"/>
    <xf numFmtId="10" fontId="5" fillId="16" borderId="1" xfId="12" applyNumberFormat="1" applyFont="1" applyFill="1" applyBorder="1"/>
    <xf numFmtId="9" fontId="5" fillId="0" borderId="1" xfId="0" applyNumberFormat="1" applyFont="1" applyBorder="1"/>
    <xf numFmtId="0" fontId="0" fillId="0" borderId="0" xfId="0" applyBorder="1" applyAlignment="1"/>
    <xf numFmtId="9" fontId="0" fillId="0" borderId="0" xfId="0" applyNumberFormat="1" applyBorder="1"/>
    <xf numFmtId="2" fontId="0" fillId="0" borderId="0" xfId="0" applyNumberFormat="1" applyBorder="1"/>
    <xf numFmtId="9" fontId="0" fillId="0" borderId="0" xfId="12" applyFont="1" applyBorder="1"/>
    <xf numFmtId="0" fontId="27" fillId="0" borderId="1" xfId="0" applyFont="1" applyBorder="1" applyAlignment="1">
      <alignment horizontal="left"/>
    </xf>
    <xf numFmtId="2" fontId="1" fillId="0" borderId="1" xfId="0" applyNumberFormat="1" applyFont="1" applyFill="1" applyBorder="1"/>
    <xf numFmtId="9" fontId="1" fillId="0" borderId="1" xfId="0" applyNumberFormat="1" applyFont="1" applyFill="1" applyBorder="1"/>
    <xf numFmtId="10" fontId="1" fillId="0" borderId="1" xfId="12" applyNumberFormat="1" applyFont="1" applyFill="1" applyBorder="1"/>
    <xf numFmtId="0" fontId="1" fillId="0" borderId="1" xfId="0" applyFont="1" applyFill="1" applyBorder="1"/>
    <xf numFmtId="9" fontId="5" fillId="0" borderId="1" xfId="12" applyFont="1" applyBorder="1"/>
    <xf numFmtId="0" fontId="5" fillId="0" borderId="0" xfId="0" applyFont="1" applyBorder="1" applyAlignment="1">
      <alignment horizontal="center" wrapText="1"/>
    </xf>
    <xf numFmtId="9" fontId="5" fillId="0" borderId="0" xfId="0" applyNumberFormat="1" applyFont="1" applyBorder="1"/>
    <xf numFmtId="2" fontId="5" fillId="0" borderId="0" xfId="0" applyNumberFormat="1" applyFont="1" applyBorder="1"/>
    <xf numFmtId="0" fontId="5" fillId="0" borderId="0" xfId="0" applyFont="1" applyBorder="1"/>
    <xf numFmtId="179" fontId="10" fillId="0" borderId="8" xfId="2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5" xfId="0" applyFill="1" applyBorder="1"/>
    <xf numFmtId="0" fontId="0" fillId="0" borderId="0" xfId="0" applyBorder="1"/>
    <xf numFmtId="0" fontId="6" fillId="0" borderId="1" xfId="0" applyFont="1" applyFill="1" applyBorder="1"/>
    <xf numFmtId="2" fontId="36" fillId="0" borderId="1" xfId="0" applyNumberFormat="1" applyFont="1" applyBorder="1"/>
    <xf numFmtId="10" fontId="0" fillId="0" borderId="1" xfId="12" applyNumberFormat="1" applyFont="1" applyBorder="1"/>
    <xf numFmtId="9" fontId="5" fillId="13" borderId="1" xfId="0" applyNumberFormat="1" applyFont="1" applyFill="1" applyBorder="1"/>
    <xf numFmtId="2" fontId="5" fillId="13" borderId="1" xfId="0" applyNumberFormat="1" applyFont="1" applyFill="1" applyBorder="1"/>
    <xf numFmtId="10" fontId="0" fillId="13" borderId="1" xfId="12" applyNumberFormat="1" applyFont="1" applyFill="1" applyBorder="1"/>
    <xf numFmtId="0" fontId="5" fillId="13" borderId="1" xfId="0" applyFont="1" applyFill="1" applyBorder="1"/>
    <xf numFmtId="0" fontId="3" fillId="0" borderId="10" xfId="0" applyFont="1" applyBorder="1"/>
    <xf numFmtId="0" fontId="5" fillId="0" borderId="1" xfId="0" applyNumberFormat="1" applyFont="1" applyFill="1" applyBorder="1" applyAlignment="1" applyProtection="1">
      <alignment horizontal="center"/>
    </xf>
    <xf numFmtId="167" fontId="5" fillId="0" borderId="1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167" fontId="6" fillId="5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6" borderId="1" xfId="4" applyFont="1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1" fillId="17" borderId="0" xfId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11" borderId="0" xfId="0" applyNumberFormat="1" applyFont="1" applyFill="1" applyBorder="1" applyAlignment="1" applyProtection="1">
      <alignment horizontal="center"/>
    </xf>
    <xf numFmtId="0" fontId="5" fillId="11" borderId="0" xfId="6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4" fillId="0" borderId="4" xfId="0" applyFont="1" applyBorder="1" applyAlignment="1">
      <alignment horizontal="center" wrapText="1"/>
    </xf>
    <xf numFmtId="0" fontId="34" fillId="0" borderId="5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13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</cellXfs>
  <cellStyles count="13">
    <cellStyle name="Buena" xfId="1" builtinId="26"/>
    <cellStyle name="Millares" xfId="2" builtinId="3"/>
    <cellStyle name="Normal" xfId="0" builtinId="0"/>
    <cellStyle name="Normal 10" xfId="3"/>
    <cellStyle name="Normal 12" xfId="4"/>
    <cellStyle name="Normal 13" xfId="5"/>
    <cellStyle name="Normal 3" xfId="6"/>
    <cellStyle name="Normal 4" xfId="7"/>
    <cellStyle name="Normal 5" xfId="8"/>
    <cellStyle name="Normal 6" xfId="9"/>
    <cellStyle name="Normal 8" xfId="10"/>
    <cellStyle name="Normal 9" xfId="11"/>
    <cellStyle name="Porcentual" xfId="1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6"/>
  <sheetViews>
    <sheetView topLeftCell="D31" workbookViewId="0">
      <selection activeCell="G45" sqref="G45"/>
    </sheetView>
  </sheetViews>
  <sheetFormatPr baseColWidth="10" defaultRowHeight="15"/>
  <cols>
    <col min="4" max="4" width="30.85546875" customWidth="1"/>
    <col min="5" max="5" width="30.7109375" customWidth="1"/>
    <col min="6" max="6" width="18.7109375" customWidth="1"/>
    <col min="7" max="7" width="17.5703125" customWidth="1"/>
    <col min="8" max="8" width="15.5703125" customWidth="1"/>
    <col min="9" max="9" width="13.85546875" customWidth="1"/>
    <col min="10" max="10" width="17" customWidth="1"/>
    <col min="11" max="11" width="18.42578125" customWidth="1"/>
    <col min="12" max="12" width="9.85546875" customWidth="1"/>
    <col min="13" max="13" width="17.42578125" customWidth="1"/>
  </cols>
  <sheetData>
    <row r="3" spans="1:8">
      <c r="C3" s="11"/>
      <c r="D3" s="220" t="s">
        <v>84</v>
      </c>
      <c r="E3" s="220"/>
      <c r="F3" s="220"/>
      <c r="G3" s="220"/>
      <c r="H3" s="220"/>
    </row>
    <row r="4" spans="1:8">
      <c r="C4" s="11"/>
      <c r="D4" s="24" t="s">
        <v>85</v>
      </c>
      <c r="E4" s="215" t="s">
        <v>2</v>
      </c>
      <c r="F4" s="215" t="s">
        <v>3</v>
      </c>
      <c r="G4" s="215" t="s">
        <v>4</v>
      </c>
      <c r="H4" s="215" t="s">
        <v>86</v>
      </c>
    </row>
    <row r="5" spans="1:8">
      <c r="C5" s="39"/>
      <c r="D5" s="41" t="s">
        <v>87</v>
      </c>
      <c r="E5" s="13"/>
      <c r="F5" s="54">
        <f>SUM(F6:F12)</f>
        <v>3310</v>
      </c>
      <c r="G5" s="54">
        <f>SUM(G6:G12)</f>
        <v>6190</v>
      </c>
      <c r="H5" s="54">
        <f>SUM(H6:H12)</f>
        <v>39720</v>
      </c>
    </row>
    <row r="6" spans="1:8">
      <c r="C6" s="11"/>
      <c r="D6" s="214" t="s">
        <v>6</v>
      </c>
      <c r="E6" s="13">
        <f>'Estructura y Abministracion'!D6</f>
        <v>1</v>
      </c>
      <c r="F6" s="13">
        <f>'Estructura y Abministracion'!E6</f>
        <v>750</v>
      </c>
      <c r="G6" s="83">
        <f>F6*E6</f>
        <v>750</v>
      </c>
      <c r="H6" s="13">
        <f t="shared" ref="H6:H12" si="0">F6*12</f>
        <v>9000</v>
      </c>
    </row>
    <row r="7" spans="1:8">
      <c r="C7" s="11"/>
      <c r="D7" s="214" t="s">
        <v>7</v>
      </c>
      <c r="E7" s="13">
        <f>'Estructura y Abministracion'!D7</f>
        <v>1</v>
      </c>
      <c r="F7" s="13">
        <f>'Estructura y Abministracion'!E7</f>
        <v>600</v>
      </c>
      <c r="G7" s="83">
        <f t="shared" ref="G7:G12" si="1">F7*E7</f>
        <v>600</v>
      </c>
      <c r="H7" s="13">
        <f t="shared" si="0"/>
        <v>7200</v>
      </c>
    </row>
    <row r="8" spans="1:8">
      <c r="C8" s="11"/>
      <c r="D8" s="214" t="s">
        <v>8</v>
      </c>
      <c r="E8" s="13">
        <f>'Estructura y Abministracion'!D8</f>
        <v>1</v>
      </c>
      <c r="F8" s="13">
        <f>'Estructura y Abministracion'!E8</f>
        <v>600</v>
      </c>
      <c r="G8" s="83">
        <f t="shared" si="1"/>
        <v>600</v>
      </c>
      <c r="H8" s="13">
        <f t="shared" si="0"/>
        <v>7200</v>
      </c>
    </row>
    <row r="9" spans="1:8">
      <c r="C9" s="11"/>
      <c r="D9" s="214" t="s">
        <v>9</v>
      </c>
      <c r="E9" s="13">
        <f>'Estructura y Abministracion'!D9</f>
        <v>1</v>
      </c>
      <c r="F9" s="13">
        <f>'Estructura y Abministracion'!E9</f>
        <v>600</v>
      </c>
      <c r="G9" s="83">
        <f t="shared" si="1"/>
        <v>600</v>
      </c>
      <c r="H9" s="13">
        <f t="shared" si="0"/>
        <v>7200</v>
      </c>
    </row>
    <row r="10" spans="1:8">
      <c r="C10" s="2"/>
      <c r="D10" s="214" t="s">
        <v>10</v>
      </c>
      <c r="E10" s="13">
        <f>'Estructura y Abministracion'!D10</f>
        <v>4</v>
      </c>
      <c r="F10" s="13">
        <f>'Estructura y Abministracion'!E10</f>
        <v>240</v>
      </c>
      <c r="G10" s="83">
        <f t="shared" si="1"/>
        <v>960</v>
      </c>
      <c r="H10" s="13">
        <f t="shared" si="0"/>
        <v>2880</v>
      </c>
    </row>
    <row r="11" spans="1:8">
      <c r="C11" s="40"/>
      <c r="D11" s="214" t="s">
        <v>11</v>
      </c>
      <c r="E11" s="13">
        <f>'Estructura y Abministracion'!D11</f>
        <v>10</v>
      </c>
      <c r="F11" s="13">
        <f>'Estructura y Abministracion'!E11</f>
        <v>240</v>
      </c>
      <c r="G11" s="83">
        <f t="shared" si="1"/>
        <v>2400</v>
      </c>
      <c r="H11" s="13">
        <f t="shared" si="0"/>
        <v>2880</v>
      </c>
    </row>
    <row r="12" spans="1:8">
      <c r="C12" s="11"/>
      <c r="D12" s="214" t="s">
        <v>12</v>
      </c>
      <c r="E12" s="13">
        <f>'Estructura y Abministracion'!D12</f>
        <v>1</v>
      </c>
      <c r="F12" s="13">
        <f>'Estructura y Abministracion'!E12</f>
        <v>280</v>
      </c>
      <c r="G12" s="83">
        <f t="shared" si="1"/>
        <v>280</v>
      </c>
      <c r="H12" s="13">
        <f t="shared" si="0"/>
        <v>3360</v>
      </c>
    </row>
    <row r="13" spans="1:8">
      <c r="C13" s="11"/>
      <c r="D13" s="41" t="s">
        <v>88</v>
      </c>
      <c r="E13" s="13"/>
      <c r="F13" s="216">
        <f>SUM(F14:F16)</f>
        <v>620.4</v>
      </c>
      <c r="G13" s="216">
        <f>SUM(G14:G16)</f>
        <v>620.4</v>
      </c>
      <c r="H13" s="217">
        <f>G13*12</f>
        <v>7444.7999999999993</v>
      </c>
    </row>
    <row r="14" spans="1:8">
      <c r="A14" s="83"/>
      <c r="B14" s="13" t="s">
        <v>89</v>
      </c>
      <c r="D14" s="11" t="s">
        <v>90</v>
      </c>
      <c r="E14" s="13">
        <v>15200</v>
      </c>
      <c r="F14" s="218">
        <f>K36</f>
        <v>491.4</v>
      </c>
      <c r="G14" s="219">
        <f>F14</f>
        <v>491.4</v>
      </c>
      <c r="H14" s="219">
        <f>G14*12</f>
        <v>5896.7999999999993</v>
      </c>
    </row>
    <row r="15" spans="1:8">
      <c r="A15" s="83" t="s">
        <v>109</v>
      </c>
      <c r="B15" s="13">
        <v>0.08</v>
      </c>
      <c r="D15" s="11" t="s">
        <v>91</v>
      </c>
      <c r="E15" s="13"/>
      <c r="F15" s="13">
        <f>B16*0.45</f>
        <v>9</v>
      </c>
      <c r="G15" s="13">
        <f>F15</f>
        <v>9</v>
      </c>
      <c r="H15" s="13">
        <f>G15*12</f>
        <v>108</v>
      </c>
    </row>
    <row r="16" spans="1:8">
      <c r="A16" s="83" t="s">
        <v>110</v>
      </c>
      <c r="B16" s="13">
        <v>20</v>
      </c>
      <c r="D16" s="11" t="s">
        <v>92</v>
      </c>
      <c r="E16" s="13">
        <v>2</v>
      </c>
      <c r="F16" s="13">
        <f>60*E16</f>
        <v>120</v>
      </c>
      <c r="G16" s="13">
        <f>F16</f>
        <v>120</v>
      </c>
      <c r="H16" s="13">
        <f>G16*12</f>
        <v>1440</v>
      </c>
    </row>
    <row r="17" spans="3:13">
      <c r="C17" s="11"/>
      <c r="D17" s="42" t="s">
        <v>93</v>
      </c>
      <c r="E17" s="13"/>
      <c r="F17" s="216">
        <f>F5+F13</f>
        <v>3930.4</v>
      </c>
      <c r="G17" s="216">
        <f>G5+G13</f>
        <v>6810.4</v>
      </c>
      <c r="H17" s="216">
        <f>H5+H13</f>
        <v>47164.800000000003</v>
      </c>
    </row>
    <row r="20" spans="3:13">
      <c r="E20" s="43"/>
      <c r="F20" s="43"/>
      <c r="G20" s="221" t="s">
        <v>95</v>
      </c>
      <c r="H20" s="221"/>
      <c r="I20" s="43"/>
      <c r="J20" s="43"/>
      <c r="K20" s="43"/>
      <c r="L20" s="43"/>
      <c r="M20" s="43"/>
    </row>
    <row r="21" spans="3:13">
      <c r="E21" s="44"/>
      <c r="F21" s="46" t="s">
        <v>96</v>
      </c>
      <c r="G21" s="44"/>
      <c r="H21" s="44"/>
      <c r="I21" s="44"/>
      <c r="J21" s="44"/>
      <c r="K21" s="44"/>
      <c r="L21" s="44"/>
      <c r="M21" s="44"/>
    </row>
    <row r="22" spans="3:13">
      <c r="E22" s="44"/>
      <c r="F22" s="45" t="s">
        <v>97</v>
      </c>
      <c r="G22" s="45" t="s">
        <v>98</v>
      </c>
      <c r="H22" s="45" t="s">
        <v>99</v>
      </c>
      <c r="I22" s="45" t="s">
        <v>100</v>
      </c>
      <c r="J22" s="45" t="s">
        <v>101</v>
      </c>
      <c r="K22" s="45" t="s">
        <v>102</v>
      </c>
      <c r="L22" s="45" t="s">
        <v>103</v>
      </c>
      <c r="M22" s="45" t="s">
        <v>104</v>
      </c>
    </row>
    <row r="23" spans="3:13">
      <c r="E23" t="s">
        <v>105</v>
      </c>
      <c r="F23" s="48">
        <v>2</v>
      </c>
      <c r="G23">
        <v>8</v>
      </c>
      <c r="H23">
        <f>G23*F23</f>
        <v>16</v>
      </c>
      <c r="I23">
        <f>H23*30</f>
        <v>480</v>
      </c>
      <c r="J23">
        <v>0.09</v>
      </c>
      <c r="K23">
        <f>J23*I23</f>
        <v>43.199999999999996</v>
      </c>
      <c r="L23">
        <f>I23*12</f>
        <v>5760</v>
      </c>
      <c r="M23">
        <f>L23*J23</f>
        <v>518.4</v>
      </c>
    </row>
    <row r="24" spans="3:13">
      <c r="E24" s="30" t="s">
        <v>69</v>
      </c>
      <c r="F24" s="31">
        <f>'Equipo de ofic y planta'!C47</f>
        <v>1</v>
      </c>
      <c r="G24">
        <v>8</v>
      </c>
      <c r="H24">
        <f t="shared" ref="H24:H35" si="2">G24*F24</f>
        <v>8</v>
      </c>
      <c r="I24">
        <f t="shared" ref="I24:I35" si="3">H24*30</f>
        <v>240</v>
      </c>
      <c r="J24">
        <v>0.09</v>
      </c>
      <c r="K24">
        <f t="shared" ref="K24:K35" si="4">J24*I24</f>
        <v>21.599999999999998</v>
      </c>
      <c r="L24">
        <f>I24*12</f>
        <v>2880</v>
      </c>
      <c r="M24">
        <f t="shared" ref="M24:M35" si="5">L24*J24</f>
        <v>259.2</v>
      </c>
    </row>
    <row r="25" spans="3:13">
      <c r="E25" s="30" t="s">
        <v>70</v>
      </c>
      <c r="F25" s="31">
        <f>'Equipo de ofic y planta'!C48</f>
        <v>1</v>
      </c>
      <c r="G25">
        <v>8</v>
      </c>
      <c r="H25">
        <f t="shared" si="2"/>
        <v>8</v>
      </c>
      <c r="I25">
        <f t="shared" si="3"/>
        <v>240</v>
      </c>
      <c r="J25">
        <v>0.09</v>
      </c>
      <c r="K25">
        <f t="shared" si="4"/>
        <v>21.599999999999998</v>
      </c>
      <c r="L25">
        <f t="shared" ref="L25:L35" si="6">I25*12</f>
        <v>2880</v>
      </c>
      <c r="M25">
        <f t="shared" si="5"/>
        <v>259.2</v>
      </c>
    </row>
    <row r="26" spans="3:13">
      <c r="E26" s="30" t="s">
        <v>71</v>
      </c>
      <c r="F26" s="31">
        <f>'Equipo de ofic y planta'!C49</f>
        <v>1</v>
      </c>
      <c r="G26">
        <v>2</v>
      </c>
      <c r="H26">
        <f t="shared" si="2"/>
        <v>2</v>
      </c>
      <c r="I26">
        <f t="shared" si="3"/>
        <v>60</v>
      </c>
      <c r="J26">
        <v>0.09</v>
      </c>
      <c r="K26">
        <f t="shared" si="4"/>
        <v>5.3999999999999995</v>
      </c>
      <c r="L26">
        <f t="shared" si="6"/>
        <v>720</v>
      </c>
      <c r="M26">
        <f t="shared" si="5"/>
        <v>64.8</v>
      </c>
    </row>
    <row r="27" spans="3:13">
      <c r="E27" s="30" t="s">
        <v>72</v>
      </c>
      <c r="F27" s="31">
        <f>'Equipo de ofic y planta'!C50</f>
        <v>1</v>
      </c>
      <c r="G27">
        <v>8</v>
      </c>
      <c r="H27">
        <f t="shared" si="2"/>
        <v>8</v>
      </c>
      <c r="I27">
        <f t="shared" si="3"/>
        <v>240</v>
      </c>
      <c r="J27">
        <v>0.09</v>
      </c>
      <c r="K27">
        <f t="shared" si="4"/>
        <v>21.599999999999998</v>
      </c>
      <c r="L27">
        <f t="shared" si="6"/>
        <v>2880</v>
      </c>
      <c r="M27">
        <f t="shared" si="5"/>
        <v>259.2</v>
      </c>
    </row>
    <row r="28" spans="3:13">
      <c r="E28" s="30" t="s">
        <v>73</v>
      </c>
      <c r="F28" s="31">
        <f>'Equipo de ofic y planta'!C51</f>
        <v>1</v>
      </c>
      <c r="G28">
        <v>8</v>
      </c>
      <c r="H28">
        <f t="shared" si="2"/>
        <v>8</v>
      </c>
      <c r="I28">
        <f t="shared" si="3"/>
        <v>240</v>
      </c>
      <c r="J28">
        <v>0.09</v>
      </c>
      <c r="K28">
        <f t="shared" si="4"/>
        <v>21.599999999999998</v>
      </c>
      <c r="L28">
        <f t="shared" si="6"/>
        <v>2880</v>
      </c>
      <c r="M28">
        <f t="shared" si="5"/>
        <v>259.2</v>
      </c>
    </row>
    <row r="29" spans="3:13">
      <c r="E29" s="30" t="s">
        <v>74</v>
      </c>
      <c r="F29" s="31">
        <f>'Equipo de ofic y planta'!C52</f>
        <v>0</v>
      </c>
      <c r="G29">
        <v>8</v>
      </c>
      <c r="H29">
        <f t="shared" si="2"/>
        <v>0</v>
      </c>
      <c r="I29">
        <f t="shared" si="3"/>
        <v>0</v>
      </c>
      <c r="J29">
        <v>0.09</v>
      </c>
      <c r="K29">
        <f t="shared" si="4"/>
        <v>0</v>
      </c>
      <c r="L29">
        <f t="shared" si="6"/>
        <v>0</v>
      </c>
      <c r="M29">
        <f t="shared" si="5"/>
        <v>0</v>
      </c>
    </row>
    <row r="30" spans="3:13">
      <c r="E30" s="30" t="s">
        <v>75</v>
      </c>
      <c r="F30" s="31">
        <f>'Equipo de ofic y planta'!C53</f>
        <v>4</v>
      </c>
      <c r="G30">
        <v>8</v>
      </c>
      <c r="H30">
        <f t="shared" si="2"/>
        <v>32</v>
      </c>
      <c r="I30">
        <f t="shared" si="3"/>
        <v>960</v>
      </c>
      <c r="J30">
        <v>0.09</v>
      </c>
      <c r="K30">
        <f t="shared" si="4"/>
        <v>86.399999999999991</v>
      </c>
      <c r="L30">
        <f t="shared" si="6"/>
        <v>11520</v>
      </c>
      <c r="M30">
        <f t="shared" si="5"/>
        <v>1036.8</v>
      </c>
    </row>
    <row r="31" spans="3:13">
      <c r="E31" s="30" t="s">
        <v>76</v>
      </c>
      <c r="F31" s="31">
        <f>'Equipo de ofic y planta'!C54</f>
        <v>4</v>
      </c>
      <c r="G31">
        <v>8</v>
      </c>
      <c r="H31">
        <f t="shared" si="2"/>
        <v>32</v>
      </c>
      <c r="I31">
        <f t="shared" si="3"/>
        <v>960</v>
      </c>
      <c r="J31">
        <v>0.09</v>
      </c>
      <c r="K31">
        <f t="shared" si="4"/>
        <v>86.399999999999991</v>
      </c>
      <c r="L31">
        <f t="shared" si="6"/>
        <v>11520</v>
      </c>
      <c r="M31">
        <f t="shared" si="5"/>
        <v>1036.8</v>
      </c>
    </row>
    <row r="32" spans="3:13">
      <c r="E32" s="30" t="s">
        <v>77</v>
      </c>
      <c r="F32" s="31">
        <f>'Equipo de ofic y planta'!C55</f>
        <v>3</v>
      </c>
      <c r="G32">
        <v>8</v>
      </c>
      <c r="H32">
        <f t="shared" si="2"/>
        <v>24</v>
      </c>
      <c r="I32">
        <f t="shared" si="3"/>
        <v>720</v>
      </c>
      <c r="J32">
        <v>0.09</v>
      </c>
      <c r="K32">
        <f t="shared" si="4"/>
        <v>64.8</v>
      </c>
      <c r="L32">
        <f t="shared" si="6"/>
        <v>8640</v>
      </c>
      <c r="M32">
        <f t="shared" si="5"/>
        <v>777.6</v>
      </c>
    </row>
    <row r="33" spans="4:13">
      <c r="E33" s="30" t="s">
        <v>78</v>
      </c>
      <c r="F33" s="31">
        <f>'Equipo de ofic y planta'!C56</f>
        <v>3</v>
      </c>
      <c r="G33">
        <v>8</v>
      </c>
      <c r="H33">
        <f t="shared" si="2"/>
        <v>24</v>
      </c>
      <c r="I33">
        <f t="shared" si="3"/>
        <v>720</v>
      </c>
      <c r="J33">
        <v>0.09</v>
      </c>
      <c r="K33">
        <f t="shared" si="4"/>
        <v>64.8</v>
      </c>
      <c r="L33">
        <f t="shared" si="6"/>
        <v>8640</v>
      </c>
      <c r="M33">
        <f t="shared" si="5"/>
        <v>777.6</v>
      </c>
    </row>
    <row r="34" spans="4:13">
      <c r="E34" s="47" t="s">
        <v>106</v>
      </c>
      <c r="F34" s="31">
        <v>1</v>
      </c>
      <c r="G34">
        <v>12</v>
      </c>
      <c r="H34">
        <f t="shared" si="2"/>
        <v>12</v>
      </c>
      <c r="I34">
        <f t="shared" si="3"/>
        <v>360</v>
      </c>
      <c r="J34">
        <v>0.09</v>
      </c>
      <c r="K34">
        <f t="shared" si="4"/>
        <v>32.4</v>
      </c>
      <c r="L34">
        <f t="shared" si="6"/>
        <v>4320</v>
      </c>
      <c r="M34">
        <f t="shared" si="5"/>
        <v>388.8</v>
      </c>
    </row>
    <row r="35" spans="4:13">
      <c r="E35" s="47" t="s">
        <v>107</v>
      </c>
      <c r="F35" s="31">
        <f>'Equipo de ofic y planta'!C58</f>
        <v>1</v>
      </c>
      <c r="G35">
        <v>8</v>
      </c>
      <c r="H35">
        <f t="shared" si="2"/>
        <v>8</v>
      </c>
      <c r="I35">
        <f t="shared" si="3"/>
        <v>240</v>
      </c>
      <c r="J35">
        <v>0.09</v>
      </c>
      <c r="K35">
        <f t="shared" si="4"/>
        <v>21.599999999999998</v>
      </c>
      <c r="L35">
        <f t="shared" si="6"/>
        <v>2880</v>
      </c>
      <c r="M35">
        <f t="shared" si="5"/>
        <v>259.2</v>
      </c>
    </row>
    <row r="36" spans="4:13">
      <c r="F36" t="s">
        <v>108</v>
      </c>
      <c r="K36" s="49">
        <f>SUM(K23:K35)</f>
        <v>491.4</v>
      </c>
      <c r="M36" s="49">
        <f>SUM(M23:M35)</f>
        <v>5896.8000000000011</v>
      </c>
    </row>
    <row r="40" spans="4:13">
      <c r="D40" t="s">
        <v>111</v>
      </c>
    </row>
    <row r="41" spans="4:13">
      <c r="D41" t="s">
        <v>112</v>
      </c>
      <c r="E41" t="s">
        <v>113</v>
      </c>
      <c r="F41" t="s">
        <v>2</v>
      </c>
      <c r="G41" t="s">
        <v>3</v>
      </c>
      <c r="H41" t="s">
        <v>4</v>
      </c>
      <c r="I41" t="s">
        <v>86</v>
      </c>
    </row>
    <row r="42" spans="4:13">
      <c r="D42" t="s">
        <v>119</v>
      </c>
      <c r="E42" t="s">
        <v>114</v>
      </c>
      <c r="F42">
        <v>10</v>
      </c>
      <c r="G42">
        <v>320</v>
      </c>
      <c r="H42">
        <f>G42</f>
        <v>320</v>
      </c>
      <c r="I42">
        <f>H42*12</f>
        <v>3840</v>
      </c>
    </row>
    <row r="43" spans="4:13">
      <c r="D43" t="s">
        <v>115</v>
      </c>
      <c r="E43" t="s">
        <v>116</v>
      </c>
      <c r="F43">
        <v>10</v>
      </c>
      <c r="G43">
        <v>480</v>
      </c>
      <c r="H43">
        <f>G43</f>
        <v>480</v>
      </c>
      <c r="I43">
        <f>H43*12</f>
        <v>5760</v>
      </c>
    </row>
    <row r="44" spans="4:13">
      <c r="D44" t="s">
        <v>120</v>
      </c>
      <c r="F44">
        <v>400</v>
      </c>
      <c r="G44">
        <f>4*30</f>
        <v>120</v>
      </c>
      <c r="H44">
        <f>G44</f>
        <v>120</v>
      </c>
      <c r="I44">
        <f>H44*12</f>
        <v>1440</v>
      </c>
    </row>
    <row r="45" spans="4:13">
      <c r="D45" t="s">
        <v>117</v>
      </c>
      <c r="F45">
        <v>6</v>
      </c>
      <c r="G45">
        <v>300</v>
      </c>
      <c r="H45">
        <f>G45*F45</f>
        <v>1800</v>
      </c>
      <c r="I45">
        <f>H45*12</f>
        <v>21600</v>
      </c>
    </row>
    <row r="46" spans="4:13">
      <c r="D46" s="50" t="s">
        <v>118</v>
      </c>
      <c r="H46">
        <f>SUM(H42:H45)</f>
        <v>2720</v>
      </c>
      <c r="I46">
        <f>SUM(I42:I45)</f>
        <v>32640</v>
      </c>
    </row>
  </sheetData>
  <mergeCells count="2">
    <mergeCell ref="D3:H3"/>
    <mergeCell ref="G20:H20"/>
  </mergeCells>
  <phoneticPr fontId="0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3:I28"/>
  <sheetViews>
    <sheetView tabSelected="1" topLeftCell="B3" workbookViewId="0">
      <selection activeCell="J24" sqref="J24"/>
    </sheetView>
  </sheetViews>
  <sheetFormatPr baseColWidth="10" defaultRowHeight="15"/>
  <cols>
    <col min="3" max="3" width="29.42578125" customWidth="1"/>
    <col min="4" max="4" width="16.5703125" customWidth="1"/>
  </cols>
  <sheetData>
    <row r="3" spans="2:9">
      <c r="C3" s="254" t="s">
        <v>406</v>
      </c>
      <c r="D3" s="254"/>
      <c r="E3" s="254"/>
      <c r="F3" s="254"/>
      <c r="G3" s="254"/>
      <c r="H3" s="254"/>
      <c r="I3" s="254"/>
    </row>
    <row r="5" spans="2:9">
      <c r="C5" s="52" t="s">
        <v>113</v>
      </c>
      <c r="D5" s="52" t="s">
        <v>316</v>
      </c>
      <c r="E5" s="52" t="s">
        <v>248</v>
      </c>
      <c r="F5" s="52" t="s">
        <v>249</v>
      </c>
      <c r="G5" s="52" t="s">
        <v>250</v>
      </c>
      <c r="H5" s="52" t="s">
        <v>251</v>
      </c>
      <c r="I5" s="52" t="s">
        <v>252</v>
      </c>
    </row>
    <row r="6" spans="2:9">
      <c r="C6" s="53" t="s">
        <v>363</v>
      </c>
      <c r="D6" s="146"/>
      <c r="E6" s="145">
        <f>Ingreso!F6</f>
        <v>368409.60000000003</v>
      </c>
      <c r="F6" s="53">
        <f>Ingreso!F7</f>
        <v>444854.592</v>
      </c>
      <c r="G6" s="145">
        <f>Ingreso!F8</f>
        <v>537161.91983999999</v>
      </c>
      <c r="H6" s="145">
        <f>Ingreso!F9</f>
        <v>648623.01820679998</v>
      </c>
      <c r="I6" s="145">
        <f>Ingreso!F10</f>
        <v>783212.2944847109</v>
      </c>
    </row>
    <row r="7" spans="2:9">
      <c r="B7" s="113"/>
      <c r="C7" s="53" t="s">
        <v>364</v>
      </c>
      <c r="D7" s="146"/>
      <c r="E7" s="145">
        <f>SUM(E10:E12)</f>
        <v>387939.63116056425</v>
      </c>
      <c r="F7" s="145">
        <f>SUM(F10:F12)</f>
        <v>403336.39601770719</v>
      </c>
      <c r="G7" s="145">
        <f>SUM(G10:G12)</f>
        <v>423938.82311770716</v>
      </c>
      <c r="H7" s="145">
        <f>SUM(H10:H12)</f>
        <v>445830.77797270723</v>
      </c>
      <c r="I7" s="145">
        <f>SUM(I10:I12)</f>
        <v>469102.67761045723</v>
      </c>
    </row>
    <row r="8" spans="2:9">
      <c r="C8" s="146" t="s">
        <v>365</v>
      </c>
      <c r="D8" s="83"/>
      <c r="E8" s="157">
        <f>Costos!G9+Costos!G22+Costos!G32+Costos!G38+Costos!J46</f>
        <v>293605.69714285713</v>
      </c>
      <c r="F8" s="157">
        <f>E8*1.05</f>
        <v>308285.98200000002</v>
      </c>
      <c r="G8" s="157">
        <f>F8*1.05</f>
        <v>323700.28110000002</v>
      </c>
      <c r="H8" s="157">
        <f>G8*1.05</f>
        <v>339885.29515500006</v>
      </c>
      <c r="I8" s="157">
        <f>H8*1.05</f>
        <v>356879.55991275009</v>
      </c>
    </row>
    <row r="9" spans="2:9">
      <c r="C9" s="146" t="s">
        <v>366</v>
      </c>
      <c r="D9" s="83"/>
      <c r="E9" s="116">
        <f>Costos!D69</f>
        <v>14529.134017707116</v>
      </c>
      <c r="F9" s="116">
        <f>Costos!E69</f>
        <v>10529.134017707116</v>
      </c>
      <c r="G9" s="116">
        <f>Costos!F69</f>
        <v>10529.134017707116</v>
      </c>
      <c r="H9" s="116">
        <f>Costos!G69</f>
        <v>10529.134017707116</v>
      </c>
      <c r="I9" s="116">
        <f>Costos!H69</f>
        <v>10529.134017707116</v>
      </c>
    </row>
    <row r="10" spans="2:9">
      <c r="C10" s="53" t="s">
        <v>367</v>
      </c>
      <c r="D10" s="83"/>
      <c r="E10" s="145">
        <f>SUM(E8:E9)</f>
        <v>308134.83116056427</v>
      </c>
      <c r="F10" s="145">
        <f>SUM(F8:F9)</f>
        <v>318815.11601770716</v>
      </c>
      <c r="G10" s="145">
        <f>SUM(G8:G9)</f>
        <v>334229.41511770716</v>
      </c>
      <c r="H10" s="145">
        <f>SUM(H8:H9)</f>
        <v>350414.4291727072</v>
      </c>
      <c r="I10" s="145">
        <f>SUM(I8:I9)</f>
        <v>367408.69393045723</v>
      </c>
    </row>
    <row r="11" spans="2:9">
      <c r="C11" s="83" t="s">
        <v>368</v>
      </c>
      <c r="D11" s="83"/>
      <c r="E11" s="116">
        <f>Gastos!H17</f>
        <v>47164.800000000003</v>
      </c>
      <c r="F11" s="116">
        <f>E11*1.1</f>
        <v>51881.280000000006</v>
      </c>
      <c r="G11" s="116">
        <f>F11*1.1</f>
        <v>57069.40800000001</v>
      </c>
      <c r="H11" s="116">
        <f>G11*1.1</f>
        <v>62776.348800000014</v>
      </c>
      <c r="I11" s="116">
        <f>H11*1.1</f>
        <v>69053.983680000019</v>
      </c>
    </row>
    <row r="12" spans="2:9">
      <c r="C12" s="83" t="s">
        <v>369</v>
      </c>
      <c r="D12" s="83"/>
      <c r="E12" s="116">
        <f>Gastos!I46</f>
        <v>32640</v>
      </c>
      <c r="F12" s="116">
        <f>E12</f>
        <v>32640</v>
      </c>
      <c r="G12" s="116">
        <f>F12</f>
        <v>32640</v>
      </c>
      <c r="H12" s="116">
        <f>G12</f>
        <v>32640</v>
      </c>
      <c r="I12" s="116">
        <f>H12</f>
        <v>32640</v>
      </c>
    </row>
    <row r="13" spans="2:9">
      <c r="C13" s="148" t="s">
        <v>370</v>
      </c>
      <c r="D13" s="107"/>
      <c r="E13" s="171">
        <f>E6-E7</f>
        <v>-19530.03116056422</v>
      </c>
      <c r="F13" s="171">
        <f>F6-F7</f>
        <v>41518.195982292818</v>
      </c>
      <c r="G13" s="171">
        <f>G6-G7</f>
        <v>113223.09672229283</v>
      </c>
      <c r="H13" s="171">
        <f>H6-H7</f>
        <v>202792.24023409275</v>
      </c>
      <c r="I13" s="171">
        <f>I6-I7</f>
        <v>314109.61687425367</v>
      </c>
    </row>
    <row r="14" spans="2:9">
      <c r="C14" s="146" t="s">
        <v>371</v>
      </c>
      <c r="D14" s="83"/>
      <c r="E14" s="116">
        <f>'V. salvamento'!E33</f>
        <v>209.7</v>
      </c>
      <c r="F14" s="116">
        <f>'V. salvamento'!F33</f>
        <v>209.7</v>
      </c>
      <c r="G14" s="116">
        <f>'V. salvamento'!G33</f>
        <v>209.7</v>
      </c>
      <c r="H14" s="116">
        <f>'V. salvamento'!H33</f>
        <v>209.7</v>
      </c>
      <c r="I14" s="116">
        <f>'V. salvamento'!I33</f>
        <v>209.7</v>
      </c>
    </row>
    <row r="15" spans="2:9">
      <c r="C15" s="146" t="s">
        <v>372</v>
      </c>
      <c r="D15" s="83"/>
      <c r="E15" s="116">
        <f>'V. salvamento'!F25</f>
        <v>18713.166666666668</v>
      </c>
      <c r="F15" s="116">
        <f>E15</f>
        <v>18713.166666666668</v>
      </c>
      <c r="G15" s="116">
        <f>F15</f>
        <v>18713.166666666668</v>
      </c>
      <c r="H15" s="116">
        <f>G15</f>
        <v>18713.166666666668</v>
      </c>
      <c r="I15" s="116">
        <f>H15</f>
        <v>18713.166666666668</v>
      </c>
    </row>
    <row r="16" spans="2:9">
      <c r="C16" s="172" t="s">
        <v>375</v>
      </c>
      <c r="D16" s="173"/>
      <c r="E16" s="174">
        <f>E13-E14-E15</f>
        <v>-38452.897827230889</v>
      </c>
      <c r="F16" s="174">
        <f>F13-F14-F15</f>
        <v>22595.329315626153</v>
      </c>
      <c r="G16" s="174">
        <f>G13-G14-G15</f>
        <v>94300.230055626162</v>
      </c>
      <c r="H16" s="174">
        <f>H13-H14-H15</f>
        <v>183869.37356742608</v>
      </c>
      <c r="I16" s="174">
        <f>I13-I14-I15</f>
        <v>295186.75020758697</v>
      </c>
    </row>
    <row r="17" spans="3:9">
      <c r="C17" s="146" t="s">
        <v>376</v>
      </c>
      <c r="D17" s="83"/>
      <c r="E17" s="116">
        <v>0</v>
      </c>
      <c r="F17" s="116">
        <f>F16*0.25</f>
        <v>5648.8323289065384</v>
      </c>
      <c r="G17" s="116">
        <f>G16*0.25</f>
        <v>23575.05751390654</v>
      </c>
      <c r="H17" s="116">
        <f>H16*0.25</f>
        <v>45967.343391856521</v>
      </c>
      <c r="I17" s="116">
        <f>I16*0.25</f>
        <v>73796.687551896743</v>
      </c>
    </row>
    <row r="18" spans="3:9">
      <c r="C18" s="146" t="s">
        <v>377</v>
      </c>
      <c r="D18" s="83"/>
      <c r="E18" s="116">
        <v>0</v>
      </c>
      <c r="F18" s="116">
        <f>F16*0.15</f>
        <v>3389.2993973439229</v>
      </c>
      <c r="G18" s="116">
        <f>G16*0.15</f>
        <v>14145.034508343924</v>
      </c>
      <c r="H18" s="116">
        <f>H16*0.15</f>
        <v>27580.406035113912</v>
      </c>
      <c r="I18" s="116">
        <f>I16*0.15</f>
        <v>44278.012531138047</v>
      </c>
    </row>
    <row r="19" spans="3:9">
      <c r="C19" s="175" t="s">
        <v>378</v>
      </c>
      <c r="D19" s="176"/>
      <c r="E19" s="177">
        <f>E16-E17-E18</f>
        <v>-38452.897827230889</v>
      </c>
      <c r="F19" s="177">
        <f>F16-F17-F18</f>
        <v>13557.197589375693</v>
      </c>
      <c r="G19" s="177">
        <f>G16-G17-G18</f>
        <v>56580.138033375704</v>
      </c>
      <c r="H19" s="177">
        <f>H16-H17-H18</f>
        <v>110321.62414045565</v>
      </c>
      <c r="I19" s="177">
        <f>I16-I17-I18</f>
        <v>177112.05012455219</v>
      </c>
    </row>
    <row r="20" spans="3:9">
      <c r="C20" s="146" t="s">
        <v>379</v>
      </c>
      <c r="D20" s="83"/>
      <c r="E20" s="116">
        <f>E14+E15</f>
        <v>18922.866666666669</v>
      </c>
      <c r="F20" s="116">
        <f>F14+F15</f>
        <v>18922.866666666669</v>
      </c>
      <c r="G20" s="116">
        <f>G14+G15</f>
        <v>18922.866666666669</v>
      </c>
      <c r="H20" s="116">
        <f>H14+H15</f>
        <v>18922.866666666669</v>
      </c>
      <c r="I20" s="116">
        <f>I14+I15</f>
        <v>18922.866666666669</v>
      </c>
    </row>
    <row r="21" spans="3:9">
      <c r="C21" s="146" t="s">
        <v>382</v>
      </c>
      <c r="D21" s="116">
        <f>-'Est. Sit. In'!C18</f>
        <v>-118054.25</v>
      </c>
      <c r="E21" s="116"/>
      <c r="F21" s="116"/>
      <c r="G21" s="116"/>
      <c r="H21" s="116"/>
      <c r="I21" s="116"/>
    </row>
    <row r="22" spans="3:9">
      <c r="C22" s="146" t="s">
        <v>332</v>
      </c>
      <c r="D22" s="83"/>
      <c r="E22" s="116"/>
      <c r="F22" s="116"/>
      <c r="G22" s="91"/>
      <c r="H22" s="116"/>
      <c r="I22" s="116">
        <f>'V. salvamento'!I25</f>
        <v>20499.166666666668</v>
      </c>
    </row>
    <row r="23" spans="3:9">
      <c r="C23" s="146" t="s">
        <v>295</v>
      </c>
      <c r="D23" s="116">
        <f>'def. acum . max'!O26</f>
        <v>-4908.8571428571304</v>
      </c>
      <c r="E23" s="116"/>
      <c r="F23" s="116"/>
      <c r="G23" s="116"/>
      <c r="H23" s="116"/>
      <c r="I23" s="116"/>
    </row>
    <row r="24" spans="3:9">
      <c r="C24" s="146" t="s">
        <v>383</v>
      </c>
      <c r="D24" s="83"/>
      <c r="E24" s="116"/>
      <c r="F24" s="116"/>
      <c r="G24" s="116"/>
      <c r="H24" s="116"/>
      <c r="I24" s="116">
        <f>-D23</f>
        <v>4908.8571428571304</v>
      </c>
    </row>
    <row r="25" spans="3:9">
      <c r="C25" s="178" t="s">
        <v>407</v>
      </c>
      <c r="D25" s="159">
        <f>D21+D23</f>
        <v>-122963.10714285713</v>
      </c>
      <c r="E25" s="159">
        <f>E19+E20</f>
        <v>-19530.03116056422</v>
      </c>
      <c r="F25" s="159">
        <f>F19+F20</f>
        <v>32480.064256042362</v>
      </c>
      <c r="G25" s="159">
        <f>G19+G20</f>
        <v>75503.004700042366</v>
      </c>
      <c r="H25" s="159">
        <f>H19+H20</f>
        <v>129244.49080712232</v>
      </c>
      <c r="I25" s="159">
        <f>I19+I20+I22+I24</f>
        <v>221442.94060074264</v>
      </c>
    </row>
    <row r="26" spans="3:9">
      <c r="C26" s="160" t="s">
        <v>356</v>
      </c>
      <c r="D26" s="140">
        <f>tmar!D29</f>
        <v>0.10566198406250002</v>
      </c>
      <c r="E26" s="116"/>
      <c r="F26" s="116"/>
      <c r="G26" s="116"/>
      <c r="H26" s="116"/>
      <c r="I26" s="116"/>
    </row>
    <row r="27" spans="3:9">
      <c r="C27" s="160" t="s">
        <v>386</v>
      </c>
      <c r="D27" s="142">
        <f>IRR(D25:I25)</f>
        <v>0.34837118808651318</v>
      </c>
      <c r="E27" s="116"/>
      <c r="F27" s="116"/>
      <c r="G27" s="116"/>
      <c r="H27" s="116"/>
      <c r="I27" s="116"/>
    </row>
    <row r="28" spans="3:9">
      <c r="C28" s="53" t="s">
        <v>387</v>
      </c>
      <c r="D28" s="121">
        <f>NPV(D26,D25:I25)</f>
        <v>146787.04367246031</v>
      </c>
      <c r="E28" s="116"/>
      <c r="F28" s="116"/>
      <c r="G28" s="116"/>
      <c r="H28" s="116"/>
      <c r="I28" s="116"/>
    </row>
  </sheetData>
  <mergeCells count="1">
    <mergeCell ref="C3:I3"/>
  </mergeCells>
  <phoneticPr fontId="30" type="noConversion"/>
  <pageMargins left="0.75" right="0.75" top="1" bottom="1" header="0" footer="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3:I32"/>
  <sheetViews>
    <sheetView topLeftCell="C7" workbookViewId="0">
      <selection activeCell="E7" sqref="E7"/>
    </sheetView>
  </sheetViews>
  <sheetFormatPr baseColWidth="10" defaultRowHeight="15"/>
  <cols>
    <col min="3" max="3" width="29.42578125" customWidth="1"/>
    <col min="4" max="4" width="17.85546875" customWidth="1"/>
  </cols>
  <sheetData>
    <row r="3" spans="3:9">
      <c r="C3" s="254" t="s">
        <v>405</v>
      </c>
      <c r="D3" s="254"/>
      <c r="E3" s="254"/>
      <c r="F3" s="254"/>
      <c r="G3" s="254"/>
      <c r="H3" s="254"/>
      <c r="I3" s="254"/>
    </row>
    <row r="5" spans="3:9">
      <c r="C5" s="52" t="s">
        <v>113</v>
      </c>
      <c r="D5" s="52" t="s">
        <v>316</v>
      </c>
      <c r="E5" s="143" t="s">
        <v>248</v>
      </c>
      <c r="F5" s="52" t="s">
        <v>249</v>
      </c>
      <c r="G5" s="52" t="s">
        <v>250</v>
      </c>
      <c r="H5" s="52" t="s">
        <v>251</v>
      </c>
      <c r="I5" s="52" t="s">
        <v>252</v>
      </c>
    </row>
    <row r="6" spans="3:9">
      <c r="C6" s="53" t="s">
        <v>363</v>
      </c>
      <c r="D6" s="53"/>
      <c r="E6" s="144">
        <f>Ingreso!F6</f>
        <v>368409.60000000003</v>
      </c>
      <c r="F6" s="144">
        <f>Ingreso!F7</f>
        <v>444854.592</v>
      </c>
      <c r="G6" s="144">
        <f>Ingreso!F8</f>
        <v>537161.91983999999</v>
      </c>
      <c r="H6" s="144">
        <f>Ingreso!F9</f>
        <v>648623.01820679998</v>
      </c>
      <c r="I6" s="144">
        <f>Ingreso!F10</f>
        <v>783212.2944847109</v>
      </c>
    </row>
    <row r="7" spans="3:9">
      <c r="C7" s="53" t="s">
        <v>364</v>
      </c>
      <c r="D7" s="53"/>
      <c r="E7" s="144">
        <f>SUM(E10:E12)</f>
        <v>387939.63116056425</v>
      </c>
      <c r="F7" s="144">
        <f>SUM(F10:F12)</f>
        <v>403336.39601770719</v>
      </c>
      <c r="G7" s="144">
        <f>SUM(G10:G12)</f>
        <v>423938.82311770716</v>
      </c>
      <c r="H7" s="144">
        <f>SUM(H10:H12)</f>
        <v>445830.77797270723</v>
      </c>
      <c r="I7" s="144">
        <f>SUM(I10:I12)</f>
        <v>469102.67761045723</v>
      </c>
    </row>
    <row r="8" spans="3:9">
      <c r="C8" s="146" t="s">
        <v>365</v>
      </c>
      <c r="D8" s="146"/>
      <c r="E8" s="116">
        <f>Costos!G9+Costos!G22+Costos!G32+Costos!G38+Costos!J46</f>
        <v>293605.69714285713</v>
      </c>
      <c r="F8" s="116">
        <f>E8*1.05</f>
        <v>308285.98200000002</v>
      </c>
      <c r="G8" s="116">
        <f>F8*1.05</f>
        <v>323700.28110000002</v>
      </c>
      <c r="H8" s="116">
        <f>G8*1.05</f>
        <v>339885.29515500006</v>
      </c>
      <c r="I8" s="116">
        <f>H8*1.05</f>
        <v>356879.55991275009</v>
      </c>
    </row>
    <row r="9" spans="3:9">
      <c r="C9" s="146" t="s">
        <v>366</v>
      </c>
      <c r="D9" s="146"/>
      <c r="E9" s="116">
        <f>Costos!D69</f>
        <v>14529.134017707116</v>
      </c>
      <c r="F9" s="116">
        <f>Costos!E69</f>
        <v>10529.134017707116</v>
      </c>
      <c r="G9" s="116">
        <f>Costos!F69</f>
        <v>10529.134017707116</v>
      </c>
      <c r="H9" s="116">
        <f>Costos!G69</f>
        <v>10529.134017707116</v>
      </c>
      <c r="I9" s="116">
        <f>Costos!H69</f>
        <v>10529.134017707116</v>
      </c>
    </row>
    <row r="10" spans="3:9">
      <c r="C10" s="53" t="s">
        <v>367</v>
      </c>
      <c r="D10" s="53"/>
      <c r="E10" s="144">
        <f>SUM(E8:E9)</f>
        <v>308134.83116056427</v>
      </c>
      <c r="F10" s="144">
        <f>SUM(F8:F9)</f>
        <v>318815.11601770716</v>
      </c>
      <c r="G10" s="144">
        <f>SUM(G8:G9)</f>
        <v>334229.41511770716</v>
      </c>
      <c r="H10" s="144">
        <f>SUM(H8:H9)</f>
        <v>350414.4291727072</v>
      </c>
      <c r="I10" s="144">
        <f>SUM(I8:I9)</f>
        <v>367408.69393045723</v>
      </c>
    </row>
    <row r="11" spans="3:9">
      <c r="C11" s="83" t="s">
        <v>368</v>
      </c>
      <c r="D11" s="83"/>
      <c r="E11" s="147">
        <f>Gastos!H17</f>
        <v>47164.800000000003</v>
      </c>
      <c r="F11" s="116">
        <f>E11*1.1</f>
        <v>51881.280000000006</v>
      </c>
      <c r="G11" s="116">
        <f>F11*1.1</f>
        <v>57069.40800000001</v>
      </c>
      <c r="H11" s="116">
        <f>G11*1.1</f>
        <v>62776.348800000014</v>
      </c>
      <c r="I11" s="116">
        <f>H11*1.1</f>
        <v>69053.983680000019</v>
      </c>
    </row>
    <row r="12" spans="3:9">
      <c r="C12" s="83" t="s">
        <v>369</v>
      </c>
      <c r="D12" s="83"/>
      <c r="E12" s="147">
        <f>Gastos!I46</f>
        <v>32640</v>
      </c>
      <c r="F12" s="147">
        <f>E12</f>
        <v>32640</v>
      </c>
      <c r="G12" s="147">
        <f>F12</f>
        <v>32640</v>
      </c>
      <c r="H12" s="147">
        <f>G12</f>
        <v>32640</v>
      </c>
      <c r="I12" s="147">
        <f>H12</f>
        <v>32640</v>
      </c>
    </row>
    <row r="13" spans="3:9">
      <c r="C13" s="148" t="s">
        <v>370</v>
      </c>
      <c r="D13" s="53"/>
      <c r="E13" s="149">
        <f>E6-E7</f>
        <v>-19530.03116056422</v>
      </c>
      <c r="F13" s="149">
        <f>F6-F7</f>
        <v>41518.195982292818</v>
      </c>
      <c r="G13" s="149">
        <f>G6-G7</f>
        <v>113223.09672229283</v>
      </c>
      <c r="H13" s="149">
        <f>H6-H7</f>
        <v>202792.24023409275</v>
      </c>
      <c r="I13" s="149">
        <f>I6-I7</f>
        <v>314109.61687425367</v>
      </c>
    </row>
    <row r="14" spans="3:9">
      <c r="C14" s="146" t="s">
        <v>371</v>
      </c>
      <c r="D14" s="146"/>
      <c r="E14" s="147">
        <f>'V. salvamento'!E33</f>
        <v>209.7</v>
      </c>
      <c r="F14" s="147">
        <f>'V. salvamento'!F33</f>
        <v>209.7</v>
      </c>
      <c r="G14" s="147">
        <f>'V. salvamento'!G33</f>
        <v>209.7</v>
      </c>
      <c r="H14" s="147">
        <f>'V. salvamento'!H33</f>
        <v>209.7</v>
      </c>
      <c r="I14" s="147">
        <f>'V. salvamento'!I33</f>
        <v>209.7</v>
      </c>
    </row>
    <row r="15" spans="3:9">
      <c r="C15" s="146" t="s">
        <v>372</v>
      </c>
      <c r="D15" s="146"/>
      <c r="E15" s="147">
        <f>'V. salvamento'!F25</f>
        <v>18713.166666666668</v>
      </c>
      <c r="F15" s="116">
        <f>E15</f>
        <v>18713.166666666668</v>
      </c>
      <c r="G15" s="116">
        <f>F15</f>
        <v>18713.166666666668</v>
      </c>
      <c r="H15" s="116">
        <f>G15</f>
        <v>18713.166666666668</v>
      </c>
      <c r="I15" s="116">
        <f>H15</f>
        <v>18713.166666666668</v>
      </c>
    </row>
    <row r="16" spans="3:9">
      <c r="C16" s="150" t="s">
        <v>373</v>
      </c>
      <c r="D16" s="150"/>
      <c r="E16" s="151">
        <f>E13-E14-E15</f>
        <v>-38452.897827230889</v>
      </c>
      <c r="F16" s="151">
        <f>F13-F14-F15</f>
        <v>22595.329315626153</v>
      </c>
      <c r="G16" s="151">
        <f>G13-G14-G15</f>
        <v>94300.230055626162</v>
      </c>
      <c r="H16" s="151">
        <f>H13-H14-H15</f>
        <v>183869.37356742608</v>
      </c>
      <c r="I16" s="151">
        <f>I13-I14-I15</f>
        <v>295186.75020758697</v>
      </c>
    </row>
    <row r="17" spans="3:9">
      <c r="C17" s="146" t="s">
        <v>374</v>
      </c>
      <c r="D17" s="83"/>
      <c r="E17" s="147">
        <f>'Est. Sit. In'!D28</f>
        <v>6148.1553571428567</v>
      </c>
      <c r="F17" s="116">
        <f>'Est. Sit. In'!D29</f>
        <v>5141.1029981081401</v>
      </c>
      <c r="G17" s="116">
        <f>'Est. Sit. In'!D30</f>
        <v>4033.3454031699512</v>
      </c>
      <c r="H17" s="116">
        <f>'Est. Sit. In'!D31</f>
        <v>2814.8120487379438</v>
      </c>
      <c r="I17" s="116">
        <f>'Est. Sit. In'!D32</f>
        <v>1474.4253588627353</v>
      </c>
    </row>
    <row r="18" spans="3:9">
      <c r="C18" s="152" t="s">
        <v>375</v>
      </c>
      <c r="D18" s="152"/>
      <c r="E18" s="153">
        <f>E16-E17</f>
        <v>-44601.053184373748</v>
      </c>
      <c r="F18" s="153">
        <f>F16-F17</f>
        <v>17454.226317518012</v>
      </c>
      <c r="G18" s="153">
        <f>G16-G17</f>
        <v>90266.88465245621</v>
      </c>
      <c r="H18" s="153">
        <f>H16-H17</f>
        <v>181054.56151868813</v>
      </c>
      <c r="I18" s="153">
        <f>I16-I17</f>
        <v>293712.32484872424</v>
      </c>
    </row>
    <row r="19" spans="3:9">
      <c r="C19" s="146" t="s">
        <v>376</v>
      </c>
      <c r="D19" s="146"/>
      <c r="E19" s="147">
        <v>0</v>
      </c>
      <c r="F19" s="147">
        <f>F18*0.25</f>
        <v>4363.5565793795031</v>
      </c>
      <c r="G19" s="147">
        <f>G18*0.25</f>
        <v>22566.721163114053</v>
      </c>
      <c r="H19" s="147">
        <f>H18*0.25</f>
        <v>45263.640379672033</v>
      </c>
      <c r="I19" s="147">
        <f>I18*0.25</f>
        <v>73428.08121218106</v>
      </c>
    </row>
    <row r="20" spans="3:9">
      <c r="C20" s="146" t="s">
        <v>377</v>
      </c>
      <c r="D20" s="146"/>
      <c r="E20" s="147">
        <v>0</v>
      </c>
      <c r="F20" s="147">
        <f>F18*0.15</f>
        <v>2618.1339476277017</v>
      </c>
      <c r="G20" s="147">
        <f>G18*0.15</f>
        <v>13540.032697868432</v>
      </c>
      <c r="H20" s="147">
        <f>H18*0.15</f>
        <v>27158.18422780322</v>
      </c>
      <c r="I20" s="147">
        <f>I18*0.15</f>
        <v>44056.848727308636</v>
      </c>
    </row>
    <row r="21" spans="3:9">
      <c r="C21" s="154" t="s">
        <v>378</v>
      </c>
      <c r="D21" s="154"/>
      <c r="E21" s="155">
        <f>E18-E19-E20</f>
        <v>-44601.053184373748</v>
      </c>
      <c r="F21" s="155">
        <f>F18-F19-F20</f>
        <v>10472.535790510807</v>
      </c>
      <c r="G21" s="155">
        <f>G18-G19-G20</f>
        <v>54160.130791473726</v>
      </c>
      <c r="H21" s="155">
        <f>H18-H19-H20</f>
        <v>108632.73691121288</v>
      </c>
      <c r="I21" s="155">
        <f>I18-I19-I20</f>
        <v>176227.39490923454</v>
      </c>
    </row>
    <row r="22" spans="3:9">
      <c r="C22" s="146" t="s">
        <v>379</v>
      </c>
      <c r="D22" s="146"/>
      <c r="E22" s="147">
        <f>E14+E15</f>
        <v>18922.866666666669</v>
      </c>
      <c r="F22" s="147">
        <f>F14+F15</f>
        <v>18922.866666666669</v>
      </c>
      <c r="G22" s="147">
        <f>G14+G15</f>
        <v>18922.866666666669</v>
      </c>
      <c r="H22" s="147">
        <f>H14+H15</f>
        <v>18922.866666666669</v>
      </c>
      <c r="I22" s="147">
        <f>I14+I15</f>
        <v>18922.866666666669</v>
      </c>
    </row>
    <row r="23" spans="3:9">
      <c r="C23" s="146" t="s">
        <v>380</v>
      </c>
      <c r="D23" s="83"/>
      <c r="E23" s="147">
        <f>'Est. Sit. In'!F28</f>
        <v>10070.523590347169</v>
      </c>
      <c r="F23" s="116">
        <f>'Est. Sit. In'!F29</f>
        <v>11077.575949381888</v>
      </c>
      <c r="G23" s="116">
        <f>'Est. Sit. In'!F30</f>
        <v>12185.333544320076</v>
      </c>
      <c r="H23" s="116">
        <f>'Est. Sit. In'!F31</f>
        <v>13403.866898752083</v>
      </c>
      <c r="I23" s="116">
        <f>'Est. Sit. In'!F32</f>
        <v>14744.253588627293</v>
      </c>
    </row>
    <row r="24" spans="3:9">
      <c r="C24" s="146" t="s">
        <v>381</v>
      </c>
      <c r="D24" s="116">
        <f>'Est. Sit. In'!F6</f>
        <v>61481.553571428565</v>
      </c>
      <c r="E24" s="156"/>
      <c r="F24" s="83"/>
      <c r="G24" s="83"/>
      <c r="H24" s="83"/>
      <c r="I24" s="83"/>
    </row>
    <row r="25" spans="3:9">
      <c r="C25" s="146" t="s">
        <v>382</v>
      </c>
      <c r="D25" s="116">
        <f>-'Est. Sit. In'!C18</f>
        <v>-118054.25</v>
      </c>
      <c r="E25" s="156"/>
      <c r="F25" s="83"/>
      <c r="G25" s="83"/>
      <c r="H25" s="83"/>
      <c r="I25" s="83"/>
    </row>
    <row r="26" spans="3:9">
      <c r="C26" s="146" t="s">
        <v>332</v>
      </c>
      <c r="D26" s="146"/>
      <c r="E26" s="156"/>
      <c r="F26" s="83"/>
      <c r="G26" s="83"/>
      <c r="H26" s="83"/>
      <c r="I26" s="116">
        <f>'V. salvamento'!I25</f>
        <v>20499.166666666668</v>
      </c>
    </row>
    <row r="27" spans="3:9">
      <c r="C27" s="146" t="s">
        <v>295</v>
      </c>
      <c r="D27" s="157">
        <f>'def. acum . max'!O26</f>
        <v>-4908.8571428571304</v>
      </c>
      <c r="E27" s="156"/>
      <c r="F27" s="83"/>
      <c r="G27" s="83"/>
      <c r="H27" s="83"/>
    </row>
    <row r="28" spans="3:9">
      <c r="C28" s="146" t="s">
        <v>383</v>
      </c>
      <c r="D28" s="146"/>
      <c r="E28" s="156"/>
      <c r="F28" s="83"/>
      <c r="G28" s="83"/>
      <c r="H28" s="83"/>
      <c r="I28" s="116">
        <f>-D27</f>
        <v>4908.8571428571304</v>
      </c>
    </row>
    <row r="29" spans="3:9">
      <c r="C29" s="158" t="s">
        <v>384</v>
      </c>
      <c r="D29" s="159">
        <f>D24+D25+D27</f>
        <v>-61481.553571428565</v>
      </c>
      <c r="E29" s="159">
        <f>E21+E22-E23</f>
        <v>-35748.710108054249</v>
      </c>
      <c r="F29" s="159">
        <f>F21+F22-F23</f>
        <v>18317.826507795588</v>
      </c>
      <c r="G29" s="159">
        <f>G21+G22-G23</f>
        <v>60897.663913820317</v>
      </c>
      <c r="H29" s="159">
        <f>H21+H22-H23</f>
        <v>114151.73667912747</v>
      </c>
      <c r="I29" s="159">
        <f>I21+I22-I23+I26+I28</f>
        <v>205814.0317967977</v>
      </c>
    </row>
    <row r="30" spans="3:9">
      <c r="C30" s="160" t="s">
        <v>385</v>
      </c>
      <c r="D30" s="142">
        <f>tmar!D28</f>
        <v>0.13632396812500003</v>
      </c>
    </row>
    <row r="31" spans="3:9">
      <c r="C31" s="160" t="s">
        <v>386</v>
      </c>
      <c r="D31" s="142">
        <f>IRR(D29:I29)</f>
        <v>0.45223031493437071</v>
      </c>
      <c r="E31" s="88"/>
    </row>
    <row r="32" spans="3:9">
      <c r="C32" s="53" t="s">
        <v>387</v>
      </c>
      <c r="D32" s="121">
        <f>NPV(D30,D29:I29)</f>
        <v>123071.07934785582</v>
      </c>
    </row>
  </sheetData>
  <mergeCells count="1">
    <mergeCell ref="C3:I3"/>
  </mergeCells>
  <phoneticPr fontId="30" type="noConversion"/>
  <pageMargins left="0.75" right="0.75" top="1" bottom="1" header="0" footer="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J32"/>
  <sheetViews>
    <sheetView topLeftCell="A13" workbookViewId="0">
      <selection activeCell="C7" sqref="C7"/>
    </sheetView>
  </sheetViews>
  <sheetFormatPr baseColWidth="10" defaultRowHeight="15"/>
  <cols>
    <col min="2" max="2" width="22.42578125" bestFit="1" customWidth="1"/>
    <col min="4" max="4" width="12.42578125" customWidth="1"/>
    <col min="5" max="5" width="12.42578125" hidden="1" customWidth="1"/>
    <col min="6" max="6" width="13.140625" customWidth="1"/>
    <col min="7" max="7" width="13.42578125" customWidth="1"/>
  </cols>
  <sheetData>
    <row r="3" spans="2:10">
      <c r="B3" s="228" t="s">
        <v>304</v>
      </c>
      <c r="C3" s="228"/>
      <c r="D3" s="228"/>
      <c r="E3" s="228"/>
    </row>
    <row r="4" spans="2:10">
      <c r="B4" s="53" t="s">
        <v>293</v>
      </c>
      <c r="D4" s="53" t="s">
        <v>305</v>
      </c>
    </row>
    <row r="5" spans="2:10">
      <c r="B5" s="83"/>
      <c r="D5" s="83"/>
    </row>
    <row r="6" spans="2:10">
      <c r="B6" s="53" t="s">
        <v>294</v>
      </c>
      <c r="D6" s="83" t="s">
        <v>306</v>
      </c>
      <c r="F6">
        <f>C16*0.5</f>
        <v>61481.553571428565</v>
      </c>
      <c r="G6" s="99">
        <f>F6/C16</f>
        <v>0.5</v>
      </c>
    </row>
    <row r="7" spans="2:10">
      <c r="B7" s="83" t="s">
        <v>295</v>
      </c>
      <c r="C7" s="115">
        <f>-'def. acum . max'!O26</f>
        <v>4908.8571428571304</v>
      </c>
      <c r="D7" s="83"/>
      <c r="E7" s="119">
        <f>C16*0.5</f>
        <v>61481.553571428565</v>
      </c>
    </row>
    <row r="8" spans="2:10">
      <c r="B8" s="83"/>
      <c r="D8" s="83"/>
    </row>
    <row r="9" spans="2:10">
      <c r="B9" s="53" t="s">
        <v>296</v>
      </c>
      <c r="C9" s="51">
        <f>SUM(C10:C12)</f>
        <v>117005.75</v>
      </c>
      <c r="D9" s="83"/>
    </row>
    <row r="10" spans="2:10" ht="15.75">
      <c r="B10" s="75" t="s">
        <v>80</v>
      </c>
      <c r="C10">
        <f>Activos!C59</f>
        <v>110885</v>
      </c>
      <c r="D10" s="83"/>
    </row>
    <row r="11" spans="2:10">
      <c r="B11" s="83" t="s">
        <v>297</v>
      </c>
      <c r="C11">
        <f>Activos!C60</f>
        <v>6020</v>
      </c>
      <c r="D11" s="83"/>
    </row>
    <row r="12" spans="2:10">
      <c r="B12" s="83" t="s">
        <v>298</v>
      </c>
      <c r="C12">
        <f>Activos!C61</f>
        <v>100.75</v>
      </c>
      <c r="D12" s="83"/>
    </row>
    <row r="13" spans="2:10">
      <c r="B13" s="53" t="s">
        <v>299</v>
      </c>
      <c r="C13" s="51">
        <f>SUM(C14:C15)</f>
        <v>1048.5</v>
      </c>
      <c r="D13" s="53" t="s">
        <v>307</v>
      </c>
    </row>
    <row r="14" spans="2:10">
      <c r="B14" s="83" t="s">
        <v>300</v>
      </c>
      <c r="C14">
        <f>Activos!E93</f>
        <v>335.5</v>
      </c>
      <c r="D14" s="83"/>
    </row>
    <row r="15" spans="2:10">
      <c r="B15" s="83" t="s">
        <v>301</v>
      </c>
      <c r="C15">
        <f>Activos!D108</f>
        <v>713</v>
      </c>
      <c r="D15" s="83" t="s">
        <v>308</v>
      </c>
      <c r="E15">
        <f>C16/0.5</f>
        <v>245926.21428571426</v>
      </c>
      <c r="F15" s="99">
        <f>C16-F6</f>
        <v>61481.553571428565</v>
      </c>
      <c r="H15" s="255" t="s">
        <v>317</v>
      </c>
      <c r="I15" s="255"/>
      <c r="J15" s="120">
        <f>H27</f>
        <v>61481.553571428565</v>
      </c>
    </row>
    <row r="16" spans="2:10">
      <c r="B16" s="53" t="s">
        <v>302</v>
      </c>
      <c r="C16" s="118">
        <f>C13+C9+C7</f>
        <v>122963.10714285713</v>
      </c>
      <c r="F16" s="99">
        <f>F6+F15</f>
        <v>122963.10714285713</v>
      </c>
      <c r="H16" s="255" t="s">
        <v>318</v>
      </c>
      <c r="I16" s="255"/>
      <c r="J16" s="83">
        <v>5</v>
      </c>
    </row>
    <row r="17" spans="2:10">
      <c r="H17" s="256" t="s">
        <v>319</v>
      </c>
      <c r="I17" s="256"/>
      <c r="J17" s="83">
        <v>5</v>
      </c>
    </row>
    <row r="18" spans="2:10">
      <c r="B18" s="53" t="s">
        <v>303</v>
      </c>
      <c r="C18">
        <f>C13+C9</f>
        <v>118054.25</v>
      </c>
      <c r="H18" s="256" t="s">
        <v>320</v>
      </c>
      <c r="I18" s="256"/>
      <c r="J18" s="83"/>
    </row>
    <row r="19" spans="2:10">
      <c r="H19" s="256" t="s">
        <v>321</v>
      </c>
      <c r="I19" s="256"/>
      <c r="J19" s="122">
        <v>0.1</v>
      </c>
    </row>
    <row r="25" spans="2:10">
      <c r="B25" s="228" t="s">
        <v>309</v>
      </c>
      <c r="C25" s="228"/>
      <c r="D25" s="228"/>
      <c r="E25" s="228"/>
      <c r="F25" s="228"/>
      <c r="G25" s="228"/>
    </row>
    <row r="26" spans="2:10">
      <c r="B26" s="52" t="s">
        <v>310</v>
      </c>
      <c r="C26" s="52" t="s">
        <v>311</v>
      </c>
      <c r="D26" s="52" t="s">
        <v>312</v>
      </c>
      <c r="E26" s="52" t="s">
        <v>313</v>
      </c>
      <c r="F26" s="123" t="s">
        <v>322</v>
      </c>
      <c r="G26" s="52" t="s">
        <v>314</v>
      </c>
      <c r="H26" s="52" t="s">
        <v>315</v>
      </c>
    </row>
    <row r="27" spans="2:10">
      <c r="B27" s="52" t="s">
        <v>316</v>
      </c>
      <c r="C27" s="83"/>
      <c r="D27" s="83"/>
      <c r="E27" s="83"/>
      <c r="F27" s="83"/>
      <c r="G27" s="83"/>
      <c r="H27" s="120">
        <f>F6</f>
        <v>61481.553571428565</v>
      </c>
    </row>
    <row r="28" spans="2:10">
      <c r="B28" s="52" t="s">
        <v>248</v>
      </c>
      <c r="C28" s="120">
        <f>-PMT(J19,J16,J15)</f>
        <v>16218.678947490027</v>
      </c>
      <c r="D28" s="170">
        <f>H27*$J$19</f>
        <v>6148.1553571428567</v>
      </c>
      <c r="E28" s="120"/>
      <c r="F28" s="124">
        <f>C28-D28</f>
        <v>10070.523590347169</v>
      </c>
      <c r="G28" s="120">
        <f>F28</f>
        <v>10070.523590347169</v>
      </c>
      <c r="H28" s="120">
        <f>H27-F28</f>
        <v>51411.029981081396</v>
      </c>
    </row>
    <row r="29" spans="2:10">
      <c r="B29" s="52" t="s">
        <v>249</v>
      </c>
      <c r="C29" s="120">
        <f>C28</f>
        <v>16218.678947490027</v>
      </c>
      <c r="D29" s="170">
        <f>H28*$J$19</f>
        <v>5141.1029981081401</v>
      </c>
      <c r="E29" s="120"/>
      <c r="F29" s="124">
        <f>C29-D29</f>
        <v>11077.575949381888</v>
      </c>
      <c r="G29" s="120">
        <f>F29</f>
        <v>11077.575949381888</v>
      </c>
      <c r="H29" s="120">
        <f>H28-F29</f>
        <v>40333.454031699512</v>
      </c>
    </row>
    <row r="30" spans="2:10">
      <c r="B30" s="52" t="s">
        <v>250</v>
      </c>
      <c r="C30" s="120">
        <f>C29</f>
        <v>16218.678947490027</v>
      </c>
      <c r="D30" s="170">
        <f>H29*$J$19</f>
        <v>4033.3454031699512</v>
      </c>
      <c r="E30" s="120"/>
      <c r="F30" s="124">
        <f>C30-D30</f>
        <v>12185.333544320076</v>
      </c>
      <c r="G30" s="120">
        <f>F30</f>
        <v>12185.333544320076</v>
      </c>
      <c r="H30" s="120">
        <f>H29-F30</f>
        <v>28148.120487379434</v>
      </c>
    </row>
    <row r="31" spans="2:10">
      <c r="B31" s="52" t="s">
        <v>251</v>
      </c>
      <c r="C31" s="120">
        <f>C30</f>
        <v>16218.678947490027</v>
      </c>
      <c r="D31" s="170">
        <f>H30*$J$19</f>
        <v>2814.8120487379438</v>
      </c>
      <c r="E31" s="120"/>
      <c r="F31" s="124">
        <f>C31-D31</f>
        <v>13403.866898752083</v>
      </c>
      <c r="G31" s="120">
        <f>F31</f>
        <v>13403.866898752083</v>
      </c>
      <c r="H31" s="120">
        <f>H30-F31</f>
        <v>14744.253588627351</v>
      </c>
    </row>
    <row r="32" spans="2:10">
      <c r="B32" s="52" t="s">
        <v>252</v>
      </c>
      <c r="C32" s="120">
        <f>C31</f>
        <v>16218.678947490027</v>
      </c>
      <c r="D32" s="170">
        <f>H31*$J$19</f>
        <v>1474.4253588627353</v>
      </c>
      <c r="E32" s="120"/>
      <c r="F32" s="124">
        <f>C32-D32</f>
        <v>14744.253588627293</v>
      </c>
      <c r="G32" s="120">
        <f>F32</f>
        <v>14744.253588627293</v>
      </c>
      <c r="H32" s="120">
        <f>H31-F32</f>
        <v>5.8207660913467407E-11</v>
      </c>
    </row>
  </sheetData>
  <mergeCells count="7">
    <mergeCell ref="B3:E3"/>
    <mergeCell ref="B25:G25"/>
    <mergeCell ref="H15:I15"/>
    <mergeCell ref="H16:I16"/>
    <mergeCell ref="H17:I17"/>
    <mergeCell ref="H18:I18"/>
    <mergeCell ref="H19:I19"/>
  </mergeCells>
  <phoneticPr fontId="3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3:I33"/>
  <sheetViews>
    <sheetView topLeftCell="B13" workbookViewId="0">
      <selection activeCell="I37" sqref="I37"/>
    </sheetView>
  </sheetViews>
  <sheetFormatPr baseColWidth="10" defaultRowHeight="15"/>
  <cols>
    <col min="1" max="1" width="51.42578125" bestFit="1" customWidth="1"/>
    <col min="3" max="3" width="23.42578125" customWidth="1"/>
    <col min="4" max="4" width="11" customWidth="1"/>
    <col min="9" max="9" width="13.85546875" bestFit="1" customWidth="1"/>
  </cols>
  <sheetData>
    <row r="3" spans="1:9">
      <c r="C3" s="228" t="s">
        <v>323</v>
      </c>
      <c r="D3" s="228"/>
      <c r="E3" s="228"/>
      <c r="F3" s="228"/>
      <c r="G3" s="228"/>
      <c r="H3" s="228"/>
      <c r="I3" s="228"/>
    </row>
    <row r="4" spans="1:9">
      <c r="C4" s="247" t="s">
        <v>293</v>
      </c>
      <c r="D4" s="247" t="s">
        <v>324</v>
      </c>
      <c r="E4" s="247" t="s">
        <v>325</v>
      </c>
      <c r="F4" s="247" t="s">
        <v>326</v>
      </c>
      <c r="G4" s="247" t="s">
        <v>327</v>
      </c>
      <c r="H4" s="247" t="s">
        <v>328</v>
      </c>
      <c r="I4" s="247" t="s">
        <v>329</v>
      </c>
    </row>
    <row r="5" spans="1:9">
      <c r="C5" s="247"/>
      <c r="D5" s="247"/>
      <c r="E5" s="247"/>
      <c r="F5" s="247"/>
      <c r="G5" s="247"/>
      <c r="H5" s="247"/>
      <c r="I5" s="247"/>
    </row>
    <row r="6" spans="1:9">
      <c r="A6" s="125"/>
      <c r="C6" s="22" t="s">
        <v>82</v>
      </c>
      <c r="D6" s="120">
        <f>'Equipo de ofic y planta'!F63</f>
        <v>45000</v>
      </c>
      <c r="E6" s="83">
        <v>5</v>
      </c>
      <c r="F6" s="120">
        <f>D6/E6</f>
        <v>9000</v>
      </c>
      <c r="G6" s="83">
        <v>5</v>
      </c>
      <c r="H6" s="120">
        <f>F6*G6</f>
        <v>45000</v>
      </c>
      <c r="I6" s="120">
        <f>D6-H6</f>
        <v>0</v>
      </c>
    </row>
    <row r="7" spans="1:9">
      <c r="A7" s="83"/>
      <c r="C7" s="22" t="s">
        <v>83</v>
      </c>
      <c r="D7" s="120">
        <f>'Equipo de ofic y planta'!F64</f>
        <v>19000</v>
      </c>
      <c r="E7" s="83">
        <v>5</v>
      </c>
      <c r="F7" s="120">
        <f t="shared" ref="F7:F24" si="0">D7/E7</f>
        <v>3800</v>
      </c>
      <c r="G7" s="83">
        <v>5</v>
      </c>
      <c r="H7" s="120">
        <f t="shared" ref="H7:H24" si="1">F7*G7</f>
        <v>19000</v>
      </c>
      <c r="I7" s="120">
        <f t="shared" ref="I7:I24" si="2">D7-H7</f>
        <v>0</v>
      </c>
    </row>
    <row r="8" spans="1:9">
      <c r="A8" s="83"/>
      <c r="C8" s="33" t="s">
        <v>69</v>
      </c>
      <c r="D8" s="126">
        <f>'Equipo de ofic y planta'!E47</f>
        <v>5000</v>
      </c>
      <c r="E8" s="83">
        <v>10</v>
      </c>
      <c r="F8" s="120">
        <f t="shared" si="0"/>
        <v>500</v>
      </c>
      <c r="G8" s="83">
        <v>5</v>
      </c>
      <c r="H8" s="120">
        <f t="shared" si="1"/>
        <v>2500</v>
      </c>
      <c r="I8" s="120">
        <f t="shared" si="2"/>
        <v>2500</v>
      </c>
    </row>
    <row r="9" spans="1:9">
      <c r="A9" s="83"/>
      <c r="C9" s="33" t="s">
        <v>70</v>
      </c>
      <c r="D9" s="126">
        <f>'Equipo de ofic y planta'!E48</f>
        <v>3200</v>
      </c>
      <c r="E9" s="83">
        <v>10</v>
      </c>
      <c r="F9" s="120">
        <f t="shared" si="0"/>
        <v>320</v>
      </c>
      <c r="G9" s="83">
        <v>5</v>
      </c>
      <c r="H9" s="120">
        <f t="shared" si="1"/>
        <v>1600</v>
      </c>
      <c r="I9" s="120">
        <f t="shared" si="2"/>
        <v>1600</v>
      </c>
    </row>
    <row r="10" spans="1:9">
      <c r="A10" s="83"/>
      <c r="C10" s="33" t="s">
        <v>71</v>
      </c>
      <c r="D10" s="126">
        <f>'Equipo de ofic y planta'!E49</f>
        <v>2800</v>
      </c>
      <c r="E10" s="83">
        <v>10</v>
      </c>
      <c r="F10" s="120">
        <f t="shared" si="0"/>
        <v>280</v>
      </c>
      <c r="G10" s="83">
        <v>5</v>
      </c>
      <c r="H10" s="120">
        <f t="shared" si="1"/>
        <v>1400</v>
      </c>
      <c r="I10" s="120">
        <f t="shared" si="2"/>
        <v>1400</v>
      </c>
    </row>
    <row r="11" spans="1:9">
      <c r="A11" s="83"/>
      <c r="C11" s="33" t="s">
        <v>72</v>
      </c>
      <c r="D11" s="126">
        <f>'Equipo de ofic y planta'!E50</f>
        <v>4000</v>
      </c>
      <c r="E11" s="83">
        <v>10</v>
      </c>
      <c r="F11" s="120">
        <f t="shared" si="0"/>
        <v>400</v>
      </c>
      <c r="G11" s="83">
        <v>5</v>
      </c>
      <c r="H11" s="120">
        <f t="shared" si="1"/>
        <v>2000</v>
      </c>
      <c r="I11" s="120">
        <f t="shared" si="2"/>
        <v>2000</v>
      </c>
    </row>
    <row r="12" spans="1:9">
      <c r="A12" s="83"/>
      <c r="C12" s="33" t="s">
        <v>73</v>
      </c>
      <c r="D12" s="126">
        <f>'Equipo de ofic y planta'!E51</f>
        <v>4500</v>
      </c>
      <c r="E12" s="83">
        <v>10</v>
      </c>
      <c r="F12" s="120">
        <f t="shared" si="0"/>
        <v>450</v>
      </c>
      <c r="G12" s="83">
        <v>5</v>
      </c>
      <c r="H12" s="120">
        <f t="shared" si="1"/>
        <v>2250</v>
      </c>
      <c r="I12" s="120">
        <f t="shared" si="2"/>
        <v>2250</v>
      </c>
    </row>
    <row r="13" spans="1:9">
      <c r="A13" s="83"/>
      <c r="C13" s="33" t="s">
        <v>74</v>
      </c>
      <c r="D13" s="126">
        <f>'Equipo de ofic y planta'!E52</f>
        <v>0</v>
      </c>
      <c r="E13" s="83">
        <v>10</v>
      </c>
      <c r="F13" s="120">
        <f t="shared" si="0"/>
        <v>0</v>
      </c>
      <c r="G13" s="83">
        <v>5</v>
      </c>
      <c r="H13" s="120">
        <f t="shared" si="1"/>
        <v>0</v>
      </c>
      <c r="I13" s="120">
        <f t="shared" si="2"/>
        <v>0</v>
      </c>
    </row>
    <row r="14" spans="1:9">
      <c r="A14" s="83"/>
      <c r="C14" s="33" t="s">
        <v>75</v>
      </c>
      <c r="D14" s="126">
        <f>'Equipo de ofic y planta'!E53</f>
        <v>800</v>
      </c>
      <c r="E14" s="83">
        <v>10</v>
      </c>
      <c r="F14" s="120">
        <f t="shared" si="0"/>
        <v>80</v>
      </c>
      <c r="G14" s="83">
        <v>5</v>
      </c>
      <c r="H14" s="120">
        <f t="shared" si="1"/>
        <v>400</v>
      </c>
      <c r="I14" s="120">
        <f t="shared" si="2"/>
        <v>400</v>
      </c>
    </row>
    <row r="15" spans="1:9">
      <c r="A15" s="125"/>
      <c r="C15" s="33" t="s">
        <v>76</v>
      </c>
      <c r="D15" s="126">
        <f>'Equipo de ofic y planta'!E54</f>
        <v>4800</v>
      </c>
      <c r="E15" s="83">
        <v>10</v>
      </c>
      <c r="F15" s="120">
        <f t="shared" si="0"/>
        <v>480</v>
      </c>
      <c r="G15" s="83">
        <v>5</v>
      </c>
      <c r="H15" s="120">
        <f t="shared" si="1"/>
        <v>2400</v>
      </c>
      <c r="I15" s="120">
        <f t="shared" si="2"/>
        <v>2400</v>
      </c>
    </row>
    <row r="16" spans="1:9">
      <c r="A16" s="83"/>
      <c r="C16" s="33" t="s">
        <v>77</v>
      </c>
      <c r="D16" s="126">
        <f>'Equipo de ofic y planta'!E55</f>
        <v>3600</v>
      </c>
      <c r="E16" s="83">
        <v>10</v>
      </c>
      <c r="F16" s="120">
        <f t="shared" si="0"/>
        <v>360</v>
      </c>
      <c r="G16" s="83">
        <v>5</v>
      </c>
      <c r="H16" s="120">
        <f t="shared" si="1"/>
        <v>1800</v>
      </c>
      <c r="I16" s="120">
        <f t="shared" si="2"/>
        <v>1800</v>
      </c>
    </row>
    <row r="17" spans="1:9">
      <c r="A17" s="83"/>
      <c r="C17" s="33" t="s">
        <v>78</v>
      </c>
      <c r="D17" s="126">
        <f>'Equipo de ofic y planta'!E56</f>
        <v>3000</v>
      </c>
      <c r="E17" s="83">
        <v>10</v>
      </c>
      <c r="F17" s="120">
        <f t="shared" si="0"/>
        <v>300</v>
      </c>
      <c r="G17" s="83">
        <v>5</v>
      </c>
      <c r="H17" s="120">
        <f t="shared" si="1"/>
        <v>1500</v>
      </c>
      <c r="I17" s="120">
        <f t="shared" si="2"/>
        <v>1500</v>
      </c>
    </row>
    <row r="18" spans="1:9">
      <c r="A18" s="83"/>
      <c r="C18" s="33" t="s">
        <v>79</v>
      </c>
      <c r="D18" s="126">
        <f>'Equipo de ofic y planta'!E57</f>
        <v>2800</v>
      </c>
      <c r="E18" s="83">
        <v>10</v>
      </c>
      <c r="F18" s="120">
        <f t="shared" si="0"/>
        <v>280</v>
      </c>
      <c r="G18" s="83">
        <v>5</v>
      </c>
      <c r="H18" s="120">
        <f t="shared" si="1"/>
        <v>1400</v>
      </c>
      <c r="I18" s="120">
        <f t="shared" si="2"/>
        <v>1400</v>
      </c>
    </row>
    <row r="19" spans="1:9">
      <c r="A19" s="83"/>
      <c r="C19" s="33" t="s">
        <v>94</v>
      </c>
      <c r="D19" s="126">
        <f>'Equipo de ofic y planta'!E58</f>
        <v>385</v>
      </c>
      <c r="E19" s="83">
        <v>10</v>
      </c>
      <c r="F19" s="120">
        <f t="shared" si="0"/>
        <v>38.5</v>
      </c>
      <c r="G19" s="83">
        <v>5</v>
      </c>
      <c r="H19" s="120">
        <f t="shared" si="1"/>
        <v>192.5</v>
      </c>
      <c r="I19" s="120">
        <f t="shared" si="2"/>
        <v>192.5</v>
      </c>
    </row>
    <row r="20" spans="1:9">
      <c r="A20" s="83"/>
      <c r="C20" s="83" t="s">
        <v>330</v>
      </c>
      <c r="D20" s="126">
        <f>'Equipo de ofic y planta'!F5</f>
        <v>6800</v>
      </c>
      <c r="E20" s="83">
        <v>3</v>
      </c>
      <c r="F20" s="120">
        <f t="shared" si="0"/>
        <v>2266.6666666666665</v>
      </c>
      <c r="G20" s="83">
        <v>5</v>
      </c>
      <c r="H20" s="120">
        <f t="shared" si="1"/>
        <v>11333.333333333332</v>
      </c>
      <c r="I20" s="120">
        <f>D20-F20*2</f>
        <v>2266.666666666667</v>
      </c>
    </row>
    <row r="21" spans="1:9">
      <c r="A21" s="83"/>
      <c r="C21" s="16" t="s">
        <v>33</v>
      </c>
      <c r="D21" s="126">
        <f>'Equipo de ofic y planta'!F9</f>
        <v>1000</v>
      </c>
      <c r="E21" s="83">
        <v>10</v>
      </c>
      <c r="F21" s="120">
        <f t="shared" si="0"/>
        <v>100</v>
      </c>
      <c r="G21" s="83">
        <v>5</v>
      </c>
      <c r="H21" s="120">
        <f t="shared" si="1"/>
        <v>500</v>
      </c>
      <c r="I21" s="120">
        <f t="shared" si="2"/>
        <v>500</v>
      </c>
    </row>
    <row r="22" spans="1:9">
      <c r="A22" s="83"/>
      <c r="C22" s="16" t="s">
        <v>34</v>
      </c>
      <c r="D22" s="126">
        <f>'Equipo de ofic y planta'!F10</f>
        <v>150</v>
      </c>
      <c r="E22" s="83">
        <v>10</v>
      </c>
      <c r="F22" s="120">
        <f t="shared" si="0"/>
        <v>15</v>
      </c>
      <c r="G22" s="83">
        <v>5</v>
      </c>
      <c r="H22" s="120">
        <f t="shared" si="1"/>
        <v>75</v>
      </c>
      <c r="I22" s="120">
        <f t="shared" si="2"/>
        <v>75</v>
      </c>
    </row>
    <row r="23" spans="1:9">
      <c r="A23" s="83"/>
      <c r="C23" s="16" t="s">
        <v>52</v>
      </c>
      <c r="D23" s="126">
        <f>'Equipo de ofic y planta'!F11</f>
        <v>80</v>
      </c>
      <c r="E23" s="83">
        <v>10</v>
      </c>
      <c r="F23" s="120">
        <f t="shared" si="0"/>
        <v>8</v>
      </c>
      <c r="G23" s="83">
        <v>5</v>
      </c>
      <c r="H23" s="120">
        <f t="shared" si="1"/>
        <v>40</v>
      </c>
      <c r="I23" s="120">
        <f t="shared" si="2"/>
        <v>40</v>
      </c>
    </row>
    <row r="24" spans="1:9" ht="25.5">
      <c r="A24" s="4"/>
      <c r="C24" s="17" t="s">
        <v>53</v>
      </c>
      <c r="D24" s="120">
        <f>'Equipo de ofic y planta'!F15</f>
        <v>350</v>
      </c>
      <c r="E24" s="83">
        <v>10</v>
      </c>
      <c r="F24" s="120">
        <f t="shared" si="0"/>
        <v>35</v>
      </c>
      <c r="G24" s="83">
        <v>5</v>
      </c>
      <c r="H24" s="120">
        <f t="shared" si="1"/>
        <v>175</v>
      </c>
      <c r="I24" s="120">
        <f t="shared" si="2"/>
        <v>175</v>
      </c>
    </row>
    <row r="25" spans="1:9">
      <c r="D25" s="257" t="s">
        <v>331</v>
      </c>
      <c r="E25" s="257"/>
      <c r="F25" s="127">
        <f>SUM(F6:F24)</f>
        <v>18713.166666666668</v>
      </c>
      <c r="G25" s="258" t="s">
        <v>332</v>
      </c>
      <c r="H25" s="258"/>
      <c r="I25" s="128">
        <f>SUM(I6:I24)</f>
        <v>20499.166666666668</v>
      </c>
    </row>
    <row r="29" spans="1:9">
      <c r="C29" s="228" t="s">
        <v>333</v>
      </c>
      <c r="D29" s="228"/>
      <c r="E29" s="228"/>
      <c r="F29" s="228"/>
      <c r="G29" s="228"/>
      <c r="H29" s="228"/>
      <c r="I29" s="228"/>
    </row>
    <row r="30" spans="1:9">
      <c r="C30" s="52" t="s">
        <v>334</v>
      </c>
      <c r="D30" s="52" t="s">
        <v>335</v>
      </c>
      <c r="E30" s="52" t="s">
        <v>248</v>
      </c>
      <c r="F30" s="52" t="s">
        <v>249</v>
      </c>
      <c r="G30" s="52" t="s">
        <v>250</v>
      </c>
      <c r="H30" s="52" t="s">
        <v>251</v>
      </c>
      <c r="I30" s="52" t="s">
        <v>252</v>
      </c>
    </row>
    <row r="31" spans="1:9">
      <c r="C31" s="83" t="s">
        <v>338</v>
      </c>
      <c r="D31" s="83">
        <f>Activos!E93</f>
        <v>335.5</v>
      </c>
      <c r="E31" s="83">
        <f>$D$31/5</f>
        <v>67.099999999999994</v>
      </c>
      <c r="F31" s="83">
        <f>$D$31/5</f>
        <v>67.099999999999994</v>
      </c>
      <c r="G31" s="83">
        <f>$D$31/5</f>
        <v>67.099999999999994</v>
      </c>
      <c r="H31" s="83">
        <f>$D$31/5</f>
        <v>67.099999999999994</v>
      </c>
      <c r="I31" s="83">
        <f>$D$31/5</f>
        <v>67.099999999999994</v>
      </c>
    </row>
    <row r="32" spans="1:9">
      <c r="C32" s="83" t="s">
        <v>337</v>
      </c>
      <c r="D32" s="83">
        <f>Activos!D108</f>
        <v>713</v>
      </c>
      <c r="E32" s="83">
        <f>$D$32/5</f>
        <v>142.6</v>
      </c>
      <c r="F32" s="83">
        <f>$D$32/5</f>
        <v>142.6</v>
      </c>
      <c r="G32" s="83">
        <f>$D$32/5</f>
        <v>142.6</v>
      </c>
      <c r="H32" s="83">
        <f>$D$32/5</f>
        <v>142.6</v>
      </c>
      <c r="I32" s="83">
        <f>$D$32/5</f>
        <v>142.6</v>
      </c>
    </row>
    <row r="33" spans="3:9">
      <c r="C33" s="129" t="s">
        <v>336</v>
      </c>
      <c r="D33" s="129">
        <f t="shared" ref="D33:I33" si="3">SUM(D31:D32)</f>
        <v>1048.5</v>
      </c>
      <c r="E33" s="83">
        <f t="shared" si="3"/>
        <v>209.7</v>
      </c>
      <c r="F33" s="83">
        <f t="shared" si="3"/>
        <v>209.7</v>
      </c>
      <c r="G33" s="83">
        <f t="shared" si="3"/>
        <v>209.7</v>
      </c>
      <c r="H33" s="83">
        <f t="shared" si="3"/>
        <v>209.7</v>
      </c>
      <c r="I33" s="83">
        <f t="shared" si="3"/>
        <v>209.7</v>
      </c>
    </row>
  </sheetData>
  <mergeCells count="11">
    <mergeCell ref="I4:I5"/>
    <mergeCell ref="D25:E25"/>
    <mergeCell ref="G25:H25"/>
    <mergeCell ref="C29:I29"/>
    <mergeCell ref="C3:I3"/>
    <mergeCell ref="C4:C5"/>
    <mergeCell ref="D4:D5"/>
    <mergeCell ref="E4:E5"/>
    <mergeCell ref="F4:F5"/>
    <mergeCell ref="G4:G5"/>
    <mergeCell ref="H4:H5"/>
  </mergeCells>
  <phoneticPr fontId="30" type="noConversion"/>
  <pageMargins left="0.75" right="0.75" top="1" bottom="1" header="0" footer="0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3:H29"/>
  <sheetViews>
    <sheetView topLeftCell="A7" workbookViewId="0">
      <selection activeCell="E29" sqref="E29"/>
    </sheetView>
  </sheetViews>
  <sheetFormatPr baseColWidth="10" defaultRowHeight="15"/>
  <cols>
    <col min="3" max="3" width="23.42578125" customWidth="1"/>
    <col min="4" max="4" width="11" customWidth="1"/>
  </cols>
  <sheetData>
    <row r="3" spans="3:7">
      <c r="C3" s="131" t="s">
        <v>339</v>
      </c>
      <c r="D3" s="131"/>
      <c r="E3" s="131"/>
      <c r="F3" s="131"/>
      <c r="G3" s="131"/>
    </row>
    <row r="4" spans="3:7">
      <c r="C4" s="131"/>
      <c r="D4" s="131"/>
      <c r="E4" s="131"/>
      <c r="F4" s="131"/>
      <c r="G4" s="131"/>
    </row>
    <row r="5" spans="3:7">
      <c r="C5" s="131"/>
      <c r="D5" s="131"/>
      <c r="E5" s="131"/>
      <c r="F5" s="131"/>
      <c r="G5" s="131"/>
    </row>
    <row r="6" spans="3:7">
      <c r="C6" s="131" t="s">
        <v>340</v>
      </c>
      <c r="D6" s="131">
        <v>0.34</v>
      </c>
      <c r="E6" s="131">
        <v>0.44</v>
      </c>
      <c r="F6" s="131">
        <v>0.6</v>
      </c>
      <c r="G6" s="131"/>
    </row>
    <row r="7" spans="3:7">
      <c r="C7" s="131" t="s">
        <v>341</v>
      </c>
      <c r="D7" s="131">
        <v>16.5</v>
      </c>
      <c r="E7" s="131">
        <v>11.2</v>
      </c>
      <c r="F7" s="131">
        <v>4.3</v>
      </c>
      <c r="G7" s="131">
        <f>SUM(D7:F7)</f>
        <v>32</v>
      </c>
    </row>
    <row r="8" spans="3:7">
      <c r="C8" s="131"/>
      <c r="D8" s="131"/>
      <c r="E8" s="131"/>
      <c r="F8" s="131"/>
      <c r="G8" s="131"/>
    </row>
    <row r="9" spans="3:7">
      <c r="C9" s="131" t="s">
        <v>342</v>
      </c>
      <c r="D9" s="131"/>
      <c r="E9" s="131"/>
      <c r="F9" s="131"/>
      <c r="G9" s="131" t="s">
        <v>343</v>
      </c>
    </row>
    <row r="10" spans="3:7">
      <c r="C10" s="131" t="s">
        <v>342</v>
      </c>
      <c r="D10" s="131">
        <f>D6*(D7/G7)</f>
        <v>0.17531250000000001</v>
      </c>
      <c r="E10" s="131">
        <f>E6*(E7/G7)</f>
        <v>0.154</v>
      </c>
      <c r="F10" s="131">
        <f>F6*(F7/G7)</f>
        <v>8.0624999999999988E-2</v>
      </c>
      <c r="G10" s="131">
        <f>SUM(D10:F10)</f>
        <v>0.40993750000000001</v>
      </c>
    </row>
    <row r="15" spans="3:7">
      <c r="C15" s="130" t="s">
        <v>344</v>
      </c>
      <c r="D15" s="130"/>
    </row>
    <row r="16" spans="3:7">
      <c r="C16" s="83" t="s">
        <v>343</v>
      </c>
      <c r="D16" s="83">
        <f>G10</f>
        <v>0.40993750000000001</v>
      </c>
    </row>
    <row r="17" spans="3:8">
      <c r="C17" s="83" t="s">
        <v>345</v>
      </c>
      <c r="D17" s="132">
        <f>'Est. Sit. In'!G6</f>
        <v>0.5</v>
      </c>
    </row>
    <row r="18" spans="3:8">
      <c r="C18" s="83" t="s">
        <v>346</v>
      </c>
      <c r="D18" s="122">
        <f>1-D17</f>
        <v>0.5</v>
      </c>
      <c r="F18">
        <f>810</f>
        <v>810</v>
      </c>
      <c r="H18" t="s">
        <v>347</v>
      </c>
    </row>
    <row r="19" spans="3:8">
      <c r="C19" s="83" t="s">
        <v>348</v>
      </c>
      <c r="D19" s="133">
        <f>G19</f>
        <v>8.1000000000000003E-2</v>
      </c>
      <c r="E19" s="83"/>
      <c r="F19">
        <f>F18/100</f>
        <v>8.1</v>
      </c>
      <c r="G19" s="134">
        <f>F19/100</f>
        <v>8.1000000000000003E-2</v>
      </c>
      <c r="H19" t="s">
        <v>349</v>
      </c>
    </row>
    <row r="20" spans="3:8">
      <c r="C20" s="83" t="s">
        <v>350</v>
      </c>
      <c r="D20" s="135">
        <v>4.7899999999999998E-2</v>
      </c>
      <c r="F20">
        <v>4.79</v>
      </c>
      <c r="G20" s="136">
        <f>F20/100</f>
        <v>4.7899999999999998E-2</v>
      </c>
      <c r="H20" t="s">
        <v>351</v>
      </c>
    </row>
    <row r="21" spans="3:8">
      <c r="C21" s="83" t="s">
        <v>352</v>
      </c>
      <c r="D21" s="83">
        <v>6.6009999999999999E-2</v>
      </c>
      <c r="H21" t="s">
        <v>353</v>
      </c>
    </row>
    <row r="22" spans="3:8">
      <c r="C22" s="125" t="s">
        <v>354</v>
      </c>
      <c r="D22" s="122">
        <f>'Est. Sit. In'!J19</f>
        <v>0.1</v>
      </c>
    </row>
    <row r="23" spans="3:8">
      <c r="C23" s="125" t="s">
        <v>355</v>
      </c>
      <c r="D23" s="122">
        <v>0.25</v>
      </c>
      <c r="H23" s="137" t="s">
        <v>356</v>
      </c>
    </row>
    <row r="24" spans="3:8">
      <c r="C24" s="125" t="s">
        <v>357</v>
      </c>
      <c r="D24" s="122">
        <f>1-D23</f>
        <v>0.75</v>
      </c>
      <c r="H24" t="s">
        <v>358</v>
      </c>
    </row>
    <row r="25" spans="3:8">
      <c r="C25" s="125"/>
      <c r="D25" s="83"/>
    </row>
    <row r="26" spans="3:8">
      <c r="C26" s="83" t="s">
        <v>350</v>
      </c>
      <c r="D26" s="133">
        <f>D19+D20</f>
        <v>0.12890000000000001</v>
      </c>
    </row>
    <row r="27" spans="3:8">
      <c r="C27" s="83" t="s">
        <v>359</v>
      </c>
      <c r="D27" s="138">
        <f>D21-D20</f>
        <v>1.8110000000000001E-2</v>
      </c>
    </row>
    <row r="28" spans="3:8">
      <c r="C28" s="139" t="s">
        <v>360</v>
      </c>
      <c r="D28" s="83">
        <f>D26+D16*D27</f>
        <v>0.13632396812500003</v>
      </c>
      <c r="E28" s="140" t="s">
        <v>362</v>
      </c>
    </row>
    <row r="29" spans="3:8">
      <c r="C29" s="141" t="s">
        <v>361</v>
      </c>
      <c r="D29" s="53">
        <f>(D22*D24*D17)+(D18*D28)</f>
        <v>0.10566198406250002</v>
      </c>
      <c r="E29" s="142">
        <v>0.1132</v>
      </c>
    </row>
  </sheetData>
  <phoneticPr fontId="30" type="noConversion"/>
  <pageMargins left="0.75" right="0.75" top="1" bottom="1" header="0" footer="0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3:G9"/>
  <sheetViews>
    <sheetView workbookViewId="0">
      <selection activeCell="E22" sqref="E22"/>
    </sheetView>
  </sheetViews>
  <sheetFormatPr baseColWidth="10" defaultRowHeight="15"/>
  <sheetData>
    <row r="3" spans="3:7">
      <c r="C3" s="254" t="s">
        <v>408</v>
      </c>
      <c r="D3" s="254"/>
      <c r="E3" s="254"/>
      <c r="F3" s="254"/>
      <c r="G3" s="254"/>
    </row>
    <row r="4" spans="3:7" ht="39">
      <c r="C4" s="104" t="s">
        <v>409</v>
      </c>
      <c r="D4" s="104" t="s">
        <v>410</v>
      </c>
      <c r="E4" s="104" t="s">
        <v>411</v>
      </c>
      <c r="F4" s="104" t="s">
        <v>412</v>
      </c>
      <c r="G4" s="104" t="s">
        <v>413</v>
      </c>
    </row>
    <row r="5" spans="3:7">
      <c r="C5" s="160">
        <v>1</v>
      </c>
      <c r="D5" s="180">
        <f>'Est. Sit. In'!F6</f>
        <v>61481.553571428565</v>
      </c>
      <c r="E5" s="180">
        <f>'Flujo caja accc'!E29</f>
        <v>-35748.710108054249</v>
      </c>
      <c r="F5" s="180">
        <f>D5*tmar!D28</f>
        <v>8381.4093493469099</v>
      </c>
      <c r="G5" s="180">
        <f>E5-F5</f>
        <v>-44130.119457401161</v>
      </c>
    </row>
    <row r="6" spans="3:7">
      <c r="C6" s="83">
        <v>2</v>
      </c>
      <c r="D6" s="116">
        <f>D5-G5</f>
        <v>105611.67302882973</v>
      </c>
      <c r="E6" s="116">
        <f>'Flujo caja accc'!F29</f>
        <v>18317.826507795588</v>
      </c>
      <c r="F6" s="116">
        <f>D6*tmar!D28</f>
        <v>14397.402347610108</v>
      </c>
      <c r="G6" s="116">
        <f>E6-F6</f>
        <v>3920.4241601854792</v>
      </c>
    </row>
    <row r="7" spans="3:7">
      <c r="C7" s="83">
        <v>3</v>
      </c>
      <c r="D7" s="116">
        <f>D6-G6</f>
        <v>101691.24886864425</v>
      </c>
      <c r="E7" s="116">
        <f>'Flujo caja accc'!G29</f>
        <v>60897.663913820317</v>
      </c>
      <c r="F7" s="116">
        <f>D7*tmar!D28</f>
        <v>13862.954569360505</v>
      </c>
      <c r="G7" s="116">
        <f>E7-F7</f>
        <v>47034.709344459814</v>
      </c>
    </row>
    <row r="8" spans="3:7">
      <c r="C8" s="83">
        <v>4</v>
      </c>
      <c r="D8" s="116">
        <f>D7-G7</f>
        <v>54656.539524184438</v>
      </c>
      <c r="E8" s="116">
        <f>'Flujo caja accc'!H29</f>
        <v>114151.73667912747</v>
      </c>
      <c r="F8" s="116">
        <f>D8*tmar!D28</f>
        <v>7450.9963519177236</v>
      </c>
      <c r="G8" s="116">
        <f>E8-F8</f>
        <v>106700.74032720974</v>
      </c>
    </row>
    <row r="9" spans="3:7">
      <c r="C9" s="83">
        <v>5</v>
      </c>
      <c r="D9" s="116">
        <f>D8-G8</f>
        <v>-52044.200803025306</v>
      </c>
      <c r="E9" s="116">
        <f>'Flujo caja accc'!I29</f>
        <v>205814.0317967977</v>
      </c>
      <c r="F9" s="116">
        <f>D9*tmar!D28</f>
        <v>-7094.8719713627224</v>
      </c>
      <c r="G9" s="116">
        <f>E9-F9</f>
        <v>212908.90376816044</v>
      </c>
    </row>
  </sheetData>
  <mergeCells count="1">
    <mergeCell ref="C3:G3"/>
  </mergeCells>
  <phoneticPr fontId="30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D4:H27"/>
  <sheetViews>
    <sheetView topLeftCell="A7" workbookViewId="0">
      <selection activeCell="J27" sqref="J27"/>
    </sheetView>
  </sheetViews>
  <sheetFormatPr baseColWidth="10" defaultRowHeight="15"/>
  <cols>
    <col min="7" max="7" width="13.140625" customWidth="1"/>
  </cols>
  <sheetData>
    <row r="4" spans="4:8">
      <c r="D4" s="254" t="s">
        <v>414</v>
      </c>
      <c r="E4" s="254"/>
      <c r="F4" s="254"/>
      <c r="G4" s="254"/>
      <c r="H4" s="254"/>
    </row>
    <row r="6" spans="4:8">
      <c r="D6" s="254" t="s">
        <v>415</v>
      </c>
      <c r="E6" s="254"/>
      <c r="F6" s="254"/>
      <c r="G6" s="254"/>
      <c r="H6" s="254"/>
    </row>
    <row r="8" spans="4:8" ht="15.75" customHeight="1">
      <c r="D8" s="247" t="s">
        <v>416</v>
      </c>
      <c r="E8" s="100" t="s">
        <v>417</v>
      </c>
      <c r="F8" s="53" t="s">
        <v>387</v>
      </c>
      <c r="G8" s="53" t="s">
        <v>386</v>
      </c>
      <c r="H8" s="53" t="s">
        <v>418</v>
      </c>
    </row>
    <row r="9" spans="4:8">
      <c r="D9" s="247"/>
      <c r="E9" s="181">
        <v>0.05</v>
      </c>
      <c r="F9" s="182">
        <v>197825.58581363436</v>
      </c>
      <c r="G9" s="183">
        <v>0.87653713718680326</v>
      </c>
      <c r="H9" s="184"/>
    </row>
    <row r="10" spans="4:8">
      <c r="D10" s="247"/>
      <c r="E10" s="181">
        <v>0</v>
      </c>
      <c r="F10" s="182">
        <v>183559.77013540431</v>
      </c>
      <c r="G10" s="183">
        <v>0.75941110577782889</v>
      </c>
      <c r="H10" s="184"/>
    </row>
    <row r="11" spans="4:8">
      <c r="D11" s="247"/>
      <c r="E11" s="185">
        <v>-0.2</v>
      </c>
      <c r="F11" s="198"/>
      <c r="G11" s="187"/>
      <c r="H11" s="158"/>
    </row>
    <row r="12" spans="4:8">
      <c r="D12" s="247"/>
      <c r="E12" s="188">
        <v>-0.4</v>
      </c>
      <c r="F12" s="145"/>
      <c r="G12" s="209"/>
      <c r="H12" s="53"/>
    </row>
    <row r="13" spans="4:8">
      <c r="D13" s="247"/>
      <c r="E13" s="210">
        <v>-0.64</v>
      </c>
      <c r="F13" s="211">
        <v>957.3294540597168</v>
      </c>
      <c r="G13" s="212">
        <v>0.13781548050705508</v>
      </c>
      <c r="H13" s="213" t="s">
        <v>419</v>
      </c>
    </row>
    <row r="14" spans="4:8">
      <c r="D14" s="247"/>
      <c r="E14" s="188">
        <v>-0.7</v>
      </c>
      <c r="F14" s="83">
        <v>-16161.649359816311</v>
      </c>
      <c r="G14" s="83">
        <v>0.1122938216506205</v>
      </c>
      <c r="H14" s="83"/>
    </row>
    <row r="15" spans="4:8">
      <c r="D15" s="199"/>
      <c r="E15" s="200"/>
      <c r="F15" s="201"/>
      <c r="G15" s="88"/>
      <c r="H15" s="202"/>
    </row>
    <row r="16" spans="4:8">
      <c r="D16" s="199"/>
      <c r="E16" s="200"/>
      <c r="F16" s="201"/>
      <c r="G16" s="88"/>
      <c r="H16" s="202"/>
    </row>
    <row r="17" spans="4:8">
      <c r="D17" s="189"/>
      <c r="E17" s="190"/>
      <c r="F17" s="191"/>
      <c r="G17" s="192"/>
      <c r="H17" s="4"/>
    </row>
    <row r="19" spans="4:8">
      <c r="D19" s="254" t="s">
        <v>420</v>
      </c>
      <c r="E19" s="254"/>
      <c r="F19" s="254"/>
      <c r="G19" s="254"/>
      <c r="H19" s="254"/>
    </row>
    <row r="21" spans="4:8" ht="15.75">
      <c r="D21" s="247" t="s">
        <v>416</v>
      </c>
      <c r="E21" s="193" t="s">
        <v>421</v>
      </c>
      <c r="F21" s="53" t="s">
        <v>387</v>
      </c>
      <c r="G21" s="53" t="s">
        <v>386</v>
      </c>
      <c r="H21" s="53" t="s">
        <v>418</v>
      </c>
    </row>
    <row r="22" spans="4:8">
      <c r="D22" s="247"/>
      <c r="E22" s="181">
        <v>-0.05</v>
      </c>
      <c r="F22" s="194">
        <v>197795.11114630042</v>
      </c>
      <c r="G22" s="183">
        <v>0.87626344676566381</v>
      </c>
      <c r="H22" s="184"/>
    </row>
    <row r="23" spans="4:8">
      <c r="D23" s="247"/>
      <c r="E23" s="181">
        <v>0</v>
      </c>
      <c r="F23" s="194"/>
      <c r="G23" s="183"/>
      <c r="H23" s="184"/>
    </row>
    <row r="24" spans="4:8">
      <c r="D24" s="247"/>
      <c r="E24" s="195">
        <v>0.1</v>
      </c>
      <c r="F24" s="194"/>
      <c r="G24" s="196"/>
      <c r="H24" s="197"/>
    </row>
    <row r="25" spans="4:8">
      <c r="D25" s="247"/>
      <c r="E25" s="195">
        <v>0.2</v>
      </c>
      <c r="F25" s="194"/>
      <c r="G25" s="196"/>
      <c r="H25" s="197"/>
    </row>
    <row r="26" spans="4:8">
      <c r="D26" s="247"/>
      <c r="E26" s="185">
        <v>0.64</v>
      </c>
      <c r="F26" s="186">
        <v>1347.4051959343144</v>
      </c>
      <c r="G26" s="187">
        <v>0.13842551840354056</v>
      </c>
      <c r="H26" s="158" t="s">
        <v>419</v>
      </c>
    </row>
    <row r="27" spans="4:8">
      <c r="D27" s="247"/>
      <c r="E27" s="188">
        <v>0.65</v>
      </c>
      <c r="F27" s="145">
        <v>-1499.6630062448864</v>
      </c>
      <c r="G27" s="140">
        <v>0.13400350541205699</v>
      </c>
      <c r="H27" s="83"/>
    </row>
  </sheetData>
  <mergeCells count="5">
    <mergeCell ref="D21:D27"/>
    <mergeCell ref="D8:D14"/>
    <mergeCell ref="D4:H4"/>
    <mergeCell ref="D6:H6"/>
    <mergeCell ref="D19:H19"/>
  </mergeCells>
  <phoneticPr fontId="30" type="noConversion"/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D4:I21"/>
  <sheetViews>
    <sheetView topLeftCell="B1" workbookViewId="0">
      <selection activeCell="J21" sqref="J21"/>
    </sheetView>
  </sheetViews>
  <sheetFormatPr baseColWidth="10" defaultRowHeight="15"/>
  <cols>
    <col min="4" max="4" width="28.7109375" customWidth="1"/>
    <col min="9" max="9" width="12.5703125" customWidth="1"/>
  </cols>
  <sheetData>
    <row r="4" spans="4:9">
      <c r="D4" s="228" t="s">
        <v>423</v>
      </c>
      <c r="E4" s="228"/>
      <c r="F4" s="228"/>
      <c r="G4" s="228"/>
      <c r="H4" s="228"/>
      <c r="I4" s="228"/>
    </row>
    <row r="5" spans="4:9">
      <c r="D5" s="52" t="s">
        <v>113</v>
      </c>
      <c r="E5" s="52" t="s">
        <v>248</v>
      </c>
      <c r="F5" s="52" t="s">
        <v>249</v>
      </c>
      <c r="G5" s="52" t="s">
        <v>250</v>
      </c>
      <c r="H5" s="52" t="s">
        <v>251</v>
      </c>
      <c r="I5" s="52" t="s">
        <v>252</v>
      </c>
    </row>
    <row r="6" spans="4:9">
      <c r="D6" s="83" t="s">
        <v>363</v>
      </c>
      <c r="E6" s="116">
        <f>'Flujo caja accc'!E6</f>
        <v>368409.60000000003</v>
      </c>
      <c r="F6" s="116">
        <f>'Flujo caja accc'!F6</f>
        <v>444854.592</v>
      </c>
      <c r="G6" s="116">
        <f>'Flujo caja accc'!G6</f>
        <v>537161.91983999999</v>
      </c>
      <c r="H6" s="116">
        <f>'Flujo caja accc'!H6</f>
        <v>648623.01820679998</v>
      </c>
      <c r="I6" s="116">
        <f>'Flujo caja accc'!I6</f>
        <v>783212.2944847109</v>
      </c>
    </row>
    <row r="7" spans="4:9">
      <c r="D7" s="83" t="s">
        <v>424</v>
      </c>
      <c r="E7" s="116">
        <f>'Flujo caja accc'!E8</f>
        <v>293605.69714285713</v>
      </c>
      <c r="F7" s="116">
        <f>'Flujo caja accc'!F8</f>
        <v>308285.98200000002</v>
      </c>
      <c r="G7" s="116">
        <f>'Flujo caja accc'!G8</f>
        <v>323700.28110000002</v>
      </c>
      <c r="H7" s="116">
        <f>'Flujo caja accc'!H8</f>
        <v>339885.29515500006</v>
      </c>
      <c r="I7" s="116">
        <f>'Flujo caja accc'!I8</f>
        <v>356879.55991275009</v>
      </c>
    </row>
    <row r="8" spans="4:9">
      <c r="D8" s="83" t="s">
        <v>425</v>
      </c>
      <c r="E8" s="116">
        <f>'Flujo caja accc'!E9</f>
        <v>14529.134017707116</v>
      </c>
      <c r="F8" s="116">
        <f>'Flujo caja accc'!F9</f>
        <v>10529.134017707116</v>
      </c>
      <c r="G8" s="116">
        <f>'Flujo caja accc'!G9</f>
        <v>10529.134017707116</v>
      </c>
      <c r="H8" s="116">
        <f>'Flujo caja accc'!H9</f>
        <v>10529.134017707116</v>
      </c>
      <c r="I8" s="116">
        <f>'Flujo caja accc'!I9</f>
        <v>10529.134017707116</v>
      </c>
    </row>
    <row r="9" spans="4:9">
      <c r="D9" s="53" t="s">
        <v>426</v>
      </c>
      <c r="E9" s="145">
        <f>E6-E7-E8</f>
        <v>60274.76883943579</v>
      </c>
      <c r="F9" s="145">
        <f>F6-F7-F8</f>
        <v>126039.47598229288</v>
      </c>
      <c r="G9" s="145">
        <f>G6-G7-G8</f>
        <v>202932.50472229286</v>
      </c>
      <c r="H9" s="145">
        <f>H6-H7-H8</f>
        <v>298208.58903409279</v>
      </c>
      <c r="I9" s="145">
        <f>I6-I7-I8</f>
        <v>415803.60055425367</v>
      </c>
    </row>
    <row r="10" spans="4:9">
      <c r="D10" s="53" t="s">
        <v>427</v>
      </c>
      <c r="E10" s="145">
        <f>SUM(E11:E14)</f>
        <v>98727.666666666672</v>
      </c>
      <c r="F10" s="145">
        <f>SUM(F11:F14)</f>
        <v>103444.14666666667</v>
      </c>
      <c r="G10" s="145">
        <f>SUM(G11:G14)</f>
        <v>108632.27466666668</v>
      </c>
      <c r="H10" s="145">
        <f>SUM(H11:H14)</f>
        <v>114339.21546666668</v>
      </c>
      <c r="I10" s="145">
        <f>SUM(I11:I14)</f>
        <v>120616.85034666669</v>
      </c>
    </row>
    <row r="11" spans="4:9">
      <c r="D11" s="83" t="s">
        <v>287</v>
      </c>
      <c r="E11" s="116">
        <f>'Flujo caja accc'!E11</f>
        <v>47164.800000000003</v>
      </c>
      <c r="F11" s="116">
        <f>'Flujo caja accc'!F11</f>
        <v>51881.280000000006</v>
      </c>
      <c r="G11" s="116">
        <f>'Flujo caja accc'!G11</f>
        <v>57069.40800000001</v>
      </c>
      <c r="H11" s="116">
        <f>'Flujo caja accc'!H11</f>
        <v>62776.348800000014</v>
      </c>
      <c r="I11" s="116">
        <f>'Flujo caja accc'!I11</f>
        <v>69053.983680000019</v>
      </c>
    </row>
    <row r="12" spans="4:9">
      <c r="D12" s="83" t="s">
        <v>428</v>
      </c>
      <c r="E12" s="116">
        <f>'Flujo caja accc'!E14</f>
        <v>209.7</v>
      </c>
      <c r="F12" s="116">
        <f>'Flujo caja accc'!F14</f>
        <v>209.7</v>
      </c>
      <c r="G12" s="116">
        <f>'Flujo caja accc'!G14</f>
        <v>209.7</v>
      </c>
      <c r="H12" s="116">
        <f>'Flujo caja accc'!H14</f>
        <v>209.7</v>
      </c>
      <c r="I12" s="116">
        <f>'Flujo caja accc'!I14</f>
        <v>209.7</v>
      </c>
    </row>
    <row r="13" spans="4:9">
      <c r="D13" s="83" t="s">
        <v>372</v>
      </c>
      <c r="E13" s="116">
        <f>'Flujo caja accc'!E15</f>
        <v>18713.166666666668</v>
      </c>
      <c r="F13" s="116">
        <f>'Flujo caja accc'!F15</f>
        <v>18713.166666666668</v>
      </c>
      <c r="G13" s="116">
        <f>'Flujo caja accc'!G15</f>
        <v>18713.166666666668</v>
      </c>
      <c r="H13" s="116">
        <f>'Flujo caja accc'!H15</f>
        <v>18713.166666666668</v>
      </c>
      <c r="I13" s="116">
        <f>'Flujo caja accc'!I15</f>
        <v>18713.166666666668</v>
      </c>
    </row>
    <row r="14" spans="4:9">
      <c r="D14" s="83" t="s">
        <v>429</v>
      </c>
      <c r="E14" s="116">
        <f>'Flujo caja accc'!E12</f>
        <v>32640</v>
      </c>
      <c r="F14" s="116">
        <f>'Flujo caja accc'!F12</f>
        <v>32640</v>
      </c>
      <c r="G14" s="116">
        <f>'Flujo caja accc'!G12</f>
        <v>32640</v>
      </c>
      <c r="H14" s="116">
        <f>'Flujo caja accc'!H12</f>
        <v>32640</v>
      </c>
      <c r="I14" s="116">
        <f>'Flujo caja accc'!I12</f>
        <v>32640</v>
      </c>
    </row>
    <row r="15" spans="4:9">
      <c r="D15" s="53" t="s">
        <v>430</v>
      </c>
      <c r="E15" s="145">
        <f>E9-E10</f>
        <v>-38452.897827230881</v>
      </c>
      <c r="F15" s="145">
        <f>F9-F10</f>
        <v>22595.329315626208</v>
      </c>
      <c r="G15" s="145">
        <f>G9-G10</f>
        <v>94300.230055626176</v>
      </c>
      <c r="H15" s="145">
        <f>H9-H10</f>
        <v>183869.37356742611</v>
      </c>
      <c r="I15" s="145">
        <f>I9-I10</f>
        <v>295186.75020758697</v>
      </c>
    </row>
    <row r="16" spans="4:9">
      <c r="D16" s="53" t="s">
        <v>431</v>
      </c>
      <c r="E16" s="83"/>
      <c r="F16" s="83"/>
      <c r="G16" s="83"/>
      <c r="H16" s="83"/>
      <c r="I16" s="83"/>
    </row>
    <row r="17" spans="4:9">
      <c r="D17" s="83" t="s">
        <v>432</v>
      </c>
      <c r="E17" s="116">
        <f>'Flujo caja accc'!E17</f>
        <v>6148.1553571428567</v>
      </c>
      <c r="F17" s="116">
        <f>'Flujo caja accc'!F17</f>
        <v>5141.1029981081401</v>
      </c>
      <c r="G17" s="116">
        <f>'Flujo caja accc'!G17</f>
        <v>4033.3454031699512</v>
      </c>
      <c r="H17" s="116">
        <f>'Flujo caja accc'!H17</f>
        <v>2814.8120487379438</v>
      </c>
      <c r="I17" s="116">
        <f>'Flujo caja accc'!I17</f>
        <v>1474.4253588627353</v>
      </c>
    </row>
    <row r="18" spans="4:9">
      <c r="D18" s="53" t="s">
        <v>433</v>
      </c>
      <c r="E18" s="145">
        <f>E15-E17</f>
        <v>-44601.053184373741</v>
      </c>
      <c r="F18" s="145">
        <f>F15-F17</f>
        <v>17454.226317518067</v>
      </c>
      <c r="G18" s="145">
        <f>G15-G17</f>
        <v>90266.884652456225</v>
      </c>
      <c r="H18" s="145">
        <f>H15-H17</f>
        <v>181054.56151868816</v>
      </c>
      <c r="I18" s="145">
        <f>I15-I17</f>
        <v>293712.32484872424</v>
      </c>
    </row>
    <row r="19" spans="4:9">
      <c r="D19" s="83" t="s">
        <v>434</v>
      </c>
      <c r="E19" s="116">
        <v>0</v>
      </c>
      <c r="F19" s="116">
        <f>F18*0.25</f>
        <v>4363.5565793795167</v>
      </c>
      <c r="G19" s="116">
        <f>G18*0.25</f>
        <v>22566.721163114056</v>
      </c>
      <c r="H19" s="116">
        <f>H18*0.25</f>
        <v>45263.640379672041</v>
      </c>
      <c r="I19" s="116">
        <f>I18*0.25</f>
        <v>73428.08121218106</v>
      </c>
    </row>
    <row r="20" spans="4:9">
      <c r="D20" s="83" t="s">
        <v>377</v>
      </c>
      <c r="E20" s="116">
        <v>0</v>
      </c>
      <c r="F20" s="116">
        <f>F18*0.15</f>
        <v>2618.1339476277099</v>
      </c>
      <c r="G20" s="116">
        <f>G18*0.15</f>
        <v>13540.032697868433</v>
      </c>
      <c r="H20" s="116">
        <f>H18*0.15</f>
        <v>27158.184227803224</v>
      </c>
      <c r="I20" s="116">
        <f>I18*0.15</f>
        <v>44056.848727308636</v>
      </c>
    </row>
    <row r="21" spans="4:9">
      <c r="D21" s="205" t="s">
        <v>435</v>
      </c>
      <c r="E21" s="99">
        <f>E18-E19-E20</f>
        <v>-44601.053184373741</v>
      </c>
      <c r="F21" s="99">
        <f>F18-F19-F20</f>
        <v>10472.535790510839</v>
      </c>
      <c r="G21" s="99">
        <f>G18-G19-G20</f>
        <v>54160.130791473741</v>
      </c>
      <c r="H21" s="99">
        <f>H18-H19-H20</f>
        <v>108632.73691121288</v>
      </c>
      <c r="I21" s="99">
        <f>I18-I19-I20</f>
        <v>176227.39490923454</v>
      </c>
    </row>
  </sheetData>
  <mergeCells count="1">
    <mergeCell ref="D4:I4"/>
  </mergeCells>
  <phoneticPr fontId="30" type="noConversion"/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D4:K12"/>
  <sheetViews>
    <sheetView topLeftCell="C1" workbookViewId="0">
      <selection activeCell="K8" sqref="K8"/>
    </sheetView>
  </sheetViews>
  <sheetFormatPr baseColWidth="10" defaultRowHeight="15"/>
  <cols>
    <col min="5" max="5" width="14.140625" customWidth="1"/>
    <col min="6" max="6" width="11.42578125" bestFit="1" customWidth="1"/>
    <col min="9" max="9" width="16.42578125" customWidth="1"/>
    <col min="10" max="10" width="13.85546875" customWidth="1"/>
    <col min="11" max="11" width="11.42578125" bestFit="1" customWidth="1"/>
  </cols>
  <sheetData>
    <row r="4" spans="4:11">
      <c r="D4" s="123" t="s">
        <v>113</v>
      </c>
      <c r="E4" s="52" t="s">
        <v>316</v>
      </c>
      <c r="F4" s="52" t="s">
        <v>248</v>
      </c>
      <c r="I4" s="83"/>
      <c r="J4" s="52"/>
      <c r="K4" s="52" t="s">
        <v>248</v>
      </c>
    </row>
    <row r="5" spans="4:11">
      <c r="D5" s="160" t="s">
        <v>363</v>
      </c>
      <c r="E5" s="83"/>
      <c r="F5" s="120">
        <f>K5*K6</f>
        <v>308134.83116056427</v>
      </c>
      <c r="I5" s="83" t="s">
        <v>436</v>
      </c>
      <c r="J5" s="83" t="s">
        <v>437</v>
      </c>
      <c r="K5" s="116">
        <f>F6/K6</f>
        <v>275120.3849647895</v>
      </c>
    </row>
    <row r="6" spans="4:11">
      <c r="D6" s="160" t="s">
        <v>364</v>
      </c>
      <c r="E6" s="83"/>
      <c r="F6" s="121">
        <f>SUM(F7:F8)</f>
        <v>308134.83116056427</v>
      </c>
      <c r="I6" s="83" t="s">
        <v>438</v>
      </c>
      <c r="J6" s="83"/>
      <c r="K6">
        <f>Poblacion!E34</f>
        <v>1.1200000000000001</v>
      </c>
    </row>
    <row r="7" spans="4:11">
      <c r="D7" s="207" t="s">
        <v>365</v>
      </c>
      <c r="E7" s="83"/>
      <c r="F7" s="116">
        <f>'Flujo caja accc'!E8</f>
        <v>293605.69714285713</v>
      </c>
      <c r="I7" s="83" t="s">
        <v>439</v>
      </c>
      <c r="J7" s="83"/>
      <c r="K7">
        <f>K5*K6</f>
        <v>308134.83116056427</v>
      </c>
    </row>
    <row r="8" spans="4:11">
      <c r="D8" s="207" t="s">
        <v>366</v>
      </c>
      <c r="E8" s="83"/>
      <c r="F8" s="116">
        <f>'Flujo caja accc'!E9</f>
        <v>14529.134017707116</v>
      </c>
    </row>
    <row r="9" spans="4:11">
      <c r="D9" s="160" t="s">
        <v>367</v>
      </c>
      <c r="E9" s="83"/>
      <c r="F9" s="208">
        <f>SUM(F10:F11)</f>
        <v>79804.800000000003</v>
      </c>
    </row>
    <row r="10" spans="4:11">
      <c r="D10" s="125" t="s">
        <v>368</v>
      </c>
      <c r="E10" s="83"/>
      <c r="F10" s="116">
        <f>'Flujo caja accc'!E11</f>
        <v>47164.800000000003</v>
      </c>
    </row>
    <row r="11" spans="4:11">
      <c r="D11" s="125" t="s">
        <v>369</v>
      </c>
      <c r="E11" s="83"/>
      <c r="F11" s="116">
        <f>'Flujo caja accc'!E12</f>
        <v>32640</v>
      </c>
    </row>
    <row r="12" spans="4:11">
      <c r="D12" s="207" t="s">
        <v>440</v>
      </c>
      <c r="E12" s="83"/>
      <c r="F12" s="121">
        <f>F5-F6</f>
        <v>0</v>
      </c>
    </row>
  </sheetData>
  <phoneticPr fontId="3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F65"/>
  <sheetViews>
    <sheetView topLeftCell="A37" workbookViewId="0">
      <selection activeCell="D57" sqref="D57"/>
    </sheetView>
  </sheetViews>
  <sheetFormatPr baseColWidth="10" defaultRowHeight="15"/>
  <cols>
    <col min="2" max="2" width="30.85546875" customWidth="1"/>
    <col min="3" max="3" width="26.28515625" customWidth="1"/>
    <col min="4" max="4" width="13.5703125" customWidth="1"/>
    <col min="5" max="5" width="13.28515625" customWidth="1"/>
    <col min="6" max="6" width="14" customWidth="1"/>
  </cols>
  <sheetData>
    <row r="2" spans="2:6" ht="21">
      <c r="C2" s="223" t="s">
        <v>19</v>
      </c>
      <c r="D2" s="223"/>
    </row>
    <row r="4" spans="2:6" ht="18.75">
      <c r="B4" s="26" t="s">
        <v>25</v>
      </c>
      <c r="C4" s="26" t="s">
        <v>26</v>
      </c>
      <c r="D4" s="26" t="s">
        <v>27</v>
      </c>
      <c r="E4" s="26" t="s">
        <v>22</v>
      </c>
      <c r="F4" s="26" t="s">
        <v>23</v>
      </c>
    </row>
    <row r="5" spans="2:6" ht="45">
      <c r="B5" s="224" t="s">
        <v>28</v>
      </c>
      <c r="C5" s="19" t="s">
        <v>31</v>
      </c>
      <c r="D5" s="22">
        <v>8</v>
      </c>
      <c r="E5" s="23">
        <v>850</v>
      </c>
      <c r="F5" s="23">
        <f>E5*D5</f>
        <v>6800</v>
      </c>
    </row>
    <row r="6" spans="2:6">
      <c r="B6" s="224"/>
      <c r="C6" s="15" t="s">
        <v>51</v>
      </c>
      <c r="D6" s="22">
        <v>20</v>
      </c>
      <c r="E6" s="23">
        <v>12</v>
      </c>
      <c r="F6" s="23">
        <f>E6*D6</f>
        <v>240</v>
      </c>
    </row>
    <row r="7" spans="2:6">
      <c r="B7" s="224"/>
      <c r="C7" s="15" t="s">
        <v>30</v>
      </c>
      <c r="D7" s="22">
        <v>3</v>
      </c>
      <c r="E7" s="23">
        <v>27</v>
      </c>
      <c r="F7" s="23">
        <f t="shared" ref="F7:F17" si="0">E7*D7</f>
        <v>81</v>
      </c>
    </row>
    <row r="8" spans="2:6">
      <c r="B8" s="224"/>
      <c r="C8" s="15" t="s">
        <v>29</v>
      </c>
      <c r="D8" s="22">
        <v>1</v>
      </c>
      <c r="E8" s="23">
        <v>150</v>
      </c>
      <c r="F8" s="23">
        <f t="shared" si="0"/>
        <v>150</v>
      </c>
    </row>
    <row r="9" spans="2:6">
      <c r="B9" s="225" t="s">
        <v>32</v>
      </c>
      <c r="C9" s="16" t="s">
        <v>33</v>
      </c>
      <c r="D9" s="22">
        <v>4</v>
      </c>
      <c r="E9" s="23">
        <v>250</v>
      </c>
      <c r="F9" s="23">
        <f t="shared" si="0"/>
        <v>1000</v>
      </c>
    </row>
    <row r="10" spans="2:6">
      <c r="B10" s="225"/>
      <c r="C10" s="16" t="s">
        <v>34</v>
      </c>
      <c r="D10" s="22">
        <v>1</v>
      </c>
      <c r="E10" s="23">
        <v>150</v>
      </c>
      <c r="F10" s="23">
        <f t="shared" si="0"/>
        <v>150</v>
      </c>
    </row>
    <row r="11" spans="2:6">
      <c r="B11" s="225"/>
      <c r="C11" s="16" t="s">
        <v>52</v>
      </c>
      <c r="D11" s="22">
        <v>10</v>
      </c>
      <c r="E11" s="23">
        <v>8</v>
      </c>
      <c r="F11" s="23">
        <f t="shared" si="0"/>
        <v>80</v>
      </c>
    </row>
    <row r="12" spans="2:6">
      <c r="B12" s="225"/>
      <c r="C12" s="16" t="s">
        <v>35</v>
      </c>
      <c r="D12" s="22">
        <v>4</v>
      </c>
      <c r="E12" s="23">
        <v>10</v>
      </c>
      <c r="F12" s="23">
        <f t="shared" si="0"/>
        <v>40</v>
      </c>
    </row>
    <row r="13" spans="2:6">
      <c r="B13" s="225"/>
      <c r="C13" s="16" t="s">
        <v>54</v>
      </c>
      <c r="D13" s="22">
        <v>6</v>
      </c>
      <c r="E13" s="22">
        <v>5</v>
      </c>
      <c r="F13" s="23">
        <f t="shared" si="0"/>
        <v>30</v>
      </c>
    </row>
    <row r="14" spans="2:6">
      <c r="B14" s="225"/>
      <c r="C14" s="16" t="s">
        <v>36</v>
      </c>
      <c r="D14" s="22">
        <v>1</v>
      </c>
      <c r="E14" s="22">
        <v>180</v>
      </c>
      <c r="F14" s="23">
        <f t="shared" si="0"/>
        <v>180</v>
      </c>
    </row>
    <row r="15" spans="2:6" ht="25.5">
      <c r="B15" s="225"/>
      <c r="C15" s="17" t="s">
        <v>53</v>
      </c>
      <c r="D15" s="22">
        <v>5</v>
      </c>
      <c r="E15" s="22">
        <v>70</v>
      </c>
      <c r="F15" s="23">
        <f t="shared" si="0"/>
        <v>350</v>
      </c>
    </row>
    <row r="16" spans="2:6" ht="25.5">
      <c r="B16" s="225"/>
      <c r="C16" s="17" t="s">
        <v>37</v>
      </c>
      <c r="D16" s="22">
        <v>5</v>
      </c>
      <c r="E16" s="22">
        <v>625.29999999999995</v>
      </c>
      <c r="F16" s="23">
        <f t="shared" si="0"/>
        <v>3126.5</v>
      </c>
    </row>
    <row r="17" spans="2:6">
      <c r="B17" s="225"/>
      <c r="C17" s="18" t="s">
        <v>38</v>
      </c>
      <c r="D17" s="22">
        <v>5</v>
      </c>
      <c r="E17" s="22">
        <v>118.5</v>
      </c>
      <c r="F17" s="23">
        <f t="shared" si="0"/>
        <v>592.5</v>
      </c>
    </row>
    <row r="18" spans="2:6" ht="25.5">
      <c r="B18" s="226" t="s">
        <v>39</v>
      </c>
      <c r="C18" s="20" t="s">
        <v>40</v>
      </c>
      <c r="D18" s="21">
        <v>6</v>
      </c>
      <c r="E18" s="21">
        <v>3.92</v>
      </c>
      <c r="F18" s="21">
        <f t="shared" ref="F18:F28" si="1">+E18*D18</f>
        <v>23.52</v>
      </c>
    </row>
    <row r="19" spans="2:6" ht="25.5">
      <c r="B19" s="226"/>
      <c r="C19" s="20" t="s">
        <v>41</v>
      </c>
      <c r="D19" s="13">
        <v>21</v>
      </c>
      <c r="E19" s="13">
        <v>0.3</v>
      </c>
      <c r="F19" s="13">
        <f t="shared" si="1"/>
        <v>6.3</v>
      </c>
    </row>
    <row r="20" spans="2:6">
      <c r="B20" s="226"/>
      <c r="C20" s="20" t="s">
        <v>50</v>
      </c>
      <c r="D20" s="13">
        <v>10</v>
      </c>
      <c r="E20" s="13">
        <v>0.2</v>
      </c>
      <c r="F20" s="13">
        <f t="shared" si="1"/>
        <v>2</v>
      </c>
    </row>
    <row r="21" spans="2:6">
      <c r="B21" s="226"/>
      <c r="C21" s="20" t="s">
        <v>42</v>
      </c>
      <c r="D21" s="13">
        <v>10</v>
      </c>
      <c r="E21" s="13">
        <v>2.41</v>
      </c>
      <c r="F21" s="13">
        <f t="shared" si="1"/>
        <v>24.1</v>
      </c>
    </row>
    <row r="22" spans="2:6">
      <c r="B22" s="226"/>
      <c r="C22" s="20" t="s">
        <v>43</v>
      </c>
      <c r="D22" s="13">
        <v>2</v>
      </c>
      <c r="E22" s="13">
        <v>0.67</v>
      </c>
      <c r="F22" s="13">
        <f t="shared" si="1"/>
        <v>1.34</v>
      </c>
    </row>
    <row r="23" spans="2:6">
      <c r="B23" s="226"/>
      <c r="C23" s="20" t="s">
        <v>44</v>
      </c>
      <c r="D23" s="13">
        <v>5</v>
      </c>
      <c r="E23" s="13">
        <v>0.15</v>
      </c>
      <c r="F23" s="13">
        <f t="shared" si="1"/>
        <v>0.75</v>
      </c>
    </row>
    <row r="24" spans="2:6">
      <c r="B24" s="226"/>
      <c r="C24" s="20" t="s">
        <v>45</v>
      </c>
      <c r="D24" s="13">
        <v>4</v>
      </c>
      <c r="E24" s="13">
        <v>0.45</v>
      </c>
      <c r="F24" s="13">
        <f t="shared" si="1"/>
        <v>1.8</v>
      </c>
    </row>
    <row r="25" spans="2:6">
      <c r="B25" s="226"/>
      <c r="C25" s="20" t="s">
        <v>46</v>
      </c>
      <c r="D25" s="13">
        <v>2</v>
      </c>
      <c r="E25" s="13">
        <v>0.24</v>
      </c>
      <c r="F25" s="13">
        <f t="shared" si="1"/>
        <v>0.48</v>
      </c>
    </row>
    <row r="26" spans="2:6">
      <c r="B26" s="226"/>
      <c r="C26" s="20" t="s">
        <v>47</v>
      </c>
      <c r="D26" s="13">
        <v>1</v>
      </c>
      <c r="E26" s="13">
        <v>1.01</v>
      </c>
      <c r="F26" s="13">
        <f t="shared" si="1"/>
        <v>1.01</v>
      </c>
    </row>
    <row r="27" spans="2:6" ht="25.5">
      <c r="B27" s="226"/>
      <c r="C27" s="20" t="s">
        <v>48</v>
      </c>
      <c r="D27" s="13">
        <v>3</v>
      </c>
      <c r="E27" s="13">
        <f>0.65+6+5.52</f>
        <v>12.17</v>
      </c>
      <c r="F27" s="13">
        <f t="shared" si="1"/>
        <v>36.51</v>
      </c>
    </row>
    <row r="28" spans="2:6" ht="25.5">
      <c r="B28" s="226"/>
      <c r="C28" s="20" t="s">
        <v>49</v>
      </c>
      <c r="D28" s="13">
        <v>2</v>
      </c>
      <c r="E28" s="13">
        <f>0.85+0.62</f>
        <v>1.47</v>
      </c>
      <c r="F28" s="13">
        <f t="shared" si="1"/>
        <v>2.94</v>
      </c>
    </row>
    <row r="29" spans="2:6">
      <c r="B29" s="37" t="s">
        <v>13</v>
      </c>
      <c r="C29" s="37"/>
      <c r="D29" s="37"/>
      <c r="E29" s="37">
        <f>SUM(E5:E28)</f>
        <v>2478.79</v>
      </c>
      <c r="F29" s="38">
        <f>SUM(F5:F28)</f>
        <v>12920.75</v>
      </c>
    </row>
    <row r="32" spans="2:6" ht="20.25">
      <c r="B32" s="227" t="s">
        <v>55</v>
      </c>
      <c r="C32" s="227"/>
      <c r="D32" s="227"/>
      <c r="E32" s="227"/>
      <c r="F32" s="227"/>
    </row>
    <row r="33" spans="2:6">
      <c r="B33" s="25"/>
      <c r="C33" s="25"/>
      <c r="D33" s="25"/>
      <c r="E33" s="25"/>
      <c r="F33" s="25"/>
    </row>
    <row r="34" spans="2:6" ht="31.5">
      <c r="B34" s="12" t="s">
        <v>56</v>
      </c>
      <c r="C34" s="12" t="s">
        <v>21</v>
      </c>
      <c r="D34" s="12" t="s">
        <v>2</v>
      </c>
      <c r="E34" s="12" t="s">
        <v>22</v>
      </c>
      <c r="F34" s="12" t="s">
        <v>23</v>
      </c>
    </row>
    <row r="35" spans="2:6">
      <c r="B35" s="13" t="s">
        <v>57</v>
      </c>
      <c r="C35" s="14" t="s">
        <v>58</v>
      </c>
      <c r="D35" s="13">
        <v>5</v>
      </c>
      <c r="E35" s="13">
        <v>2.19</v>
      </c>
      <c r="F35" s="13">
        <f t="shared" ref="F35:F41" si="2">+D35*E35</f>
        <v>10.95</v>
      </c>
    </row>
    <row r="36" spans="2:6">
      <c r="B36" s="13" t="s">
        <v>59</v>
      </c>
      <c r="C36" s="14" t="s">
        <v>60</v>
      </c>
      <c r="D36" s="13">
        <v>5</v>
      </c>
      <c r="E36" s="13">
        <v>2.5</v>
      </c>
      <c r="F36" s="13">
        <f t="shared" si="2"/>
        <v>12.5</v>
      </c>
    </row>
    <row r="37" spans="2:6">
      <c r="B37" s="13" t="s">
        <v>61</v>
      </c>
      <c r="C37" s="14" t="s">
        <v>68</v>
      </c>
      <c r="D37" s="13">
        <v>4</v>
      </c>
      <c r="E37" s="13">
        <v>6.25</v>
      </c>
      <c r="F37" s="13">
        <f t="shared" si="2"/>
        <v>25</v>
      </c>
    </row>
    <row r="38" spans="2:6">
      <c r="B38" s="13" t="s">
        <v>62</v>
      </c>
      <c r="C38" s="14" t="s">
        <v>63</v>
      </c>
      <c r="D38" s="13">
        <v>3</v>
      </c>
      <c r="E38" s="13">
        <v>2.2400000000000002</v>
      </c>
      <c r="F38" s="13">
        <f t="shared" si="2"/>
        <v>6.7200000000000006</v>
      </c>
    </row>
    <row r="39" spans="2:6">
      <c r="B39" s="13" t="s">
        <v>64</v>
      </c>
      <c r="C39" s="14" t="s">
        <v>65</v>
      </c>
      <c r="D39" s="13">
        <v>3</v>
      </c>
      <c r="E39" s="13">
        <v>2.5</v>
      </c>
      <c r="F39" s="13">
        <f t="shared" si="2"/>
        <v>7.5</v>
      </c>
    </row>
    <row r="40" spans="2:6">
      <c r="B40" s="13"/>
      <c r="C40" s="14"/>
      <c r="D40" s="13"/>
      <c r="E40" s="13"/>
      <c r="F40" s="13">
        <f t="shared" si="2"/>
        <v>0</v>
      </c>
    </row>
    <row r="41" spans="2:6">
      <c r="B41" s="13" t="s">
        <v>66</v>
      </c>
      <c r="C41" s="14" t="s">
        <v>67</v>
      </c>
      <c r="D41" s="13">
        <v>10</v>
      </c>
      <c r="E41" s="13">
        <v>2.6</v>
      </c>
      <c r="F41" s="13">
        <f t="shared" si="2"/>
        <v>26</v>
      </c>
    </row>
    <row r="42" spans="2:6">
      <c r="B42" s="35" t="s">
        <v>13</v>
      </c>
      <c r="C42" s="35"/>
      <c r="D42" s="35"/>
      <c r="E42" s="35">
        <f>SUM(E35:E41)</f>
        <v>18.28</v>
      </c>
      <c r="F42" s="35">
        <f>SUM(F35:F41)</f>
        <v>88.67</v>
      </c>
    </row>
    <row r="44" spans="2:6" ht="21">
      <c r="B44" s="223" t="s">
        <v>80</v>
      </c>
      <c r="C44" s="223"/>
      <c r="D44" s="223"/>
      <c r="E44" s="223"/>
    </row>
    <row r="46" spans="2:6" ht="31.5">
      <c r="B46" s="29" t="s">
        <v>20</v>
      </c>
      <c r="C46" s="29" t="s">
        <v>2</v>
      </c>
      <c r="D46" s="29" t="s">
        <v>22</v>
      </c>
      <c r="E46" s="29" t="s">
        <v>23</v>
      </c>
    </row>
    <row r="47" spans="2:6">
      <c r="B47" s="30" t="s">
        <v>69</v>
      </c>
      <c r="C47" s="31">
        <v>1</v>
      </c>
      <c r="D47" s="32">
        <v>5000</v>
      </c>
      <c r="E47" s="32">
        <f t="shared" ref="E47:E58" si="3">D47*C47</f>
        <v>5000</v>
      </c>
    </row>
    <row r="48" spans="2:6">
      <c r="B48" s="30" t="s">
        <v>70</v>
      </c>
      <c r="C48" s="31">
        <v>1</v>
      </c>
      <c r="D48" s="32">
        <v>3200</v>
      </c>
      <c r="E48" s="32">
        <f t="shared" si="3"/>
        <v>3200</v>
      </c>
    </row>
    <row r="49" spans="2:6">
      <c r="B49" s="30" t="s">
        <v>71</v>
      </c>
      <c r="C49" s="31">
        <v>1</v>
      </c>
      <c r="D49" s="32">
        <v>2800</v>
      </c>
      <c r="E49" s="32">
        <f t="shared" si="3"/>
        <v>2800</v>
      </c>
    </row>
    <row r="50" spans="2:6">
      <c r="B50" s="30" t="s">
        <v>72</v>
      </c>
      <c r="C50" s="31">
        <v>1</v>
      </c>
      <c r="D50" s="32">
        <v>4000</v>
      </c>
      <c r="E50" s="32">
        <f t="shared" si="3"/>
        <v>4000</v>
      </c>
    </row>
    <row r="51" spans="2:6">
      <c r="B51" s="30" t="s">
        <v>73</v>
      </c>
      <c r="C51" s="31">
        <v>1</v>
      </c>
      <c r="D51" s="32">
        <v>4500</v>
      </c>
      <c r="E51" s="32">
        <f t="shared" si="3"/>
        <v>4500</v>
      </c>
    </row>
    <row r="52" spans="2:6">
      <c r="B52" s="30" t="s">
        <v>74</v>
      </c>
      <c r="C52" s="31">
        <v>0</v>
      </c>
      <c r="D52" s="32">
        <v>0</v>
      </c>
      <c r="E52" s="32">
        <f t="shared" si="3"/>
        <v>0</v>
      </c>
    </row>
    <row r="53" spans="2:6">
      <c r="B53" s="30" t="s">
        <v>75</v>
      </c>
      <c r="C53" s="31">
        <v>4</v>
      </c>
      <c r="D53" s="32">
        <v>200</v>
      </c>
      <c r="E53" s="32">
        <f t="shared" si="3"/>
        <v>800</v>
      </c>
    </row>
    <row r="54" spans="2:6">
      <c r="B54" s="30" t="s">
        <v>76</v>
      </c>
      <c r="C54" s="31">
        <v>4</v>
      </c>
      <c r="D54" s="32">
        <v>1200</v>
      </c>
      <c r="E54" s="32">
        <f t="shared" si="3"/>
        <v>4800</v>
      </c>
    </row>
    <row r="55" spans="2:6">
      <c r="B55" s="30" t="s">
        <v>77</v>
      </c>
      <c r="C55" s="31">
        <v>3</v>
      </c>
      <c r="D55" s="32">
        <v>1200</v>
      </c>
      <c r="E55" s="32">
        <f t="shared" si="3"/>
        <v>3600</v>
      </c>
    </row>
    <row r="56" spans="2:6">
      <c r="B56" s="30" t="s">
        <v>78</v>
      </c>
      <c r="C56" s="31">
        <v>3</v>
      </c>
      <c r="D56" s="32">
        <v>1000</v>
      </c>
      <c r="E56" s="32">
        <f t="shared" si="3"/>
        <v>3000</v>
      </c>
    </row>
    <row r="57" spans="2:6">
      <c r="B57" s="33" t="s">
        <v>79</v>
      </c>
      <c r="C57" s="34">
        <v>70</v>
      </c>
      <c r="D57" s="32">
        <v>40</v>
      </c>
      <c r="E57" s="32">
        <f t="shared" si="3"/>
        <v>2800</v>
      </c>
    </row>
    <row r="58" spans="2:6">
      <c r="B58" s="33" t="s">
        <v>94</v>
      </c>
      <c r="C58" s="31">
        <v>1</v>
      </c>
      <c r="D58" s="32">
        <v>385</v>
      </c>
      <c r="E58" s="32">
        <f t="shared" si="3"/>
        <v>385</v>
      </c>
    </row>
    <row r="59" spans="2:6">
      <c r="B59" s="36" t="s">
        <v>13</v>
      </c>
      <c r="C59" s="37"/>
      <c r="D59" s="37">
        <f>SUM(D47:D58)</f>
        <v>23525</v>
      </c>
      <c r="E59" s="37">
        <f>SUM(E47:E58)</f>
        <v>34885</v>
      </c>
    </row>
    <row r="61" spans="2:6" ht="21">
      <c r="C61" s="27" t="s">
        <v>24</v>
      </c>
    </row>
    <row r="62" spans="2:6" ht="18.75">
      <c r="B62" s="26" t="s">
        <v>25</v>
      </c>
      <c r="C62" s="26" t="s">
        <v>26</v>
      </c>
      <c r="D62" s="26" t="s">
        <v>27</v>
      </c>
      <c r="E62" s="26" t="s">
        <v>22</v>
      </c>
      <c r="F62" s="26" t="s">
        <v>23</v>
      </c>
    </row>
    <row r="63" spans="2:6">
      <c r="B63" s="222" t="s">
        <v>81</v>
      </c>
      <c r="C63" s="22" t="s">
        <v>82</v>
      </c>
      <c r="D63" s="22">
        <v>1</v>
      </c>
      <c r="E63" s="22">
        <v>45000</v>
      </c>
      <c r="F63" s="22">
        <f>E63*D63</f>
        <v>45000</v>
      </c>
    </row>
    <row r="64" spans="2:6">
      <c r="B64" s="222"/>
      <c r="C64" s="22" t="s">
        <v>83</v>
      </c>
      <c r="D64" s="22">
        <v>1</v>
      </c>
      <c r="E64" s="22">
        <v>19000</v>
      </c>
      <c r="F64" s="22">
        <f>E64*D64</f>
        <v>19000</v>
      </c>
    </row>
    <row r="65" spans="2:6">
      <c r="B65" s="37" t="s">
        <v>13</v>
      </c>
      <c r="C65" s="37"/>
      <c r="D65" s="37"/>
      <c r="E65" s="37">
        <f>SUM(E63:E64)</f>
        <v>64000</v>
      </c>
      <c r="F65" s="37">
        <f>SUM(F63:F64)</f>
        <v>64000</v>
      </c>
    </row>
  </sheetData>
  <mergeCells count="7">
    <mergeCell ref="B63:B64"/>
    <mergeCell ref="C2:D2"/>
    <mergeCell ref="B44:E44"/>
    <mergeCell ref="B5:B8"/>
    <mergeCell ref="B9:B17"/>
    <mergeCell ref="B18:B28"/>
    <mergeCell ref="B32:F3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3:J69"/>
  <sheetViews>
    <sheetView topLeftCell="A13" workbookViewId="0">
      <selection activeCell="E30" sqref="E30"/>
    </sheetView>
  </sheetViews>
  <sheetFormatPr baseColWidth="10" defaultRowHeight="15"/>
  <cols>
    <col min="3" max="3" width="25.140625" customWidth="1"/>
    <col min="4" max="4" width="12.5703125" customWidth="1"/>
    <col min="5" max="5" width="13.7109375" customWidth="1"/>
    <col min="6" max="6" width="15.85546875" customWidth="1"/>
    <col min="7" max="7" width="18.28515625" customWidth="1"/>
    <col min="9" max="9" width="13.140625" customWidth="1"/>
    <col min="10" max="10" width="12.5703125" customWidth="1"/>
  </cols>
  <sheetData>
    <row r="3" spans="3:7">
      <c r="C3" s="229" t="s">
        <v>121</v>
      </c>
      <c r="D3" s="229"/>
      <c r="E3" s="229"/>
      <c r="F3" s="229"/>
      <c r="G3" s="229"/>
    </row>
    <row r="5" spans="3:7">
      <c r="C5" s="228" t="s">
        <v>122</v>
      </c>
      <c r="D5" s="228"/>
      <c r="E5" s="228"/>
      <c r="F5" s="228"/>
      <c r="G5" s="228"/>
    </row>
    <row r="6" spans="3:7">
      <c r="C6" s="52" t="s">
        <v>124</v>
      </c>
      <c r="D6" s="52" t="s">
        <v>2</v>
      </c>
      <c r="E6" s="52" t="s">
        <v>3</v>
      </c>
      <c r="F6" s="52" t="s">
        <v>4</v>
      </c>
      <c r="G6" s="52" t="s">
        <v>5</v>
      </c>
    </row>
    <row r="7" spans="3:7">
      <c r="C7" s="53" t="s">
        <v>11</v>
      </c>
      <c r="D7" s="54">
        <v>3</v>
      </c>
      <c r="E7" s="54">
        <v>280</v>
      </c>
      <c r="F7" s="54">
        <f>+E7*D7</f>
        <v>840</v>
      </c>
      <c r="G7" s="54">
        <f>+F7*12</f>
        <v>10080</v>
      </c>
    </row>
    <row r="8" spans="3:7">
      <c r="C8" s="53" t="s">
        <v>12</v>
      </c>
      <c r="D8" s="54">
        <v>2</v>
      </c>
      <c r="E8" s="54">
        <v>240</v>
      </c>
      <c r="F8" s="55">
        <f>+E8*D8</f>
        <v>480</v>
      </c>
      <c r="G8" s="55">
        <f>+F8*12</f>
        <v>5760</v>
      </c>
    </row>
    <row r="9" spans="3:7">
      <c r="C9" s="53" t="s">
        <v>13</v>
      </c>
      <c r="F9" s="56">
        <f>SUM(F7:F8)</f>
        <v>1320</v>
      </c>
      <c r="G9" s="56">
        <f>SUM(G7:G8)</f>
        <v>15840</v>
      </c>
    </row>
    <row r="12" spans="3:7">
      <c r="C12" s="228" t="s">
        <v>123</v>
      </c>
      <c r="D12" s="228"/>
      <c r="E12" s="228"/>
      <c r="F12" s="228"/>
      <c r="G12" s="228"/>
    </row>
    <row r="13" spans="3:7">
      <c r="C13" s="52" t="s">
        <v>124</v>
      </c>
      <c r="D13" s="52" t="s">
        <v>2</v>
      </c>
      <c r="E13" s="52" t="s">
        <v>3</v>
      </c>
      <c r="F13" s="52" t="s">
        <v>4</v>
      </c>
      <c r="G13" s="52" t="s">
        <v>86</v>
      </c>
    </row>
    <row r="14" spans="3:7">
      <c r="C14" s="83" t="s">
        <v>6</v>
      </c>
      <c r="D14" s="83">
        <v>1</v>
      </c>
      <c r="E14" s="83">
        <v>1200</v>
      </c>
      <c r="F14" s="83">
        <f t="shared" ref="F14:F21" si="0">+E14*D14</f>
        <v>1200</v>
      </c>
      <c r="G14" s="83">
        <f t="shared" ref="G14:G21" si="1">+F14*12</f>
        <v>14400</v>
      </c>
    </row>
    <row r="15" spans="3:7">
      <c r="C15" s="83" t="s">
        <v>10</v>
      </c>
      <c r="D15" s="83">
        <v>1</v>
      </c>
      <c r="E15" s="83">
        <v>800</v>
      </c>
      <c r="F15" s="83">
        <f t="shared" si="0"/>
        <v>800</v>
      </c>
      <c r="G15" s="83">
        <f t="shared" si="1"/>
        <v>9600</v>
      </c>
    </row>
    <row r="16" spans="3:7">
      <c r="C16" s="83" t="s">
        <v>15</v>
      </c>
      <c r="D16" s="83">
        <v>1</v>
      </c>
      <c r="E16" s="83">
        <v>800</v>
      </c>
      <c r="F16" s="83">
        <f t="shared" si="0"/>
        <v>800</v>
      </c>
      <c r="G16" s="83">
        <f t="shared" si="1"/>
        <v>9600</v>
      </c>
    </row>
    <row r="17" spans="3:8">
      <c r="C17" s="83" t="s">
        <v>14</v>
      </c>
      <c r="D17" s="83">
        <v>1</v>
      </c>
      <c r="E17" s="83">
        <v>800</v>
      </c>
      <c r="F17" s="83">
        <f t="shared" si="0"/>
        <v>800</v>
      </c>
      <c r="G17" s="83">
        <f t="shared" si="1"/>
        <v>9600</v>
      </c>
    </row>
    <row r="18" spans="3:8">
      <c r="C18" s="83" t="s">
        <v>7</v>
      </c>
      <c r="D18" s="83">
        <v>4</v>
      </c>
      <c r="E18" s="83">
        <v>240</v>
      </c>
      <c r="F18" s="83">
        <f t="shared" si="0"/>
        <v>960</v>
      </c>
      <c r="G18" s="83">
        <f t="shared" si="1"/>
        <v>11520</v>
      </c>
    </row>
    <row r="19" spans="3:8">
      <c r="C19" s="83" t="s">
        <v>8</v>
      </c>
      <c r="D19" s="83">
        <v>1</v>
      </c>
      <c r="E19" s="83">
        <v>500</v>
      </c>
      <c r="F19" s="83">
        <f t="shared" si="0"/>
        <v>500</v>
      </c>
      <c r="G19" s="83">
        <f t="shared" si="1"/>
        <v>6000</v>
      </c>
    </row>
    <row r="20" spans="3:8">
      <c r="C20" s="83" t="s">
        <v>9</v>
      </c>
      <c r="D20" s="83">
        <v>15</v>
      </c>
      <c r="E20" s="83">
        <v>240</v>
      </c>
      <c r="F20" s="83">
        <f t="shared" si="0"/>
        <v>3600</v>
      </c>
      <c r="G20" s="83">
        <f t="shared" si="1"/>
        <v>43200</v>
      </c>
    </row>
    <row r="21" spans="3:8">
      <c r="C21" s="83" t="s">
        <v>16</v>
      </c>
      <c r="D21" s="83">
        <v>20</v>
      </c>
      <c r="E21" s="83">
        <v>220</v>
      </c>
      <c r="F21" s="83">
        <f t="shared" si="0"/>
        <v>4400</v>
      </c>
      <c r="G21" s="83">
        <f t="shared" si="1"/>
        <v>52800</v>
      </c>
    </row>
    <row r="22" spans="3:8">
      <c r="C22" s="83"/>
      <c r="D22" s="83"/>
      <c r="E22" s="83"/>
      <c r="F22" s="83">
        <f>SUM(F14:F21)</f>
        <v>13060</v>
      </c>
      <c r="G22" s="204">
        <f>SUM(G14:G21)</f>
        <v>156720</v>
      </c>
    </row>
    <row r="25" spans="3:8">
      <c r="C25" s="232" t="s">
        <v>125</v>
      </c>
      <c r="D25" s="232"/>
      <c r="E25" s="232"/>
      <c r="F25" s="232"/>
    </row>
    <row r="26" spans="3:8">
      <c r="C26" s="231" t="s">
        <v>126</v>
      </c>
      <c r="D26" s="231"/>
      <c r="E26" s="231"/>
      <c r="F26" s="231"/>
      <c r="G26" s="231"/>
      <c r="H26" s="57"/>
    </row>
    <row r="27" spans="3:8">
      <c r="C27" s="52" t="s">
        <v>129</v>
      </c>
      <c r="D27" s="52" t="s">
        <v>127</v>
      </c>
      <c r="E27" s="52" t="s">
        <v>128</v>
      </c>
      <c r="F27" s="52" t="s">
        <v>3</v>
      </c>
      <c r="G27" s="52" t="s">
        <v>5</v>
      </c>
    </row>
    <row r="28" spans="3:8">
      <c r="C28" s="58" t="s">
        <v>393</v>
      </c>
      <c r="D28" s="59">
        <f>Poblacion!E31</f>
        <v>27411.428571428572</v>
      </c>
      <c r="E28" s="60">
        <v>0.04</v>
      </c>
      <c r="F28" s="61">
        <f>D28*E28</f>
        <v>1096.457142857143</v>
      </c>
      <c r="G28" s="61">
        <f>F28*12</f>
        <v>13157.485714285716</v>
      </c>
    </row>
    <row r="29" spans="3:8">
      <c r="C29" s="58" t="s">
        <v>422</v>
      </c>
      <c r="D29" s="59">
        <f>Poblacion!E31</f>
        <v>27411.428571428572</v>
      </c>
      <c r="E29" s="203">
        <v>0.2</v>
      </c>
      <c r="F29" s="61">
        <f>E29*D29</f>
        <v>5482.2857142857147</v>
      </c>
      <c r="G29" s="61">
        <f>F29*12</f>
        <v>65787.42857142858</v>
      </c>
    </row>
    <row r="30" spans="3:8">
      <c r="C30" s="66" t="s">
        <v>133</v>
      </c>
      <c r="D30" s="67">
        <f>D28</f>
        <v>27411.428571428572</v>
      </c>
      <c r="E30" s="71">
        <v>0.02</v>
      </c>
      <c r="F30" s="61">
        <f>D30*E30</f>
        <v>548.22857142857151</v>
      </c>
      <c r="G30" s="61">
        <f>F30*12</f>
        <v>6578.7428571428582</v>
      </c>
    </row>
    <row r="31" spans="3:8">
      <c r="C31" s="64" t="s">
        <v>132</v>
      </c>
      <c r="D31" s="65">
        <v>50</v>
      </c>
      <c r="E31" s="69">
        <v>1.45</v>
      </c>
      <c r="F31" s="4">
        <f>E31*D31</f>
        <v>72.5</v>
      </c>
      <c r="G31" s="70">
        <f>F31*12</f>
        <v>870</v>
      </c>
    </row>
    <row r="32" spans="3:8" ht="15.75">
      <c r="C32" s="63" t="s">
        <v>13</v>
      </c>
      <c r="F32" s="62">
        <f>SUM(F28:F31)</f>
        <v>7199.471428571429</v>
      </c>
      <c r="G32" s="62">
        <f>SUM(G28:G31)</f>
        <v>86393.657142857162</v>
      </c>
    </row>
    <row r="35" spans="3:10">
      <c r="C35" s="228" t="s">
        <v>131</v>
      </c>
      <c r="D35" s="228"/>
      <c r="E35" s="228"/>
      <c r="F35" s="228"/>
      <c r="G35" s="228"/>
    </row>
    <row r="36" spans="3:10">
      <c r="C36" s="52" t="s">
        <v>85</v>
      </c>
      <c r="D36" s="52" t="s">
        <v>2</v>
      </c>
      <c r="E36" s="52" t="s">
        <v>3</v>
      </c>
      <c r="F36" s="52" t="s">
        <v>4</v>
      </c>
      <c r="G36" s="52" t="s">
        <v>86</v>
      </c>
      <c r="H36" s="68"/>
    </row>
    <row r="37" spans="3:10" ht="15.75">
      <c r="C37" s="12" t="s">
        <v>56</v>
      </c>
      <c r="D37" s="65"/>
      <c r="E37" s="69">
        <f>'Equipo de ofic y planta'!F42</f>
        <v>88.67</v>
      </c>
      <c r="F37" s="4">
        <f>E37</f>
        <v>88.67</v>
      </c>
      <c r="G37" s="70">
        <f>F37*12</f>
        <v>1064.04</v>
      </c>
    </row>
    <row r="38" spans="3:10">
      <c r="C38" t="s">
        <v>13</v>
      </c>
      <c r="F38" s="51">
        <f>SUM(F37:F37)</f>
        <v>88.67</v>
      </c>
      <c r="G38" s="51">
        <f>SUM(G37:G37)</f>
        <v>1064.04</v>
      </c>
    </row>
    <row r="41" spans="3:10">
      <c r="D41" s="230" t="s">
        <v>144</v>
      </c>
      <c r="E41" s="230"/>
      <c r="F41" s="230"/>
    </row>
    <row r="43" spans="3:10">
      <c r="C43" t="s">
        <v>134</v>
      </c>
      <c r="D43" t="s">
        <v>135</v>
      </c>
      <c r="E43" t="s">
        <v>136</v>
      </c>
      <c r="G43" t="s">
        <v>137</v>
      </c>
      <c r="H43" t="s">
        <v>138</v>
      </c>
      <c r="I43" t="s">
        <v>145</v>
      </c>
      <c r="J43" t="s">
        <v>146</v>
      </c>
    </row>
    <row r="44" spans="3:10">
      <c r="C44" t="s">
        <v>139</v>
      </c>
      <c r="D44" t="s">
        <v>140</v>
      </c>
      <c r="E44" t="s">
        <v>141</v>
      </c>
      <c r="G44">
        <v>3</v>
      </c>
      <c r="H44">
        <v>1.1000000000000001</v>
      </c>
      <c r="I44">
        <f>(G44*H44)*30</f>
        <v>99.000000000000014</v>
      </c>
      <c r="J44">
        <f>I44*12</f>
        <v>1188.0000000000002</v>
      </c>
    </row>
    <row r="45" spans="3:10">
      <c r="C45" t="s">
        <v>142</v>
      </c>
      <c r="D45" t="s">
        <v>140</v>
      </c>
      <c r="E45" t="s">
        <v>143</v>
      </c>
      <c r="G45">
        <v>6</v>
      </c>
      <c r="H45">
        <v>15</v>
      </c>
      <c r="I45">
        <f>(G45*H45)*30</f>
        <v>2700</v>
      </c>
      <c r="J45">
        <f>I45*12</f>
        <v>32400</v>
      </c>
    </row>
    <row r="46" spans="3:10">
      <c r="C46" t="s">
        <v>13</v>
      </c>
      <c r="I46" s="51">
        <f>SUM(I44:I45)</f>
        <v>2799</v>
      </c>
      <c r="J46" s="51">
        <f>SUM(J44:J45)</f>
        <v>33588</v>
      </c>
    </row>
    <row r="55" spans="3:6">
      <c r="C55" s="228" t="s">
        <v>402</v>
      </c>
      <c r="D55" s="228"/>
    </row>
    <row r="57" spans="3:6">
      <c r="C57" s="52" t="s">
        <v>85</v>
      </c>
      <c r="D57" s="83"/>
    </row>
    <row r="58" spans="3:6">
      <c r="C58" s="80" t="s">
        <v>394</v>
      </c>
      <c r="D58" s="83"/>
    </row>
    <row r="59" spans="3:6">
      <c r="C59" s="83" t="s">
        <v>403</v>
      </c>
      <c r="D59" s="163" t="s">
        <v>404</v>
      </c>
    </row>
    <row r="60" spans="3:6">
      <c r="C60" s="83" t="s">
        <v>395</v>
      </c>
      <c r="D60" s="122">
        <v>0.1</v>
      </c>
    </row>
    <row r="61" spans="3:6">
      <c r="C61" s="83" t="s">
        <v>396</v>
      </c>
      <c r="D61" s="83">
        <v>5</v>
      </c>
    </row>
    <row r="62" spans="3:6">
      <c r="C62" s="83" t="s">
        <v>152</v>
      </c>
      <c r="D62" s="164">
        <f>'Estructura y Abministracion'!D26</f>
        <v>40000</v>
      </c>
      <c r="E62" s="165"/>
      <c r="F62" s="4"/>
    </row>
    <row r="63" spans="3:6">
      <c r="C63" s="83" t="s">
        <v>397</v>
      </c>
      <c r="D63" s="164">
        <f>D60*D62</f>
        <v>4000</v>
      </c>
      <c r="E63" s="4"/>
      <c r="F63" s="4"/>
    </row>
    <row r="64" spans="3:6">
      <c r="C64" s="166" t="s">
        <v>398</v>
      </c>
      <c r="D64" s="167">
        <f>((1.12)^(1/12))-1</f>
        <v>9.4887929345830457E-3</v>
      </c>
      <c r="E64" s="4"/>
      <c r="F64" s="168"/>
    </row>
    <row r="65" spans="3:9">
      <c r="C65" s="83" t="s">
        <v>399</v>
      </c>
      <c r="D65" s="120">
        <f>PMT(D64,60,-D62)</f>
        <v>877.42783480892638</v>
      </c>
      <c r="E65" s="4"/>
      <c r="F65" s="4"/>
    </row>
    <row r="66" spans="3:9">
      <c r="C66" s="125" t="s">
        <v>103</v>
      </c>
      <c r="D66" s="120">
        <f>D65*12</f>
        <v>10529.134017707116</v>
      </c>
    </row>
    <row r="68" spans="3:9">
      <c r="C68" s="52" t="s">
        <v>400</v>
      </c>
      <c r="D68" s="52" t="s">
        <v>248</v>
      </c>
      <c r="E68" s="52" t="s">
        <v>249</v>
      </c>
      <c r="F68" s="52" t="s">
        <v>250</v>
      </c>
      <c r="G68" s="52" t="s">
        <v>251</v>
      </c>
      <c r="H68" s="52" t="s">
        <v>252</v>
      </c>
      <c r="I68" s="150" t="s">
        <v>167</v>
      </c>
    </row>
    <row r="69" spans="3:9">
      <c r="C69" s="111" t="s">
        <v>401</v>
      </c>
      <c r="D69" s="120">
        <f>D66+D63</f>
        <v>14529.134017707116</v>
      </c>
      <c r="E69" s="120">
        <f>$D$66</f>
        <v>10529.134017707116</v>
      </c>
      <c r="F69" s="120">
        <f>$D$66</f>
        <v>10529.134017707116</v>
      </c>
      <c r="G69" s="120">
        <f>$D$66</f>
        <v>10529.134017707116</v>
      </c>
      <c r="H69" s="120">
        <f>$D$66</f>
        <v>10529.134017707116</v>
      </c>
      <c r="I69" s="169">
        <f>SUM(D69:H69)</f>
        <v>56645.670088535582</v>
      </c>
    </row>
  </sheetData>
  <mergeCells count="8">
    <mergeCell ref="C55:D55"/>
    <mergeCell ref="C3:G3"/>
    <mergeCell ref="C5:G5"/>
    <mergeCell ref="C12:G12"/>
    <mergeCell ref="D41:F41"/>
    <mergeCell ref="C26:G26"/>
    <mergeCell ref="C25:F25"/>
    <mergeCell ref="C35:G35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N26"/>
  <sheetViews>
    <sheetView workbookViewId="0">
      <selection activeCell="E8" sqref="E8"/>
    </sheetView>
  </sheetViews>
  <sheetFormatPr baseColWidth="10" defaultRowHeight="15"/>
  <cols>
    <col min="3" max="3" width="32.85546875" customWidth="1"/>
    <col min="4" max="4" width="11.7109375" customWidth="1"/>
    <col min="5" max="5" width="12.85546875" customWidth="1"/>
    <col min="6" max="6" width="17" customWidth="1"/>
    <col min="7" max="7" width="13.140625" customWidth="1"/>
  </cols>
  <sheetData>
    <row r="3" spans="3:14">
      <c r="C3" s="233" t="s">
        <v>0</v>
      </c>
      <c r="D3" s="233"/>
      <c r="E3" s="233"/>
      <c r="F3" s="233"/>
      <c r="G3" s="233"/>
    </row>
    <row r="4" spans="3:14">
      <c r="C4" s="1"/>
      <c r="D4" s="1"/>
      <c r="E4" s="1"/>
      <c r="F4" s="1"/>
      <c r="G4" s="1"/>
    </row>
    <row r="5" spans="3:14"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3:14">
      <c r="C6" s="6" t="s">
        <v>6</v>
      </c>
      <c r="D6" s="6">
        <v>1</v>
      </c>
      <c r="E6" s="6">
        <v>750</v>
      </c>
      <c r="F6" s="6">
        <f t="shared" ref="F6:F13" si="0">+E6*D6</f>
        <v>750</v>
      </c>
      <c r="G6" s="6">
        <f t="shared" ref="G6:G14" si="1">+F6*12</f>
        <v>9000</v>
      </c>
    </row>
    <row r="7" spans="3:14">
      <c r="C7" s="6" t="s">
        <v>10</v>
      </c>
      <c r="D7" s="6">
        <v>1</v>
      </c>
      <c r="E7" s="6">
        <v>600</v>
      </c>
      <c r="F7" s="6">
        <f t="shared" si="0"/>
        <v>600</v>
      </c>
      <c r="G7" s="6">
        <f t="shared" si="1"/>
        <v>7200</v>
      </c>
    </row>
    <row r="8" spans="3:14">
      <c r="C8" s="6" t="s">
        <v>15</v>
      </c>
      <c r="D8" s="6">
        <v>1</v>
      </c>
      <c r="E8" s="6">
        <v>600</v>
      </c>
      <c r="F8" s="6">
        <f t="shared" si="0"/>
        <v>600</v>
      </c>
      <c r="G8" s="6">
        <f t="shared" si="1"/>
        <v>7200</v>
      </c>
    </row>
    <row r="9" spans="3:14">
      <c r="C9" s="6" t="s">
        <v>14</v>
      </c>
      <c r="D9" s="6">
        <v>1</v>
      </c>
      <c r="E9" s="6">
        <v>600</v>
      </c>
      <c r="F9" s="6">
        <f t="shared" si="0"/>
        <v>600</v>
      </c>
      <c r="G9" s="6">
        <f t="shared" si="1"/>
        <v>7200</v>
      </c>
    </row>
    <row r="10" spans="3:14">
      <c r="C10" s="6" t="s">
        <v>7</v>
      </c>
      <c r="D10" s="6">
        <v>4</v>
      </c>
      <c r="E10" s="6">
        <v>240</v>
      </c>
      <c r="F10" s="6">
        <f t="shared" si="0"/>
        <v>960</v>
      </c>
      <c r="G10" s="6">
        <f t="shared" si="1"/>
        <v>11520</v>
      </c>
    </row>
    <row r="11" spans="3:14">
      <c r="C11" s="6" t="s">
        <v>9</v>
      </c>
      <c r="D11" s="6">
        <v>10</v>
      </c>
      <c r="E11" s="6">
        <v>240</v>
      </c>
      <c r="F11" s="6">
        <f t="shared" si="0"/>
        <v>2400</v>
      </c>
      <c r="G11" s="6">
        <f t="shared" si="1"/>
        <v>28800</v>
      </c>
    </row>
    <row r="12" spans="3:14">
      <c r="C12" s="6" t="s">
        <v>11</v>
      </c>
      <c r="D12" s="6">
        <v>1</v>
      </c>
      <c r="E12" s="6">
        <v>280</v>
      </c>
      <c r="F12" s="6">
        <f t="shared" si="0"/>
        <v>280</v>
      </c>
      <c r="G12" s="6">
        <f t="shared" si="1"/>
        <v>3360</v>
      </c>
      <c r="I12" s="2"/>
      <c r="J12" s="2"/>
      <c r="K12" s="3"/>
      <c r="L12" s="3"/>
      <c r="M12" s="3"/>
      <c r="N12" s="4"/>
    </row>
    <row r="13" spans="3:14">
      <c r="C13" s="6" t="s">
        <v>12</v>
      </c>
      <c r="D13" s="6">
        <v>1</v>
      </c>
      <c r="E13" s="6">
        <v>240</v>
      </c>
      <c r="F13" s="6">
        <f t="shared" si="0"/>
        <v>240</v>
      </c>
      <c r="G13" s="6">
        <f t="shared" si="1"/>
        <v>2880</v>
      </c>
      <c r="I13" s="2"/>
      <c r="J13" s="2"/>
      <c r="K13" s="3"/>
      <c r="L13" s="3"/>
      <c r="M13" s="3"/>
      <c r="N13" s="4"/>
    </row>
    <row r="14" spans="3:14">
      <c r="C14" s="7" t="s">
        <v>13</v>
      </c>
      <c r="D14" s="7">
        <f>SUM(D6:D13)</f>
        <v>20</v>
      </c>
      <c r="E14" s="7">
        <f>SUM(E6:E13)</f>
        <v>3550</v>
      </c>
      <c r="F14" s="7">
        <f>SUM(F6:F13)</f>
        <v>6430</v>
      </c>
      <c r="G14" s="7">
        <f t="shared" si="1"/>
        <v>77160</v>
      </c>
      <c r="I14" s="4"/>
      <c r="J14" s="4"/>
      <c r="K14" s="4"/>
      <c r="L14" s="4"/>
      <c r="M14" s="4"/>
      <c r="N14" s="4"/>
    </row>
    <row r="21" spans="3:4">
      <c r="C21" s="234" t="s">
        <v>17</v>
      </c>
      <c r="D21" s="234"/>
    </row>
    <row r="23" spans="3:4">
      <c r="C23" s="9" t="s">
        <v>1</v>
      </c>
      <c r="D23" s="9" t="s">
        <v>18</v>
      </c>
    </row>
    <row r="24" spans="3:4">
      <c r="C24" s="95" t="s">
        <v>230</v>
      </c>
      <c r="D24" s="28">
        <v>40000</v>
      </c>
    </row>
    <row r="25" spans="3:4">
      <c r="C25" s="8"/>
      <c r="D25" s="28"/>
    </row>
    <row r="26" spans="3:4">
      <c r="C26" s="10" t="s">
        <v>13</v>
      </c>
      <c r="D26" s="28">
        <f>SUM(D24:D24)</f>
        <v>40000</v>
      </c>
    </row>
  </sheetData>
  <mergeCells count="2">
    <mergeCell ref="C3:G3"/>
    <mergeCell ref="C21:D21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F108"/>
  <sheetViews>
    <sheetView topLeftCell="A37" workbookViewId="0">
      <selection activeCell="D9" sqref="D9"/>
    </sheetView>
  </sheetViews>
  <sheetFormatPr baseColWidth="10" defaultRowHeight="15"/>
  <cols>
    <col min="2" max="2" width="37.140625" customWidth="1"/>
    <col min="3" max="3" width="27.42578125" customWidth="1"/>
    <col min="4" max="4" width="26.42578125" customWidth="1"/>
    <col min="5" max="5" width="14.140625" customWidth="1"/>
  </cols>
  <sheetData>
    <row r="3" spans="2:6">
      <c r="C3" s="235" t="s">
        <v>147</v>
      </c>
      <c r="D3" s="235"/>
    </row>
    <row r="4" spans="2:6" ht="15.75">
      <c r="C4" s="75" t="s">
        <v>80</v>
      </c>
      <c r="D4" s="75"/>
      <c r="E4" s="75"/>
      <c r="F4" s="75"/>
    </row>
    <row r="5" spans="2:6">
      <c r="B5" t="s">
        <v>20</v>
      </c>
      <c r="C5" t="s">
        <v>2</v>
      </c>
      <c r="D5" t="s">
        <v>22</v>
      </c>
      <c r="E5" t="s">
        <v>23</v>
      </c>
    </row>
    <row r="6" spans="2:6">
      <c r="B6" s="22" t="s">
        <v>82</v>
      </c>
      <c r="C6">
        <f>'Equipo de ofic y planta'!D63</f>
        <v>1</v>
      </c>
      <c r="D6">
        <f>'Equipo de ofic y planta'!E63</f>
        <v>45000</v>
      </c>
      <c r="E6">
        <f>D6*C6</f>
        <v>45000</v>
      </c>
    </row>
    <row r="7" spans="2:6">
      <c r="B7" s="22" t="s">
        <v>83</v>
      </c>
      <c r="C7">
        <f>'Equipo de ofic y planta'!D64</f>
        <v>1</v>
      </c>
      <c r="D7">
        <f>'Equipo de ofic y planta'!E64</f>
        <v>19000</v>
      </c>
      <c r="E7">
        <f>D7*C7</f>
        <v>19000</v>
      </c>
    </row>
    <row r="8" spans="2:6">
      <c r="B8" s="22" t="s">
        <v>69</v>
      </c>
      <c r="C8" s="72">
        <f>'Equipo de ofic y planta'!C47</f>
        <v>1</v>
      </c>
      <c r="D8">
        <f>'Equipo de ofic y planta'!D47</f>
        <v>5000</v>
      </c>
      <c r="E8">
        <f>D8*C8</f>
        <v>5000</v>
      </c>
    </row>
    <row r="9" spans="2:6">
      <c r="B9" s="22" t="s">
        <v>70</v>
      </c>
      <c r="C9" s="72">
        <f>'Equipo de ofic y planta'!C48</f>
        <v>1</v>
      </c>
      <c r="D9">
        <f>'Equipo de ofic y planta'!D48</f>
        <v>3200</v>
      </c>
      <c r="E9">
        <f t="shared" ref="E9:E20" si="0">D9*C9</f>
        <v>3200</v>
      </c>
    </row>
    <row r="10" spans="2:6">
      <c r="B10" s="22" t="s">
        <v>71</v>
      </c>
      <c r="C10" s="72">
        <f>'Equipo de ofic y planta'!C49</f>
        <v>1</v>
      </c>
      <c r="D10">
        <f>'Equipo de ofic y planta'!D49</f>
        <v>2800</v>
      </c>
      <c r="E10">
        <f t="shared" si="0"/>
        <v>2800</v>
      </c>
    </row>
    <row r="11" spans="2:6">
      <c r="B11" s="22" t="s">
        <v>72</v>
      </c>
      <c r="C11" s="72">
        <f>'Equipo de ofic y planta'!C50</f>
        <v>1</v>
      </c>
      <c r="D11">
        <f>'Equipo de ofic y planta'!D50</f>
        <v>4000</v>
      </c>
      <c r="E11">
        <f t="shared" si="0"/>
        <v>4000</v>
      </c>
    </row>
    <row r="12" spans="2:6">
      <c r="B12" s="58" t="s">
        <v>130</v>
      </c>
      <c r="C12" s="59">
        <v>4000</v>
      </c>
      <c r="D12" s="60">
        <v>3</v>
      </c>
      <c r="E12">
        <f>D12*C12</f>
        <v>12000</v>
      </c>
    </row>
    <row r="13" spans="2:6">
      <c r="B13" s="22" t="s">
        <v>73</v>
      </c>
      <c r="C13" s="72">
        <f>'Equipo de ofic y planta'!C51</f>
        <v>1</v>
      </c>
      <c r="D13">
        <f>'Equipo de ofic y planta'!D51</f>
        <v>4500</v>
      </c>
      <c r="E13">
        <f t="shared" si="0"/>
        <v>4500</v>
      </c>
    </row>
    <row r="14" spans="2:6">
      <c r="B14" s="22" t="s">
        <v>74</v>
      </c>
      <c r="C14" s="72">
        <f>'Equipo de ofic y planta'!C52</f>
        <v>0</v>
      </c>
      <c r="D14">
        <f>'Equipo de ofic y planta'!D52</f>
        <v>0</v>
      </c>
      <c r="E14">
        <f t="shared" si="0"/>
        <v>0</v>
      </c>
    </row>
    <row r="15" spans="2:6">
      <c r="B15" s="22" t="s">
        <v>75</v>
      </c>
      <c r="C15" s="72">
        <f>'Equipo de ofic y planta'!C53</f>
        <v>4</v>
      </c>
      <c r="D15">
        <f>'Equipo de ofic y planta'!D53</f>
        <v>200</v>
      </c>
      <c r="E15">
        <f t="shared" si="0"/>
        <v>800</v>
      </c>
    </row>
    <row r="16" spans="2:6">
      <c r="B16" s="22" t="s">
        <v>76</v>
      </c>
      <c r="C16" s="72">
        <f>'Equipo de ofic y planta'!C54</f>
        <v>4</v>
      </c>
      <c r="D16">
        <f>'Equipo de ofic y planta'!D54</f>
        <v>1200</v>
      </c>
      <c r="E16">
        <f t="shared" si="0"/>
        <v>4800</v>
      </c>
    </row>
    <row r="17" spans="2:5">
      <c r="B17" s="22" t="s">
        <v>77</v>
      </c>
      <c r="C17" s="72">
        <f>'Equipo de ofic y planta'!C55</f>
        <v>3</v>
      </c>
      <c r="D17">
        <f>'Equipo de ofic y planta'!D55</f>
        <v>1200</v>
      </c>
      <c r="E17">
        <f t="shared" si="0"/>
        <v>3600</v>
      </c>
    </row>
    <row r="18" spans="2:5">
      <c r="B18" s="22" t="s">
        <v>78</v>
      </c>
      <c r="C18" s="72">
        <f>'Equipo de ofic y planta'!C56</f>
        <v>3</v>
      </c>
      <c r="D18">
        <f>'Equipo de ofic y planta'!D56</f>
        <v>1000</v>
      </c>
      <c r="E18">
        <f t="shared" si="0"/>
        <v>3000</v>
      </c>
    </row>
    <row r="19" spans="2:5">
      <c r="B19" s="22" t="s">
        <v>79</v>
      </c>
      <c r="C19" s="72">
        <f>'Equipo de ofic y planta'!C57</f>
        <v>70</v>
      </c>
      <c r="D19">
        <f>'Equipo de ofic y planta'!D57</f>
        <v>40</v>
      </c>
      <c r="E19">
        <f t="shared" si="0"/>
        <v>2800</v>
      </c>
    </row>
    <row r="20" spans="2:5">
      <c r="B20" s="22" t="s">
        <v>94</v>
      </c>
      <c r="C20" s="72">
        <f>'Equipo de ofic y planta'!C58</f>
        <v>1</v>
      </c>
      <c r="D20">
        <f>'Equipo de ofic y planta'!D58</f>
        <v>385</v>
      </c>
      <c r="E20">
        <f t="shared" si="0"/>
        <v>385</v>
      </c>
    </row>
    <row r="21" spans="2:5">
      <c r="B21" t="s">
        <v>13</v>
      </c>
      <c r="D21" s="51">
        <f>SUM(D6:D20)</f>
        <v>87528</v>
      </c>
      <c r="E21" s="51">
        <f>SUM(E6:E20)</f>
        <v>110885</v>
      </c>
    </row>
    <row r="23" spans="2:5">
      <c r="C23" s="235" t="s">
        <v>148</v>
      </c>
      <c r="D23" s="235"/>
    </row>
    <row r="24" spans="2:5" ht="18.75">
      <c r="B24" s="26" t="s">
        <v>26</v>
      </c>
      <c r="C24" s="26" t="s">
        <v>27</v>
      </c>
      <c r="D24" s="26" t="s">
        <v>22</v>
      </c>
      <c r="E24" s="26" t="s">
        <v>23</v>
      </c>
    </row>
    <row r="25" spans="2:5">
      <c r="B25" s="15" t="s">
        <v>51</v>
      </c>
      <c r="C25">
        <f>'Equipo de ofic y planta'!D6</f>
        <v>20</v>
      </c>
      <c r="D25">
        <f>'Equipo de ofic y planta'!E6</f>
        <v>12</v>
      </c>
      <c r="E25">
        <f>D25*C25</f>
        <v>240</v>
      </c>
    </row>
    <row r="26" spans="2:5">
      <c r="B26" s="15" t="s">
        <v>30</v>
      </c>
      <c r="C26">
        <f>'Equipo de ofic y planta'!D7</f>
        <v>3</v>
      </c>
      <c r="D26">
        <f>'Equipo de ofic y planta'!E7</f>
        <v>27</v>
      </c>
      <c r="E26">
        <f t="shared" ref="E26:E36" si="1">D26*C26</f>
        <v>81</v>
      </c>
    </row>
    <row r="27" spans="2:5">
      <c r="B27" s="15" t="s">
        <v>29</v>
      </c>
      <c r="C27">
        <f>'Equipo de ofic y planta'!D8</f>
        <v>1</v>
      </c>
      <c r="D27">
        <f>'Equipo de ofic y planta'!E8</f>
        <v>150</v>
      </c>
      <c r="E27">
        <f t="shared" si="1"/>
        <v>150</v>
      </c>
    </row>
    <row r="28" spans="2:5">
      <c r="B28" s="16" t="s">
        <v>33</v>
      </c>
      <c r="C28">
        <f>'Equipo de ofic y planta'!D9</f>
        <v>4</v>
      </c>
      <c r="D28">
        <f>'Equipo de ofic y planta'!E9</f>
        <v>250</v>
      </c>
      <c r="E28">
        <f t="shared" si="1"/>
        <v>1000</v>
      </c>
    </row>
    <row r="29" spans="2:5">
      <c r="B29" s="16" t="s">
        <v>34</v>
      </c>
      <c r="C29">
        <f>'Equipo de ofic y planta'!D10</f>
        <v>1</v>
      </c>
      <c r="D29">
        <f>'Equipo de ofic y planta'!E10</f>
        <v>150</v>
      </c>
      <c r="E29">
        <f t="shared" si="1"/>
        <v>150</v>
      </c>
    </row>
    <row r="30" spans="2:5">
      <c r="B30" s="16" t="s">
        <v>52</v>
      </c>
      <c r="C30">
        <f>'Equipo de ofic y planta'!D11</f>
        <v>10</v>
      </c>
      <c r="D30">
        <f>'Equipo de ofic y planta'!E11</f>
        <v>8</v>
      </c>
      <c r="E30">
        <f t="shared" si="1"/>
        <v>80</v>
      </c>
    </row>
    <row r="31" spans="2:5">
      <c r="B31" s="16" t="s">
        <v>35</v>
      </c>
      <c r="C31">
        <f>'Equipo de ofic y planta'!D12</f>
        <v>4</v>
      </c>
      <c r="D31">
        <f>'Equipo de ofic y planta'!E12</f>
        <v>10</v>
      </c>
      <c r="E31">
        <f t="shared" si="1"/>
        <v>40</v>
      </c>
    </row>
    <row r="32" spans="2:5">
      <c r="B32" s="16" t="s">
        <v>54</v>
      </c>
      <c r="C32">
        <f>'Equipo de ofic y planta'!D13</f>
        <v>6</v>
      </c>
      <c r="D32">
        <f>'Equipo de ofic y planta'!E13</f>
        <v>5</v>
      </c>
      <c r="E32">
        <f t="shared" si="1"/>
        <v>30</v>
      </c>
    </row>
    <row r="33" spans="2:5">
      <c r="B33" s="16" t="s">
        <v>36</v>
      </c>
      <c r="C33">
        <f>'Equipo de ofic y planta'!D14</f>
        <v>1</v>
      </c>
      <c r="D33">
        <f>'Equipo de ofic y planta'!E14</f>
        <v>180</v>
      </c>
      <c r="E33">
        <f t="shared" si="1"/>
        <v>180</v>
      </c>
    </row>
    <row r="34" spans="2:5">
      <c r="B34" s="17" t="s">
        <v>53</v>
      </c>
      <c r="C34">
        <f>'Equipo de ofic y planta'!D15</f>
        <v>5</v>
      </c>
      <c r="D34">
        <f>'Equipo de ofic y planta'!E15</f>
        <v>70</v>
      </c>
      <c r="E34">
        <f t="shared" si="1"/>
        <v>350</v>
      </c>
    </row>
    <row r="35" spans="2:5" ht="25.5">
      <c r="B35" s="17" t="s">
        <v>37</v>
      </c>
      <c r="C35">
        <f>'Equipo de ofic y planta'!D16</f>
        <v>5</v>
      </c>
      <c r="D35">
        <f>'Equipo de ofic y planta'!E16</f>
        <v>625.29999999999995</v>
      </c>
      <c r="E35">
        <f t="shared" si="1"/>
        <v>3126.5</v>
      </c>
    </row>
    <row r="36" spans="2:5">
      <c r="B36" s="18" t="s">
        <v>38</v>
      </c>
      <c r="C36">
        <f>'Equipo de ofic y planta'!D17</f>
        <v>5</v>
      </c>
      <c r="D36">
        <f>'Equipo de ofic y planta'!E17</f>
        <v>118.5</v>
      </c>
      <c r="E36">
        <f t="shared" si="1"/>
        <v>592.5</v>
      </c>
    </row>
    <row r="37" spans="2:5">
      <c r="B37" s="74" t="s">
        <v>13</v>
      </c>
      <c r="D37" s="51">
        <f>SUM(D25:D36)</f>
        <v>1605.8</v>
      </c>
      <c r="E37" s="51">
        <f>SUM(E25:E36)</f>
        <v>6020</v>
      </c>
    </row>
    <row r="40" spans="2:5">
      <c r="C40" s="79" t="s">
        <v>39</v>
      </c>
    </row>
    <row r="41" spans="2:5" ht="18.75">
      <c r="B41" s="26" t="s">
        <v>26</v>
      </c>
      <c r="C41" s="26" t="s">
        <v>27</v>
      </c>
      <c r="D41" s="26" t="s">
        <v>22</v>
      </c>
      <c r="E41" s="26" t="s">
        <v>23</v>
      </c>
    </row>
    <row r="42" spans="2:5">
      <c r="B42" s="20" t="s">
        <v>40</v>
      </c>
      <c r="C42">
        <f>'Equipo de ofic y planta'!D18</f>
        <v>6</v>
      </c>
      <c r="D42">
        <f>'Equipo de ofic y planta'!E18</f>
        <v>3.92</v>
      </c>
      <c r="E42">
        <f>D42*C42</f>
        <v>23.52</v>
      </c>
    </row>
    <row r="43" spans="2:5" ht="25.5">
      <c r="B43" s="20" t="s">
        <v>41</v>
      </c>
      <c r="C43">
        <f>'Equipo de ofic y planta'!D19</f>
        <v>21</v>
      </c>
      <c r="D43">
        <f>'Equipo de ofic y planta'!E19</f>
        <v>0.3</v>
      </c>
      <c r="E43">
        <f t="shared" ref="E43:E52" si="2">D43*C43</f>
        <v>6.3</v>
      </c>
    </row>
    <row r="44" spans="2:5">
      <c r="B44" s="20" t="s">
        <v>50</v>
      </c>
      <c r="C44">
        <f>'Equipo de ofic y planta'!D20</f>
        <v>10</v>
      </c>
      <c r="D44">
        <f>'Equipo de ofic y planta'!E20</f>
        <v>0.2</v>
      </c>
      <c r="E44">
        <f t="shared" si="2"/>
        <v>2</v>
      </c>
    </row>
    <row r="45" spans="2:5">
      <c r="B45" s="20" t="s">
        <v>42</v>
      </c>
      <c r="C45">
        <f>'Equipo de ofic y planta'!D21</f>
        <v>10</v>
      </c>
      <c r="D45">
        <f>'Equipo de ofic y planta'!E21</f>
        <v>2.41</v>
      </c>
      <c r="E45">
        <f t="shared" si="2"/>
        <v>24.1</v>
      </c>
    </row>
    <row r="46" spans="2:5">
      <c r="B46" s="20" t="s">
        <v>43</v>
      </c>
      <c r="C46">
        <f>'Equipo de ofic y planta'!D22</f>
        <v>2</v>
      </c>
      <c r="D46">
        <f>'Equipo de ofic y planta'!E22</f>
        <v>0.67</v>
      </c>
      <c r="E46">
        <f t="shared" si="2"/>
        <v>1.34</v>
      </c>
    </row>
    <row r="47" spans="2:5">
      <c r="B47" s="20" t="s">
        <v>44</v>
      </c>
      <c r="C47">
        <f>'Equipo de ofic y planta'!D23</f>
        <v>5</v>
      </c>
      <c r="D47">
        <f>'Equipo de ofic y planta'!E23</f>
        <v>0.15</v>
      </c>
      <c r="E47">
        <f t="shared" si="2"/>
        <v>0.75</v>
      </c>
    </row>
    <row r="48" spans="2:5">
      <c r="B48" s="20" t="s">
        <v>45</v>
      </c>
      <c r="C48">
        <f>'Equipo de ofic y planta'!D24</f>
        <v>4</v>
      </c>
      <c r="D48">
        <f>'Equipo de ofic y planta'!E24</f>
        <v>0.45</v>
      </c>
      <c r="E48">
        <f t="shared" si="2"/>
        <v>1.8</v>
      </c>
    </row>
    <row r="49" spans="2:5">
      <c r="B49" s="20" t="s">
        <v>46</v>
      </c>
      <c r="C49">
        <f>'Equipo de ofic y planta'!D25</f>
        <v>2</v>
      </c>
      <c r="D49">
        <f>'Equipo de ofic y planta'!E25</f>
        <v>0.24</v>
      </c>
      <c r="E49">
        <f t="shared" si="2"/>
        <v>0.48</v>
      </c>
    </row>
    <row r="50" spans="2:5">
      <c r="B50" s="20" t="s">
        <v>47</v>
      </c>
      <c r="C50">
        <f>'Equipo de ofic y planta'!D26</f>
        <v>1</v>
      </c>
      <c r="D50">
        <f>'Equipo de ofic y planta'!E26</f>
        <v>1.01</v>
      </c>
      <c r="E50">
        <f t="shared" si="2"/>
        <v>1.01</v>
      </c>
    </row>
    <row r="51" spans="2:5">
      <c r="B51" s="20" t="s">
        <v>48</v>
      </c>
      <c r="C51">
        <v>3</v>
      </c>
      <c r="D51">
        <f>'Equipo de ofic y planta'!E27</f>
        <v>12.17</v>
      </c>
      <c r="E51">
        <f t="shared" si="2"/>
        <v>36.51</v>
      </c>
    </row>
    <row r="52" spans="2:5">
      <c r="B52" s="20" t="s">
        <v>49</v>
      </c>
      <c r="C52">
        <f>'Equipo de ofic y planta'!D28</f>
        <v>2</v>
      </c>
      <c r="D52">
        <f>'Equipo de ofic y planta'!E28</f>
        <v>1.47</v>
      </c>
      <c r="E52">
        <f t="shared" si="2"/>
        <v>2.94</v>
      </c>
    </row>
    <row r="53" spans="2:5">
      <c r="B53" s="73" t="s">
        <v>13</v>
      </c>
      <c r="D53" s="51">
        <f>SUM(D42:D52)</f>
        <v>22.99</v>
      </c>
      <c r="E53" s="51">
        <f>SUM(E42:E52)</f>
        <v>100.75</v>
      </c>
    </row>
    <row r="58" spans="2:5" ht="21">
      <c r="B58" s="76" t="s">
        <v>113</v>
      </c>
      <c r="C58" s="76" t="s">
        <v>149</v>
      </c>
    </row>
    <row r="59" spans="2:5" ht="21">
      <c r="B59" s="77" t="s">
        <v>80</v>
      </c>
      <c r="C59" s="76">
        <f>E21</f>
        <v>110885</v>
      </c>
    </row>
    <row r="60" spans="2:5" ht="21">
      <c r="B60" s="76" t="s">
        <v>148</v>
      </c>
      <c r="C60" s="76">
        <f>E37</f>
        <v>6020</v>
      </c>
    </row>
    <row r="61" spans="2:5" ht="21">
      <c r="B61" s="76" t="s">
        <v>39</v>
      </c>
      <c r="C61" s="76">
        <f>E53</f>
        <v>100.75</v>
      </c>
    </row>
    <row r="62" spans="2:5" ht="21">
      <c r="B62" s="97" t="s">
        <v>233</v>
      </c>
      <c r="C62" s="98">
        <f>SUM(C59:C61)</f>
        <v>117005.75</v>
      </c>
    </row>
    <row r="67" spans="2:5">
      <c r="B67" s="236" t="s">
        <v>150</v>
      </c>
      <c r="C67" s="237"/>
      <c r="D67" s="237"/>
      <c r="E67" s="238"/>
    </row>
    <row r="68" spans="2:5">
      <c r="B68" s="22" t="s">
        <v>21</v>
      </c>
      <c r="C68" s="22"/>
      <c r="D68" s="78" t="s">
        <v>151</v>
      </c>
      <c r="E68" s="22" t="s">
        <v>152</v>
      </c>
    </row>
    <row r="69" spans="2:5">
      <c r="B69" s="22"/>
      <c r="C69" s="22"/>
      <c r="D69" s="78"/>
      <c r="E69" s="22"/>
    </row>
    <row r="70" spans="2:5">
      <c r="B70" s="22"/>
      <c r="C70" s="22"/>
      <c r="D70" s="22"/>
      <c r="E70" s="22"/>
    </row>
    <row r="71" spans="2:5">
      <c r="B71" s="22" t="s">
        <v>153</v>
      </c>
      <c r="C71" s="22"/>
      <c r="D71" s="22">
        <v>1</v>
      </c>
      <c r="E71" s="22">
        <v>0</v>
      </c>
    </row>
    <row r="72" spans="2:5">
      <c r="B72" s="22" t="s">
        <v>154</v>
      </c>
      <c r="C72" s="22"/>
      <c r="D72" s="22">
        <v>2</v>
      </c>
      <c r="E72" s="22">
        <v>200</v>
      </c>
    </row>
    <row r="73" spans="2:5">
      <c r="B73" s="22" t="s">
        <v>155</v>
      </c>
      <c r="C73" s="22"/>
      <c r="D73" s="22">
        <v>1</v>
      </c>
      <c r="E73" s="22">
        <v>200</v>
      </c>
    </row>
    <row r="74" spans="2:5">
      <c r="B74" s="22"/>
      <c r="C74" s="22"/>
      <c r="D74" s="22"/>
      <c r="E74" s="22"/>
    </row>
    <row r="75" spans="2:5">
      <c r="B75" s="22" t="s">
        <v>156</v>
      </c>
      <c r="C75" s="22"/>
      <c r="D75" s="22"/>
      <c r="E75" s="22">
        <v>0</v>
      </c>
    </row>
    <row r="76" spans="2:5">
      <c r="B76" s="22"/>
      <c r="C76" s="22"/>
      <c r="D76" s="22"/>
      <c r="E76" s="22"/>
    </row>
    <row r="77" spans="2:5">
      <c r="B77" s="22" t="s">
        <v>157</v>
      </c>
      <c r="C77" s="22"/>
      <c r="D77" s="22"/>
      <c r="E77" s="22">
        <v>0</v>
      </c>
    </row>
    <row r="78" spans="2:5">
      <c r="B78" s="22" t="s">
        <v>158</v>
      </c>
      <c r="C78" s="22"/>
      <c r="D78" s="22">
        <v>1</v>
      </c>
      <c r="E78" s="22">
        <v>0</v>
      </c>
    </row>
    <row r="79" spans="2:5">
      <c r="B79" s="22"/>
      <c r="C79" s="22"/>
      <c r="D79" s="22"/>
      <c r="E79" s="22"/>
    </row>
    <row r="80" spans="2:5">
      <c r="B80" s="22" t="s">
        <v>159</v>
      </c>
      <c r="C80" s="22"/>
      <c r="D80" s="22">
        <v>2</v>
      </c>
      <c r="E80" s="22">
        <v>0</v>
      </c>
    </row>
    <row r="81" spans="2:5">
      <c r="B81" s="22"/>
      <c r="C81" s="22"/>
      <c r="D81" s="22"/>
      <c r="E81" s="22"/>
    </row>
    <row r="82" spans="2:5">
      <c r="B82" s="22" t="s">
        <v>160</v>
      </c>
      <c r="C82" s="22"/>
      <c r="D82" s="22">
        <v>3</v>
      </c>
      <c r="E82" s="22">
        <v>25</v>
      </c>
    </row>
    <row r="83" spans="2:5">
      <c r="B83" s="22" t="s">
        <v>161</v>
      </c>
      <c r="C83" s="22"/>
      <c r="D83" s="22">
        <v>1</v>
      </c>
      <c r="E83" s="22">
        <v>0</v>
      </c>
    </row>
    <row r="84" spans="2:5">
      <c r="B84" s="22" t="s">
        <v>162</v>
      </c>
      <c r="C84" s="22"/>
      <c r="D84" s="22">
        <v>7</v>
      </c>
      <c r="E84" s="22">
        <v>42</v>
      </c>
    </row>
    <row r="85" spans="2:5">
      <c r="B85" s="22" t="s">
        <v>163</v>
      </c>
      <c r="C85" s="22"/>
      <c r="D85" s="22">
        <v>3</v>
      </c>
      <c r="E85" s="22">
        <v>12</v>
      </c>
    </row>
    <row r="86" spans="2:5">
      <c r="B86" s="22"/>
      <c r="C86" s="22"/>
      <c r="D86" s="22"/>
      <c r="E86" s="22"/>
    </row>
    <row r="87" spans="2:5">
      <c r="B87" s="22" t="s">
        <v>164</v>
      </c>
      <c r="C87" s="22"/>
      <c r="D87" s="22">
        <v>2</v>
      </c>
      <c r="E87" s="22">
        <v>0</v>
      </c>
    </row>
    <row r="88" spans="2:5">
      <c r="B88" s="22" t="s">
        <v>165</v>
      </c>
      <c r="C88" s="22"/>
      <c r="D88" s="22">
        <v>1</v>
      </c>
      <c r="E88" s="22">
        <v>56.5</v>
      </c>
    </row>
    <row r="89" spans="2:5">
      <c r="B89" s="22" t="s">
        <v>166</v>
      </c>
      <c r="C89" s="22"/>
      <c r="D89" s="22">
        <v>1</v>
      </c>
      <c r="E89" s="22">
        <v>0</v>
      </c>
    </row>
    <row r="90" spans="2:5">
      <c r="B90" s="22"/>
      <c r="C90" s="22"/>
      <c r="D90" s="22"/>
      <c r="E90" s="22"/>
    </row>
    <row r="91" spans="2:5">
      <c r="B91" s="22" t="s">
        <v>167</v>
      </c>
      <c r="C91" s="22"/>
      <c r="D91" s="22">
        <f>SUM(D71:D90)</f>
        <v>25</v>
      </c>
      <c r="E91" s="22">
        <f>SUM(E71:E90)</f>
        <v>535.5</v>
      </c>
    </row>
    <row r="92" spans="2:5">
      <c r="B92" s="22" t="s">
        <v>168</v>
      </c>
      <c r="C92" s="22"/>
      <c r="D92" s="22"/>
      <c r="E92" s="22">
        <v>200</v>
      </c>
    </row>
    <row r="93" spans="2:5">
      <c r="B93" s="22" t="s">
        <v>169</v>
      </c>
      <c r="C93" s="22"/>
      <c r="D93" s="22"/>
      <c r="E93" s="22">
        <f>+E91-E92</f>
        <v>335.5</v>
      </c>
    </row>
    <row r="97" spans="2:5">
      <c r="B97" s="236" t="s">
        <v>170</v>
      </c>
      <c r="C97" s="237"/>
      <c r="D97" s="237"/>
      <c r="E97" s="238"/>
    </row>
    <row r="98" spans="2:5">
      <c r="B98" s="22" t="s">
        <v>171</v>
      </c>
      <c r="C98" s="22"/>
      <c r="D98" s="22"/>
      <c r="E98" s="22"/>
    </row>
    <row r="99" spans="2:5">
      <c r="B99" s="22" t="s">
        <v>21</v>
      </c>
      <c r="C99" s="22"/>
      <c r="D99" s="22" t="s">
        <v>172</v>
      </c>
      <c r="E99" s="22" t="s">
        <v>173</v>
      </c>
    </row>
    <row r="100" spans="2:5">
      <c r="B100" s="22" t="s">
        <v>174</v>
      </c>
      <c r="C100" s="22"/>
      <c r="D100" s="22">
        <v>0</v>
      </c>
      <c r="E100" s="22" t="s">
        <v>175</v>
      </c>
    </row>
    <row r="101" spans="2:5">
      <c r="B101" s="22" t="s">
        <v>176</v>
      </c>
      <c r="C101" s="22"/>
      <c r="D101" s="22">
        <f>SUM(D102:D103)</f>
        <v>300</v>
      </c>
      <c r="E101" s="22"/>
    </row>
    <row r="102" spans="2:5">
      <c r="B102" s="22" t="s">
        <v>177</v>
      </c>
      <c r="C102" s="22"/>
      <c r="D102" s="22">
        <v>150</v>
      </c>
      <c r="E102" s="22" t="s">
        <v>178</v>
      </c>
    </row>
    <row r="103" spans="2:5">
      <c r="B103" s="22" t="s">
        <v>179</v>
      </c>
      <c r="C103" s="22"/>
      <c r="D103" s="22">
        <v>150</v>
      </c>
      <c r="E103" s="22"/>
    </row>
    <row r="104" spans="2:5">
      <c r="B104" s="22" t="s">
        <v>180</v>
      </c>
      <c r="C104" s="22"/>
      <c r="D104" s="22">
        <v>300</v>
      </c>
      <c r="E104" s="22"/>
    </row>
    <row r="105" spans="2:5">
      <c r="B105" s="22" t="s">
        <v>181</v>
      </c>
      <c r="C105" s="22"/>
      <c r="D105" s="22">
        <v>20</v>
      </c>
      <c r="E105" s="22"/>
    </row>
    <row r="106" spans="2:5">
      <c r="B106" s="22" t="s">
        <v>182</v>
      </c>
      <c r="C106" s="22"/>
      <c r="D106" s="22">
        <v>80</v>
      </c>
      <c r="E106" s="22"/>
    </row>
    <row r="107" spans="2:5">
      <c r="B107" s="22" t="s">
        <v>183</v>
      </c>
      <c r="C107" s="22"/>
      <c r="D107" s="22">
        <v>13</v>
      </c>
      <c r="E107" s="22"/>
    </row>
    <row r="108" spans="2:5">
      <c r="B108" s="22" t="s">
        <v>13</v>
      </c>
      <c r="C108" s="22"/>
      <c r="D108" s="22">
        <f>(D101+D104+D105+D106+D107)</f>
        <v>713</v>
      </c>
      <c r="E108" s="22"/>
    </row>
  </sheetData>
  <mergeCells count="4">
    <mergeCell ref="C3:D3"/>
    <mergeCell ref="B67:E67"/>
    <mergeCell ref="B97:E97"/>
    <mergeCell ref="C23:D23"/>
  </mergeCells>
  <phoneticPr fontId="0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2:Q53"/>
  <sheetViews>
    <sheetView topLeftCell="A10" workbookViewId="0">
      <selection activeCell="E34" sqref="E34"/>
    </sheetView>
  </sheetViews>
  <sheetFormatPr baseColWidth="10" defaultRowHeight="15"/>
  <cols>
    <col min="3" max="3" width="6.7109375" customWidth="1"/>
    <col min="4" max="4" width="24.7109375" customWidth="1"/>
    <col min="5" max="5" width="21.42578125" customWidth="1"/>
    <col min="6" max="6" width="19.140625" customWidth="1"/>
    <col min="7" max="7" width="14" customWidth="1"/>
    <col min="8" max="8" width="20.7109375" bestFit="1" customWidth="1"/>
    <col min="9" max="9" width="21.28515625" customWidth="1"/>
    <col min="10" max="10" width="23.140625" customWidth="1"/>
    <col min="11" max="11" width="12.42578125" customWidth="1"/>
    <col min="12" max="12" width="24.28515625" customWidth="1"/>
    <col min="13" max="13" width="13" customWidth="1"/>
    <col min="14" max="14" width="18.5703125" customWidth="1"/>
  </cols>
  <sheetData>
    <row r="2" spans="3:17">
      <c r="N2" t="s">
        <v>218</v>
      </c>
    </row>
    <row r="3" spans="3:17">
      <c r="N3" t="s">
        <v>185</v>
      </c>
      <c r="O3" t="s">
        <v>186</v>
      </c>
      <c r="P3" t="s">
        <v>187</v>
      </c>
      <c r="Q3" t="s">
        <v>210</v>
      </c>
    </row>
    <row r="4" spans="3:17">
      <c r="N4">
        <v>1</v>
      </c>
      <c r="O4" t="s">
        <v>190</v>
      </c>
      <c r="P4">
        <v>124</v>
      </c>
      <c r="Q4">
        <f>P4/$P$11</f>
        <v>0.32291666666666669</v>
      </c>
    </row>
    <row r="5" spans="3:17">
      <c r="C5" s="239" t="s">
        <v>184</v>
      </c>
      <c r="D5" s="240"/>
      <c r="E5" s="240"/>
      <c r="F5" s="240"/>
      <c r="G5" s="240"/>
      <c r="H5" s="240"/>
      <c r="I5" s="240"/>
      <c r="J5" s="240"/>
      <c r="K5" s="240"/>
      <c r="L5" s="241"/>
      <c r="N5">
        <v>2</v>
      </c>
      <c r="O5" t="s">
        <v>191</v>
      </c>
      <c r="P5">
        <v>92</v>
      </c>
      <c r="Q5">
        <f t="shared" ref="Q5:Q10" si="0">P5/$P$11</f>
        <v>0.23958333333333334</v>
      </c>
    </row>
    <row r="6" spans="3:17">
      <c r="C6" s="22" t="s">
        <v>185</v>
      </c>
      <c r="D6" s="22" t="s">
        <v>186</v>
      </c>
      <c r="E6" s="22" t="s">
        <v>228</v>
      </c>
      <c r="F6" s="22" t="s">
        <v>227</v>
      </c>
      <c r="G6" s="22" t="s">
        <v>225</v>
      </c>
      <c r="H6" s="96" t="s">
        <v>188</v>
      </c>
      <c r="I6" s="96" t="s">
        <v>229</v>
      </c>
      <c r="J6" s="96" t="s">
        <v>189</v>
      </c>
      <c r="L6" s="22"/>
      <c r="N6">
        <v>3</v>
      </c>
      <c r="O6" t="s">
        <v>192</v>
      </c>
      <c r="P6">
        <v>60</v>
      </c>
      <c r="Q6">
        <f t="shared" si="0"/>
        <v>0.15625</v>
      </c>
    </row>
    <row r="7" spans="3:17">
      <c r="C7" s="22"/>
      <c r="D7" s="22" t="s">
        <v>191</v>
      </c>
      <c r="E7" s="22">
        <v>40</v>
      </c>
      <c r="F7" s="22">
        <v>3</v>
      </c>
      <c r="G7" s="91">
        <f>E29</f>
        <v>2284.2857142857142</v>
      </c>
      <c r="H7" s="72">
        <f>G7*F7</f>
        <v>6852.8571428571431</v>
      </c>
      <c r="I7" s="91">
        <f>H7*4</f>
        <v>27411.428571428572</v>
      </c>
      <c r="J7" s="91">
        <f>I7*12</f>
        <v>328937.14285714284</v>
      </c>
      <c r="K7" s="22"/>
      <c r="L7" s="22"/>
      <c r="N7">
        <v>4</v>
      </c>
      <c r="O7" t="s">
        <v>193</v>
      </c>
      <c r="P7">
        <v>44</v>
      </c>
      <c r="Q7">
        <f t="shared" si="0"/>
        <v>0.11458333333333333</v>
      </c>
    </row>
    <row r="8" spans="3:17">
      <c r="C8" s="22"/>
      <c r="N8">
        <v>5</v>
      </c>
      <c r="O8" t="s">
        <v>194</v>
      </c>
      <c r="P8">
        <v>35</v>
      </c>
      <c r="Q8">
        <f t="shared" si="0"/>
        <v>9.1145833333333329E-2</v>
      </c>
    </row>
    <row r="9" spans="3:17">
      <c r="C9" s="22"/>
      <c r="D9" s="22"/>
      <c r="E9" s="22"/>
      <c r="F9" s="22"/>
      <c r="G9" s="87"/>
      <c r="H9" s="91"/>
      <c r="I9" s="22"/>
      <c r="J9" s="22"/>
      <c r="K9" s="22"/>
      <c r="L9" s="22"/>
      <c r="N9">
        <v>6</v>
      </c>
      <c r="O9" t="s">
        <v>195</v>
      </c>
      <c r="P9">
        <v>29</v>
      </c>
      <c r="Q9">
        <f t="shared" si="0"/>
        <v>7.5520833333333329E-2</v>
      </c>
    </row>
    <row r="10" spans="3:17">
      <c r="C10" s="22"/>
      <c r="D10" s="22"/>
      <c r="E10" s="22"/>
      <c r="F10" s="22"/>
      <c r="G10" s="87"/>
      <c r="H10" s="91"/>
      <c r="I10" s="22"/>
      <c r="J10" s="22"/>
      <c r="K10" s="22"/>
      <c r="L10" s="22"/>
      <c r="N10">
        <v>7</v>
      </c>
      <c r="O10" t="s">
        <v>219</v>
      </c>
      <c r="P10">
        <v>0</v>
      </c>
      <c r="Q10">
        <f t="shared" si="0"/>
        <v>0</v>
      </c>
    </row>
    <row r="11" spans="3:17">
      <c r="C11" s="22"/>
      <c r="D11" s="22"/>
      <c r="E11" s="22"/>
      <c r="F11" s="22"/>
      <c r="G11" s="87"/>
      <c r="H11" s="91"/>
      <c r="I11" s="22"/>
      <c r="J11" s="22"/>
      <c r="K11" s="22"/>
      <c r="L11" s="22"/>
      <c r="N11" t="s">
        <v>167</v>
      </c>
      <c r="P11">
        <f>SUM(P4:P10)</f>
        <v>384</v>
      </c>
      <c r="Q11">
        <f>P11/P18</f>
        <v>15.36</v>
      </c>
    </row>
    <row r="12" spans="3:17">
      <c r="C12" s="22"/>
      <c r="D12" s="22"/>
      <c r="E12" s="22"/>
      <c r="F12" s="22"/>
      <c r="G12" s="87"/>
      <c r="H12" s="91"/>
      <c r="I12" s="22"/>
      <c r="J12" s="22"/>
      <c r="K12" s="22"/>
      <c r="L12" s="22"/>
      <c r="N12" t="s">
        <v>220</v>
      </c>
    </row>
    <row r="13" spans="3:17">
      <c r="C13" s="22"/>
      <c r="D13" s="22"/>
      <c r="E13" s="22"/>
      <c r="F13" s="22"/>
      <c r="G13" s="90"/>
      <c r="H13" s="91"/>
      <c r="I13" s="22"/>
      <c r="J13" s="22"/>
      <c r="K13" s="22"/>
      <c r="L13" s="22"/>
    </row>
    <row r="16" spans="3:17">
      <c r="D16" s="242" t="s">
        <v>196</v>
      </c>
      <c r="E16" s="242"/>
      <c r="F16" s="242"/>
      <c r="G16" s="242"/>
      <c r="H16" s="242"/>
      <c r="I16" s="242"/>
      <c r="J16" s="242"/>
      <c r="K16" s="242"/>
      <c r="M16" t="s">
        <v>209</v>
      </c>
    </row>
    <row r="17" spans="3:16">
      <c r="D17" t="s">
        <v>185</v>
      </c>
      <c r="E17" t="s">
        <v>186</v>
      </c>
      <c r="G17" t="s">
        <v>197</v>
      </c>
      <c r="I17" t="s">
        <v>198</v>
      </c>
      <c r="M17" t="s">
        <v>185</v>
      </c>
      <c r="N17" t="s">
        <v>186</v>
      </c>
      <c r="O17" t="s">
        <v>187</v>
      </c>
      <c r="P17" t="s">
        <v>210</v>
      </c>
    </row>
    <row r="18" spans="3:16">
      <c r="D18">
        <v>1</v>
      </c>
      <c r="E18" t="s">
        <v>199</v>
      </c>
      <c r="G18">
        <v>369</v>
      </c>
      <c r="I18" s="88">
        <v>0.98399999999999999</v>
      </c>
      <c r="M18">
        <v>1</v>
      </c>
      <c r="N18" t="s">
        <v>211</v>
      </c>
      <c r="O18">
        <v>96</v>
      </c>
      <c r="P18">
        <f>(O18*100)/O23</f>
        <v>25</v>
      </c>
    </row>
    <row r="19" spans="3:16">
      <c r="D19">
        <v>2</v>
      </c>
      <c r="E19" t="s">
        <v>200</v>
      </c>
      <c r="G19">
        <v>6</v>
      </c>
      <c r="I19" s="89">
        <f>1-I18</f>
        <v>1.6000000000000014E-2</v>
      </c>
      <c r="M19">
        <v>2</v>
      </c>
      <c r="N19" t="s">
        <v>212</v>
      </c>
      <c r="O19">
        <v>53</v>
      </c>
      <c r="P19">
        <f>(O19*100)/O23</f>
        <v>13.802083333333334</v>
      </c>
    </row>
    <row r="20" spans="3:16">
      <c r="D20" t="s">
        <v>167</v>
      </c>
      <c r="G20">
        <v>375</v>
      </c>
      <c r="I20">
        <v>100</v>
      </c>
      <c r="M20">
        <v>3</v>
      </c>
      <c r="N20" t="s">
        <v>213</v>
      </c>
      <c r="O20">
        <v>73</v>
      </c>
      <c r="P20">
        <f>(O20*100)/O23</f>
        <v>19.010416666666668</v>
      </c>
    </row>
    <row r="21" spans="3:16">
      <c r="M21">
        <v>4</v>
      </c>
      <c r="N21" t="s">
        <v>214</v>
      </c>
      <c r="O21">
        <v>96</v>
      </c>
      <c r="P21">
        <f>(O21*100)/O23</f>
        <v>25</v>
      </c>
    </row>
    <row r="22" spans="3:16">
      <c r="M22">
        <v>5</v>
      </c>
      <c r="N22" t="s">
        <v>215</v>
      </c>
      <c r="O22">
        <v>66</v>
      </c>
      <c r="P22">
        <f>(O22*100)/O23</f>
        <v>17.1875</v>
      </c>
    </row>
    <row r="23" spans="3:16">
      <c r="M23" t="s">
        <v>167</v>
      </c>
      <c r="O23">
        <f>SUM(O18:O22)</f>
        <v>384</v>
      </c>
      <c r="P23">
        <f>SUM(P18:P22)</f>
        <v>100</v>
      </c>
    </row>
    <row r="25" spans="3:16">
      <c r="D25" s="243" t="s">
        <v>207</v>
      </c>
      <c r="E25" s="244"/>
      <c r="F25" s="92"/>
      <c r="I25" t="s">
        <v>216</v>
      </c>
      <c r="L25" s="242" t="s">
        <v>217</v>
      </c>
      <c r="M25" s="242"/>
    </row>
    <row r="26" spans="3:16">
      <c r="D26" s="80" t="s">
        <v>201</v>
      </c>
      <c r="E26" s="22">
        <f>F42*I18</f>
        <v>319800</v>
      </c>
      <c r="F26" s="4"/>
      <c r="I26" s="80" t="s">
        <v>201</v>
      </c>
      <c r="L26" s="80" t="s">
        <v>201</v>
      </c>
    </row>
    <row r="27" spans="3:16">
      <c r="D27" s="80" t="s">
        <v>202</v>
      </c>
      <c r="E27" s="22">
        <f>E26/12</f>
        <v>26650</v>
      </c>
      <c r="F27" s="4"/>
      <c r="I27" s="80" t="s">
        <v>202</v>
      </c>
      <c r="L27" s="80" t="s">
        <v>202</v>
      </c>
    </row>
    <row r="28" spans="3:16">
      <c r="C28" s="82">
        <v>0.1</v>
      </c>
      <c r="D28" s="80" t="s">
        <v>232</v>
      </c>
      <c r="E28" s="22">
        <f>E27*0.6</f>
        <v>15990</v>
      </c>
      <c r="F28" s="4"/>
      <c r="I28" s="80" t="s">
        <v>203</v>
      </c>
      <c r="L28" s="80" t="s">
        <v>203</v>
      </c>
    </row>
    <row r="29" spans="3:16">
      <c r="D29" s="80" t="s">
        <v>226</v>
      </c>
      <c r="E29" s="91">
        <f>E28/7</f>
        <v>2284.2857142857142</v>
      </c>
      <c r="F29" s="93"/>
      <c r="I29" s="80" t="s">
        <v>208</v>
      </c>
      <c r="L29" s="80" t="s">
        <v>208</v>
      </c>
    </row>
    <row r="30" spans="3:16">
      <c r="D30" s="81" t="s">
        <v>231</v>
      </c>
      <c r="E30" s="91">
        <f>H7</f>
        <v>6852.8571428571431</v>
      </c>
      <c r="F30" s="4"/>
      <c r="I30" s="81" t="s">
        <v>204</v>
      </c>
      <c r="L30" s="81" t="s">
        <v>204</v>
      </c>
    </row>
    <row r="31" spans="3:16">
      <c r="D31" s="81" t="s">
        <v>240</v>
      </c>
      <c r="E31" s="91">
        <f>E30*4</f>
        <v>27411.428571428572</v>
      </c>
      <c r="F31" s="4"/>
      <c r="I31" s="81"/>
      <c r="L31" s="81"/>
    </row>
    <row r="32" spans="3:16">
      <c r="D32" s="81" t="s">
        <v>241</v>
      </c>
      <c r="E32" s="91">
        <f>E31*12</f>
        <v>328937.14285714284</v>
      </c>
      <c r="F32" s="4"/>
      <c r="I32" s="81"/>
      <c r="L32" s="81"/>
    </row>
    <row r="33" spans="4:12">
      <c r="D33" s="80" t="s">
        <v>234</v>
      </c>
      <c r="E33" s="22"/>
      <c r="F33" s="4"/>
      <c r="I33" s="80" t="s">
        <v>205</v>
      </c>
      <c r="L33" s="80" t="s">
        <v>205</v>
      </c>
    </row>
    <row r="34" spans="4:12">
      <c r="D34" s="80" t="s">
        <v>206</v>
      </c>
      <c r="E34" s="22">
        <v>1.1200000000000001</v>
      </c>
      <c r="F34" s="4"/>
      <c r="I34" s="80" t="s">
        <v>206</v>
      </c>
      <c r="L34" s="80" t="s">
        <v>206</v>
      </c>
    </row>
    <row r="35" spans="4:12">
      <c r="E35" s="22"/>
      <c r="F35" s="4"/>
    </row>
    <row r="41" spans="4:12">
      <c r="D41" s="84" t="s">
        <v>221</v>
      </c>
      <c r="E41" s="85" t="s">
        <v>222</v>
      </c>
      <c r="F41" s="83" t="s">
        <v>224</v>
      </c>
      <c r="H41" s="4"/>
    </row>
    <row r="42" spans="4:12" ht="15.75">
      <c r="D42" s="86" t="s">
        <v>223</v>
      </c>
      <c r="E42" s="86">
        <v>1300000</v>
      </c>
      <c r="F42" s="179">
        <f>E42/4</f>
        <v>325000</v>
      </c>
      <c r="H42" s="4"/>
    </row>
    <row r="45" spans="4:12">
      <c r="D45" s="4"/>
      <c r="E45" s="4"/>
    </row>
    <row r="46" spans="4:12">
      <c r="D46" s="4"/>
      <c r="E46" s="4"/>
    </row>
    <row r="47" spans="4:12" ht="15.75">
      <c r="D47" s="206"/>
      <c r="E47" s="94"/>
      <c r="F47" s="94"/>
    </row>
    <row r="48" spans="4:12" ht="15.75">
      <c r="D48" s="206"/>
      <c r="E48" s="94"/>
      <c r="F48" s="94"/>
    </row>
    <row r="49" spans="4:6" ht="15.75">
      <c r="D49" s="206"/>
      <c r="E49" s="94"/>
      <c r="F49" s="94"/>
    </row>
    <row r="50" spans="4:6" ht="15.75">
      <c r="D50" s="206"/>
      <c r="E50" s="94"/>
      <c r="F50" s="94"/>
    </row>
    <row r="51" spans="4:6" ht="15.75">
      <c r="D51" s="206"/>
      <c r="E51" s="94"/>
      <c r="F51" s="94"/>
    </row>
    <row r="52" spans="4:6" ht="15.75">
      <c r="D52" s="206"/>
      <c r="E52" s="94"/>
      <c r="F52" s="94"/>
    </row>
    <row r="53" spans="4:6">
      <c r="D53" s="4"/>
      <c r="E53" s="4"/>
    </row>
  </sheetData>
  <mergeCells count="4">
    <mergeCell ref="C5:L5"/>
    <mergeCell ref="D16:K16"/>
    <mergeCell ref="D25:E25"/>
    <mergeCell ref="L25:M25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G10"/>
  <sheetViews>
    <sheetView workbookViewId="0">
      <selection activeCell="F10" sqref="F10"/>
    </sheetView>
  </sheetViews>
  <sheetFormatPr baseColWidth="10" defaultRowHeight="15"/>
  <sheetData>
    <row r="3" spans="2:7" ht="15.75">
      <c r="B3" s="246" t="s">
        <v>91</v>
      </c>
      <c r="C3" s="246"/>
      <c r="D3" s="246"/>
      <c r="E3" s="246"/>
      <c r="F3" s="246"/>
      <c r="G3" s="246"/>
    </row>
    <row r="4" spans="2:7">
      <c r="B4" s="247" t="s">
        <v>21</v>
      </c>
      <c r="C4" s="247"/>
      <c r="D4" s="52" t="s">
        <v>235</v>
      </c>
      <c r="E4" s="101" t="s">
        <v>242</v>
      </c>
      <c r="F4" s="245" t="s">
        <v>236</v>
      </c>
      <c r="G4" s="245"/>
    </row>
    <row r="5" spans="2:7">
      <c r="B5" s="245" t="s">
        <v>237</v>
      </c>
      <c r="C5" s="245"/>
      <c r="D5" s="91">
        <f>Poblacion!E31</f>
        <v>27411.428571428572</v>
      </c>
      <c r="E5" s="102">
        <f>Poblacion!E34</f>
        <v>1.1200000000000001</v>
      </c>
      <c r="F5" s="102">
        <f>E5*D5</f>
        <v>30700.800000000003</v>
      </c>
      <c r="G5" s="83" t="s">
        <v>238</v>
      </c>
    </row>
    <row r="6" spans="2:7">
      <c r="B6" s="245" t="s">
        <v>388</v>
      </c>
      <c r="C6" s="245"/>
      <c r="D6" s="83">
        <f>D5*12</f>
        <v>328937.14285714284</v>
      </c>
      <c r="E6" s="162">
        <f>E5</f>
        <v>1.1200000000000001</v>
      </c>
      <c r="F6" s="103">
        <f>D6*E6</f>
        <v>368409.60000000003</v>
      </c>
      <c r="G6" s="83" t="s">
        <v>239</v>
      </c>
    </row>
    <row r="7" spans="2:7">
      <c r="B7" s="245" t="s">
        <v>389</v>
      </c>
      <c r="C7" s="245"/>
      <c r="D7">
        <f>D6*1.15</f>
        <v>378277.71428571426</v>
      </c>
      <c r="E7" s="161">
        <f>E6*1.05</f>
        <v>1.1760000000000002</v>
      </c>
      <c r="F7" s="103">
        <f>D7*E7</f>
        <v>444854.592</v>
      </c>
    </row>
    <row r="8" spans="2:7">
      <c r="B8" s="245" t="s">
        <v>390</v>
      </c>
      <c r="C8" s="245"/>
      <c r="D8">
        <f>D7*1.15</f>
        <v>435019.37142857135</v>
      </c>
      <c r="E8" s="161">
        <f>E7*1.05</f>
        <v>1.2348000000000001</v>
      </c>
      <c r="F8" s="103">
        <f>D8*E8</f>
        <v>537161.91983999999</v>
      </c>
    </row>
    <row r="9" spans="2:7">
      <c r="B9" s="245" t="s">
        <v>391</v>
      </c>
      <c r="C9" s="245"/>
      <c r="D9">
        <f>D8*1.15</f>
        <v>500272.27714285703</v>
      </c>
      <c r="E9" s="161">
        <f>E8*1.05</f>
        <v>1.2965400000000002</v>
      </c>
      <c r="F9" s="103">
        <f>D9*E9</f>
        <v>648623.01820679998</v>
      </c>
    </row>
    <row r="10" spans="2:7">
      <c r="B10" s="245" t="s">
        <v>392</v>
      </c>
      <c r="C10" s="245"/>
      <c r="D10">
        <f>D9*1.15</f>
        <v>575313.11871428555</v>
      </c>
      <c r="E10" s="161">
        <f>E9*1.05</f>
        <v>1.3613670000000002</v>
      </c>
      <c r="F10" s="103">
        <f>D10*E10</f>
        <v>783212.2944847109</v>
      </c>
    </row>
  </sheetData>
  <mergeCells count="9">
    <mergeCell ref="B10:C10"/>
    <mergeCell ref="B6:C6"/>
    <mergeCell ref="B7:C7"/>
    <mergeCell ref="B8:C8"/>
    <mergeCell ref="B9:C9"/>
    <mergeCell ref="B3:G3"/>
    <mergeCell ref="B4:C4"/>
    <mergeCell ref="F4:G4"/>
    <mergeCell ref="B5:C5"/>
  </mergeCells>
  <phoneticPr fontId="3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C3:J15"/>
  <sheetViews>
    <sheetView workbookViewId="0">
      <selection activeCell="G14" sqref="G14"/>
    </sheetView>
  </sheetViews>
  <sheetFormatPr baseColWidth="10" defaultRowHeight="15"/>
  <sheetData>
    <row r="3" spans="3:10">
      <c r="C3" s="228" t="s">
        <v>243</v>
      </c>
      <c r="D3" s="228"/>
      <c r="E3" s="228"/>
      <c r="F3" s="228"/>
      <c r="G3" s="228"/>
    </row>
    <row r="5" spans="3:10" ht="18.75">
      <c r="C5" s="106" t="s">
        <v>91</v>
      </c>
    </row>
    <row r="7" spans="3:10">
      <c r="C7" s="53" t="s">
        <v>244</v>
      </c>
      <c r="D7" s="19"/>
      <c r="E7" s="19"/>
    </row>
    <row r="8" spans="3:10">
      <c r="C8" s="83" t="s">
        <v>245</v>
      </c>
      <c r="D8" s="83"/>
      <c r="E8" s="91">
        <f>Poblacion!E31</f>
        <v>27411.428571428572</v>
      </c>
    </row>
    <row r="9" spans="3:10">
      <c r="C9" s="83" t="s">
        <v>246</v>
      </c>
      <c r="D9" s="83"/>
      <c r="E9" s="91">
        <f>Poblacion!E32</f>
        <v>328937.14285714284</v>
      </c>
    </row>
    <row r="13" spans="3:10">
      <c r="C13" s="248" t="s">
        <v>247</v>
      </c>
      <c r="D13" s="249"/>
      <c r="E13" s="249"/>
      <c r="F13" s="105" t="s">
        <v>248</v>
      </c>
      <c r="G13" s="105" t="s">
        <v>249</v>
      </c>
      <c r="H13" s="105" t="s">
        <v>250</v>
      </c>
      <c r="I13" s="105" t="s">
        <v>251</v>
      </c>
      <c r="J13" s="105" t="s">
        <v>252</v>
      </c>
    </row>
    <row r="14" spans="3:10">
      <c r="C14" s="248" t="s">
        <v>253</v>
      </c>
      <c r="D14" s="249"/>
      <c r="E14" s="249"/>
      <c r="F14" s="91">
        <f>E9</f>
        <v>328937.14285714284</v>
      </c>
      <c r="G14" s="83">
        <f>F14*1.1</f>
        <v>361830.85714285716</v>
      </c>
      <c r="H14" s="83">
        <f>G14*1.1</f>
        <v>398013.94285714289</v>
      </c>
      <c r="I14" s="83">
        <f>H14*1.1</f>
        <v>437815.3371428572</v>
      </c>
      <c r="J14" s="83">
        <f>I14*1.1</f>
        <v>481596.87085714296</v>
      </c>
    </row>
    <row r="15" spans="3:10">
      <c r="C15" s="248"/>
      <c r="D15" s="249"/>
      <c r="E15" s="249"/>
      <c r="F15" s="83"/>
      <c r="G15" s="83"/>
      <c r="H15" s="83"/>
      <c r="I15" s="83"/>
      <c r="J15" s="83"/>
    </row>
  </sheetData>
  <mergeCells count="4">
    <mergeCell ref="C3:G3"/>
    <mergeCell ref="C13:E13"/>
    <mergeCell ref="C14:E14"/>
    <mergeCell ref="C15:E15"/>
  </mergeCells>
  <phoneticPr fontId="3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O43"/>
  <sheetViews>
    <sheetView topLeftCell="E1" workbookViewId="0">
      <selection activeCell="D18" sqref="D18"/>
    </sheetView>
  </sheetViews>
  <sheetFormatPr baseColWidth="10" defaultRowHeight="15"/>
  <cols>
    <col min="2" max="2" width="13.7109375" bestFit="1" customWidth="1"/>
    <col min="3" max="3" width="29" bestFit="1" customWidth="1"/>
  </cols>
  <sheetData>
    <row r="2" spans="2:15">
      <c r="D2" s="52" t="s">
        <v>258</v>
      </c>
      <c r="E2" s="52" t="s">
        <v>259</v>
      </c>
      <c r="F2" s="52" t="s">
        <v>260</v>
      </c>
      <c r="G2" s="52" t="s">
        <v>261</v>
      </c>
      <c r="H2" s="52" t="s">
        <v>262</v>
      </c>
      <c r="I2" s="52" t="s">
        <v>263</v>
      </c>
      <c r="J2" s="52" t="s">
        <v>264</v>
      </c>
      <c r="K2" s="52" t="s">
        <v>265</v>
      </c>
      <c r="L2" s="52" t="s">
        <v>266</v>
      </c>
      <c r="M2" s="52" t="s">
        <v>267</v>
      </c>
      <c r="N2" s="52" t="s">
        <v>268</v>
      </c>
      <c r="O2" s="52" t="s">
        <v>269</v>
      </c>
    </row>
    <row r="3" spans="2:15">
      <c r="B3" s="250" t="s">
        <v>257</v>
      </c>
      <c r="C3" s="107" t="s">
        <v>89</v>
      </c>
      <c r="D3">
        <f>Poblacion!E34</f>
        <v>1.1200000000000001</v>
      </c>
      <c r="E3">
        <f>D3</f>
        <v>1.1200000000000001</v>
      </c>
      <c r="F3">
        <f t="shared" ref="F3:O3" si="0">E3</f>
        <v>1.1200000000000001</v>
      </c>
      <c r="G3">
        <f t="shared" si="0"/>
        <v>1.1200000000000001</v>
      </c>
      <c r="H3">
        <f t="shared" si="0"/>
        <v>1.1200000000000001</v>
      </c>
      <c r="I3">
        <f t="shared" si="0"/>
        <v>1.1200000000000001</v>
      </c>
      <c r="J3">
        <f t="shared" si="0"/>
        <v>1.1200000000000001</v>
      </c>
      <c r="K3">
        <f t="shared" si="0"/>
        <v>1.1200000000000001</v>
      </c>
      <c r="L3">
        <f t="shared" si="0"/>
        <v>1.1200000000000001</v>
      </c>
      <c r="M3">
        <f t="shared" si="0"/>
        <v>1.1200000000000001</v>
      </c>
      <c r="N3">
        <f t="shared" si="0"/>
        <v>1.1200000000000001</v>
      </c>
      <c r="O3">
        <f t="shared" si="0"/>
        <v>1.1200000000000001</v>
      </c>
    </row>
    <row r="4" spans="2:15">
      <c r="B4" s="251"/>
      <c r="C4" s="107" t="s">
        <v>254</v>
      </c>
      <c r="D4" s="72">
        <f>Poblacion!E31</f>
        <v>27411.428571428572</v>
      </c>
      <c r="E4" s="72">
        <f>D4</f>
        <v>27411.428571428572</v>
      </c>
      <c r="F4" s="72">
        <f t="shared" ref="F4:O4" si="1">E4</f>
        <v>27411.428571428572</v>
      </c>
      <c r="G4" s="72">
        <f t="shared" si="1"/>
        <v>27411.428571428572</v>
      </c>
      <c r="H4" s="72">
        <f t="shared" si="1"/>
        <v>27411.428571428572</v>
      </c>
      <c r="I4" s="72">
        <f t="shared" si="1"/>
        <v>27411.428571428572</v>
      </c>
      <c r="J4" s="72">
        <f t="shared" si="1"/>
        <v>27411.428571428572</v>
      </c>
      <c r="K4" s="72">
        <f t="shared" si="1"/>
        <v>27411.428571428572</v>
      </c>
      <c r="L4" s="72">
        <f t="shared" si="1"/>
        <v>27411.428571428572</v>
      </c>
      <c r="M4" s="72">
        <f t="shared" si="1"/>
        <v>27411.428571428572</v>
      </c>
      <c r="N4" s="72">
        <f t="shared" si="1"/>
        <v>27411.428571428572</v>
      </c>
      <c r="O4" s="72">
        <f t="shared" si="1"/>
        <v>27411.428571428572</v>
      </c>
    </row>
    <row r="5" spans="2:15">
      <c r="B5" s="252"/>
      <c r="C5" s="107" t="s">
        <v>255</v>
      </c>
      <c r="D5">
        <f>D3*D4</f>
        <v>30700.800000000003</v>
      </c>
      <c r="E5">
        <f t="shared" ref="E5:O5" si="2">E3*E4</f>
        <v>30700.800000000003</v>
      </c>
      <c r="F5">
        <f t="shared" si="2"/>
        <v>30700.800000000003</v>
      </c>
      <c r="G5">
        <f t="shared" si="2"/>
        <v>30700.800000000003</v>
      </c>
      <c r="H5">
        <f t="shared" si="2"/>
        <v>30700.800000000003</v>
      </c>
      <c r="I5">
        <f t="shared" si="2"/>
        <v>30700.800000000003</v>
      </c>
      <c r="J5">
        <f t="shared" si="2"/>
        <v>30700.800000000003</v>
      </c>
      <c r="K5">
        <f t="shared" si="2"/>
        <v>30700.800000000003</v>
      </c>
      <c r="L5">
        <f t="shared" si="2"/>
        <v>30700.800000000003</v>
      </c>
      <c r="M5">
        <f t="shared" si="2"/>
        <v>30700.800000000003</v>
      </c>
      <c r="N5">
        <f t="shared" si="2"/>
        <v>30700.800000000003</v>
      </c>
      <c r="O5">
        <f t="shared" si="2"/>
        <v>30700.800000000003</v>
      </c>
    </row>
    <row r="6" spans="2:15">
      <c r="B6" s="253" t="s">
        <v>256</v>
      </c>
      <c r="C6" s="253"/>
    </row>
    <row r="7" spans="2:15">
      <c r="B7" s="109"/>
      <c r="C7" s="108"/>
    </row>
    <row r="8" spans="2:15">
      <c r="B8" s="110"/>
      <c r="C8" s="108"/>
    </row>
    <row r="11" spans="2:15">
      <c r="C11" s="52" t="s">
        <v>21</v>
      </c>
      <c r="D11" s="52" t="s">
        <v>258</v>
      </c>
      <c r="E11" s="52" t="s">
        <v>259</v>
      </c>
      <c r="F11" s="52" t="s">
        <v>260</v>
      </c>
      <c r="G11" s="52" t="s">
        <v>261</v>
      </c>
      <c r="H11" s="52" t="s">
        <v>262</v>
      </c>
      <c r="I11" s="52" t="s">
        <v>263</v>
      </c>
      <c r="J11" s="52" t="s">
        <v>264</v>
      </c>
      <c r="K11" s="52" t="s">
        <v>265</v>
      </c>
      <c r="L11" s="52" t="s">
        <v>266</v>
      </c>
      <c r="M11" s="52" t="s">
        <v>267</v>
      </c>
      <c r="N11" s="52" t="s">
        <v>268</v>
      </c>
      <c r="O11" s="52" t="s">
        <v>269</v>
      </c>
    </row>
    <row r="12" spans="2:15">
      <c r="C12" s="53" t="s">
        <v>236</v>
      </c>
      <c r="D12" s="99">
        <f t="shared" ref="D12:O12" si="3">D5</f>
        <v>30700.800000000003</v>
      </c>
      <c r="E12" s="99">
        <f t="shared" si="3"/>
        <v>30700.800000000003</v>
      </c>
      <c r="F12" s="99">
        <f t="shared" si="3"/>
        <v>30700.800000000003</v>
      </c>
      <c r="G12" s="99">
        <f t="shared" si="3"/>
        <v>30700.800000000003</v>
      </c>
      <c r="H12" s="99">
        <f t="shared" si="3"/>
        <v>30700.800000000003</v>
      </c>
      <c r="I12" s="99">
        <f t="shared" si="3"/>
        <v>30700.800000000003</v>
      </c>
      <c r="J12" s="99">
        <f t="shared" si="3"/>
        <v>30700.800000000003</v>
      </c>
      <c r="K12" s="99">
        <f t="shared" si="3"/>
        <v>30700.800000000003</v>
      </c>
      <c r="L12" s="99">
        <f t="shared" si="3"/>
        <v>30700.800000000003</v>
      </c>
      <c r="M12" s="99">
        <f t="shared" si="3"/>
        <v>30700.800000000003</v>
      </c>
      <c r="N12" s="99">
        <f t="shared" si="3"/>
        <v>30700.800000000003</v>
      </c>
      <c r="O12" s="99">
        <f t="shared" si="3"/>
        <v>30700.800000000003</v>
      </c>
    </row>
    <row r="13" spans="2:15">
      <c r="C13" s="53" t="s">
        <v>283</v>
      </c>
    </row>
    <row r="14" spans="2:15">
      <c r="C14" s="83" t="s">
        <v>284</v>
      </c>
      <c r="D14" s="99">
        <f>Costos!F22</f>
        <v>13060</v>
      </c>
      <c r="E14" s="99">
        <f>D14</f>
        <v>13060</v>
      </c>
      <c r="F14" s="99">
        <f t="shared" ref="F14:O14" si="4">E14</f>
        <v>13060</v>
      </c>
      <c r="G14" s="99">
        <f t="shared" si="4"/>
        <v>13060</v>
      </c>
      <c r="H14" s="99">
        <f t="shared" si="4"/>
        <v>13060</v>
      </c>
      <c r="I14" s="99">
        <f t="shared" si="4"/>
        <v>13060</v>
      </c>
      <c r="J14" s="99">
        <f t="shared" si="4"/>
        <v>13060</v>
      </c>
      <c r="K14" s="99">
        <f t="shared" si="4"/>
        <v>13060</v>
      </c>
      <c r="L14" s="99">
        <f t="shared" si="4"/>
        <v>13060</v>
      </c>
      <c r="M14" s="99">
        <f t="shared" si="4"/>
        <v>13060</v>
      </c>
      <c r="N14" s="99">
        <f t="shared" si="4"/>
        <v>13060</v>
      </c>
      <c r="O14" s="99">
        <f t="shared" si="4"/>
        <v>13060</v>
      </c>
    </row>
    <row r="15" spans="2:15">
      <c r="C15" s="83" t="s">
        <v>285</v>
      </c>
      <c r="D15" s="99">
        <f>Costos!F9</f>
        <v>1320</v>
      </c>
      <c r="E15" s="99">
        <f>D15</f>
        <v>1320</v>
      </c>
      <c r="F15" s="99">
        <f t="shared" ref="F15:O15" si="5">E15</f>
        <v>1320</v>
      </c>
      <c r="G15" s="99">
        <f t="shared" si="5"/>
        <v>1320</v>
      </c>
      <c r="H15" s="99">
        <f t="shared" si="5"/>
        <v>1320</v>
      </c>
      <c r="I15" s="99">
        <f t="shared" si="5"/>
        <v>1320</v>
      </c>
      <c r="J15" s="99">
        <f t="shared" si="5"/>
        <v>1320</v>
      </c>
      <c r="K15" s="99">
        <f t="shared" si="5"/>
        <v>1320</v>
      </c>
      <c r="L15" s="99">
        <f t="shared" si="5"/>
        <v>1320</v>
      </c>
      <c r="M15" s="99">
        <f t="shared" si="5"/>
        <v>1320</v>
      </c>
      <c r="N15" s="99">
        <f t="shared" si="5"/>
        <v>1320</v>
      </c>
      <c r="O15" s="99">
        <f t="shared" si="5"/>
        <v>1320</v>
      </c>
    </row>
    <row r="16" spans="2:15">
      <c r="C16" s="83" t="s">
        <v>286</v>
      </c>
      <c r="D16" s="99">
        <f>Costos!F32</f>
        <v>7199.471428571429</v>
      </c>
      <c r="E16" s="99">
        <f>D16</f>
        <v>7199.471428571429</v>
      </c>
      <c r="F16" s="99">
        <f t="shared" ref="F16:O16" si="6">E16</f>
        <v>7199.471428571429</v>
      </c>
      <c r="G16" s="99">
        <f t="shared" si="6"/>
        <v>7199.471428571429</v>
      </c>
      <c r="H16" s="99">
        <f t="shared" si="6"/>
        <v>7199.471428571429</v>
      </c>
      <c r="I16" s="99">
        <f t="shared" si="6"/>
        <v>7199.471428571429</v>
      </c>
      <c r="J16" s="99">
        <f t="shared" si="6"/>
        <v>7199.471428571429</v>
      </c>
      <c r="K16" s="99">
        <f t="shared" si="6"/>
        <v>7199.471428571429</v>
      </c>
      <c r="L16" s="99">
        <f t="shared" si="6"/>
        <v>7199.471428571429</v>
      </c>
      <c r="M16" s="99">
        <f t="shared" si="6"/>
        <v>7199.471428571429</v>
      </c>
      <c r="N16" s="99">
        <f t="shared" si="6"/>
        <v>7199.471428571429</v>
      </c>
      <c r="O16" s="99">
        <f t="shared" si="6"/>
        <v>7199.471428571429</v>
      </c>
    </row>
    <row r="17" spans="2:15">
      <c r="C17" s="83" t="s">
        <v>287</v>
      </c>
      <c r="D17" s="99">
        <f>Gastos!G17</f>
        <v>6810.4</v>
      </c>
      <c r="E17" s="99">
        <f>D17</f>
        <v>6810.4</v>
      </c>
      <c r="F17" s="99">
        <f t="shared" ref="F17:O17" si="7">E17</f>
        <v>6810.4</v>
      </c>
      <c r="G17" s="99">
        <f t="shared" si="7"/>
        <v>6810.4</v>
      </c>
      <c r="H17" s="99">
        <f t="shared" si="7"/>
        <v>6810.4</v>
      </c>
      <c r="I17" s="99">
        <f t="shared" si="7"/>
        <v>6810.4</v>
      </c>
      <c r="J17" s="99">
        <f t="shared" si="7"/>
        <v>6810.4</v>
      </c>
      <c r="K17" s="99">
        <f t="shared" si="7"/>
        <v>6810.4</v>
      </c>
      <c r="L17" s="99">
        <f t="shared" si="7"/>
        <v>6810.4</v>
      </c>
      <c r="M17" s="99">
        <f t="shared" si="7"/>
        <v>6810.4</v>
      </c>
      <c r="N17" s="99">
        <f t="shared" si="7"/>
        <v>6810.4</v>
      </c>
      <c r="O17" s="99">
        <f t="shared" si="7"/>
        <v>6810.4</v>
      </c>
    </row>
    <row r="18" spans="2:15">
      <c r="C18" s="83" t="s">
        <v>288</v>
      </c>
      <c r="D18" s="99">
        <f>Gastos!H46</f>
        <v>2720</v>
      </c>
      <c r="E18" s="99">
        <f>D18</f>
        <v>2720</v>
      </c>
      <c r="F18" s="99">
        <f t="shared" ref="F18:O18" si="8">E18</f>
        <v>2720</v>
      </c>
      <c r="G18" s="99">
        <f t="shared" si="8"/>
        <v>2720</v>
      </c>
      <c r="H18" s="99">
        <f t="shared" si="8"/>
        <v>2720</v>
      </c>
      <c r="I18" s="99">
        <f t="shared" si="8"/>
        <v>2720</v>
      </c>
      <c r="J18" s="99">
        <f t="shared" si="8"/>
        <v>2720</v>
      </c>
      <c r="K18" s="99">
        <f t="shared" si="8"/>
        <v>2720</v>
      </c>
      <c r="L18" s="99">
        <f t="shared" si="8"/>
        <v>2720</v>
      </c>
      <c r="M18" s="99">
        <f t="shared" si="8"/>
        <v>2720</v>
      </c>
      <c r="N18" s="99">
        <f t="shared" si="8"/>
        <v>2720</v>
      </c>
      <c r="O18" s="99">
        <f t="shared" si="8"/>
        <v>2720</v>
      </c>
    </row>
    <row r="19" spans="2:15">
      <c r="C19" s="53" t="s">
        <v>289</v>
      </c>
      <c r="D19" s="114">
        <f>SUM(D14:D18)</f>
        <v>31109.87142857143</v>
      </c>
      <c r="E19" s="114">
        <f t="shared" ref="E19:O19" si="9">SUM(E14:E18)</f>
        <v>31109.87142857143</v>
      </c>
      <c r="F19" s="114">
        <f t="shared" si="9"/>
        <v>31109.87142857143</v>
      </c>
      <c r="G19" s="114">
        <f t="shared" si="9"/>
        <v>31109.87142857143</v>
      </c>
      <c r="H19" s="114">
        <f t="shared" si="9"/>
        <v>31109.87142857143</v>
      </c>
      <c r="I19" s="114">
        <f t="shared" si="9"/>
        <v>31109.87142857143</v>
      </c>
      <c r="J19" s="114">
        <f t="shared" si="9"/>
        <v>31109.87142857143</v>
      </c>
      <c r="K19" s="114">
        <f t="shared" si="9"/>
        <v>31109.87142857143</v>
      </c>
      <c r="L19" s="114">
        <f t="shared" si="9"/>
        <v>31109.87142857143</v>
      </c>
      <c r="M19" s="114">
        <f t="shared" si="9"/>
        <v>31109.87142857143</v>
      </c>
      <c r="N19" s="114">
        <f t="shared" si="9"/>
        <v>31109.87142857143</v>
      </c>
      <c r="O19" s="114">
        <f t="shared" si="9"/>
        <v>31109.87142857143</v>
      </c>
    </row>
    <row r="22" spans="2:15">
      <c r="C22" s="52" t="s">
        <v>21</v>
      </c>
      <c r="D22" s="52" t="s">
        <v>258</v>
      </c>
      <c r="E22" s="52" t="s">
        <v>259</v>
      </c>
      <c r="F22" s="52" t="s">
        <v>260</v>
      </c>
      <c r="G22" s="52" t="s">
        <v>261</v>
      </c>
      <c r="H22" s="52" t="s">
        <v>262</v>
      </c>
      <c r="I22" s="52" t="s">
        <v>263</v>
      </c>
      <c r="J22" s="52" t="s">
        <v>264</v>
      </c>
      <c r="K22" s="52" t="s">
        <v>265</v>
      </c>
      <c r="L22" s="52" t="s">
        <v>266</v>
      </c>
      <c r="M22" s="52" t="s">
        <v>267</v>
      </c>
      <c r="N22" s="52" t="s">
        <v>268</v>
      </c>
      <c r="O22" s="52" t="s">
        <v>269</v>
      </c>
    </row>
    <row r="23" spans="2:15">
      <c r="C23" s="53" t="s">
        <v>290</v>
      </c>
      <c r="D23" s="116">
        <f>D5</f>
        <v>30700.800000000003</v>
      </c>
      <c r="E23" s="116">
        <f t="shared" ref="E23:O23" si="10">E5</f>
        <v>30700.800000000003</v>
      </c>
      <c r="F23" s="116">
        <f t="shared" si="10"/>
        <v>30700.800000000003</v>
      </c>
      <c r="G23" s="116">
        <f t="shared" si="10"/>
        <v>30700.800000000003</v>
      </c>
      <c r="H23" s="116">
        <f t="shared" si="10"/>
        <v>30700.800000000003</v>
      </c>
      <c r="I23" s="116">
        <f t="shared" si="10"/>
        <v>30700.800000000003</v>
      </c>
      <c r="J23" s="116">
        <f t="shared" si="10"/>
        <v>30700.800000000003</v>
      </c>
      <c r="K23" s="116">
        <f t="shared" si="10"/>
        <v>30700.800000000003</v>
      </c>
      <c r="L23" s="116">
        <f t="shared" si="10"/>
        <v>30700.800000000003</v>
      </c>
      <c r="M23" s="116">
        <f t="shared" si="10"/>
        <v>30700.800000000003</v>
      </c>
      <c r="N23" s="116">
        <f t="shared" si="10"/>
        <v>30700.800000000003</v>
      </c>
      <c r="O23" s="116">
        <f t="shared" si="10"/>
        <v>30700.800000000003</v>
      </c>
    </row>
    <row r="24" spans="2:15">
      <c r="C24" s="53" t="s">
        <v>289</v>
      </c>
      <c r="D24" s="116">
        <f>D19</f>
        <v>31109.87142857143</v>
      </c>
      <c r="E24" s="116">
        <f t="shared" ref="E24:O24" si="11">E19</f>
        <v>31109.87142857143</v>
      </c>
      <c r="F24" s="116">
        <f t="shared" si="11"/>
        <v>31109.87142857143</v>
      </c>
      <c r="G24" s="116">
        <f t="shared" si="11"/>
        <v>31109.87142857143</v>
      </c>
      <c r="H24" s="116">
        <f t="shared" si="11"/>
        <v>31109.87142857143</v>
      </c>
      <c r="I24" s="116">
        <f t="shared" si="11"/>
        <v>31109.87142857143</v>
      </c>
      <c r="J24" s="116">
        <f t="shared" si="11"/>
        <v>31109.87142857143</v>
      </c>
      <c r="K24" s="116">
        <f t="shared" si="11"/>
        <v>31109.87142857143</v>
      </c>
      <c r="L24" s="116">
        <f t="shared" si="11"/>
        <v>31109.87142857143</v>
      </c>
      <c r="M24" s="116">
        <f t="shared" si="11"/>
        <v>31109.87142857143</v>
      </c>
      <c r="N24" s="116">
        <f t="shared" si="11"/>
        <v>31109.87142857143</v>
      </c>
      <c r="O24" s="116">
        <f t="shared" si="11"/>
        <v>31109.87142857143</v>
      </c>
    </row>
    <row r="25" spans="2:15">
      <c r="C25" s="53" t="s">
        <v>291</v>
      </c>
      <c r="D25" s="116">
        <f>D23-D24</f>
        <v>-409.07142857142753</v>
      </c>
      <c r="E25" s="116">
        <f t="shared" ref="E25:O25" si="12">E23-E24</f>
        <v>-409.07142857142753</v>
      </c>
      <c r="F25" s="116">
        <f t="shared" si="12"/>
        <v>-409.07142857142753</v>
      </c>
      <c r="G25" s="116">
        <f t="shared" si="12"/>
        <v>-409.07142857142753</v>
      </c>
      <c r="H25" s="116">
        <f t="shared" si="12"/>
        <v>-409.07142857142753</v>
      </c>
      <c r="I25" s="116">
        <f t="shared" si="12"/>
        <v>-409.07142857142753</v>
      </c>
      <c r="J25" s="116">
        <f t="shared" si="12"/>
        <v>-409.07142857142753</v>
      </c>
      <c r="K25" s="116">
        <f t="shared" si="12"/>
        <v>-409.07142857142753</v>
      </c>
      <c r="L25" s="116">
        <f t="shared" si="12"/>
        <v>-409.07142857142753</v>
      </c>
      <c r="M25" s="116">
        <f t="shared" si="12"/>
        <v>-409.07142857142753</v>
      </c>
      <c r="N25" s="116">
        <f t="shared" si="12"/>
        <v>-409.07142857142753</v>
      </c>
      <c r="O25" s="116">
        <f t="shared" si="12"/>
        <v>-409.07142857142753</v>
      </c>
    </row>
    <row r="26" spans="2:15">
      <c r="C26" s="53" t="s">
        <v>292</v>
      </c>
      <c r="D26" s="116">
        <f>D25</f>
        <v>-409.07142857142753</v>
      </c>
      <c r="E26" s="116">
        <f>D26+E25</f>
        <v>-818.14285714285506</v>
      </c>
      <c r="F26" s="116">
        <f t="shared" ref="F26:N26" si="13">E26+F25</f>
        <v>-1227.2142857142826</v>
      </c>
      <c r="G26" s="116">
        <f t="shared" si="13"/>
        <v>-1636.2857142857101</v>
      </c>
      <c r="H26" s="116">
        <f t="shared" si="13"/>
        <v>-2045.3571428571377</v>
      </c>
      <c r="I26" s="116">
        <f t="shared" si="13"/>
        <v>-2454.4285714285652</v>
      </c>
      <c r="J26" s="116">
        <f t="shared" si="13"/>
        <v>-2863.4999999999927</v>
      </c>
      <c r="K26" s="116">
        <f t="shared" si="13"/>
        <v>-3272.5714285714203</v>
      </c>
      <c r="L26" s="116">
        <f t="shared" si="13"/>
        <v>-3681.6428571428478</v>
      </c>
      <c r="M26" s="116">
        <f t="shared" si="13"/>
        <v>-4090.7142857142753</v>
      </c>
      <c r="N26" s="116">
        <f t="shared" si="13"/>
        <v>-4499.7857142857029</v>
      </c>
      <c r="O26" s="117">
        <f>N26+O25</f>
        <v>-4908.8571428571304</v>
      </c>
    </row>
    <row r="31" spans="2:15">
      <c r="B31" t="s">
        <v>282</v>
      </c>
      <c r="C31" s="72">
        <f>Poblacion!E32</f>
        <v>328937.14285714284</v>
      </c>
      <c r="E31" s="83">
        <v>1</v>
      </c>
      <c r="F31" s="83">
        <f>E31/$E$43</f>
        <v>1.282051282051282E-2</v>
      </c>
      <c r="G31" s="83"/>
      <c r="H31" s="111" t="s">
        <v>270</v>
      </c>
    </row>
    <row r="32" spans="2:15">
      <c r="E32" s="83">
        <v>2</v>
      </c>
      <c r="F32" s="83">
        <f t="shared" ref="F32:F42" si="14">E32/$E$43</f>
        <v>2.564102564102564E-2</v>
      </c>
      <c r="G32" s="83"/>
      <c r="H32" s="111" t="s">
        <v>271</v>
      </c>
    </row>
    <row r="33" spans="5:8">
      <c r="E33" s="83">
        <v>3</v>
      </c>
      <c r="F33" s="83">
        <f t="shared" si="14"/>
        <v>3.8461538461538464E-2</v>
      </c>
      <c r="G33" s="83"/>
      <c r="H33" s="111" t="s">
        <v>272</v>
      </c>
    </row>
    <row r="34" spans="5:8">
      <c r="E34" s="83">
        <v>4</v>
      </c>
      <c r="F34" s="83">
        <f t="shared" si="14"/>
        <v>5.128205128205128E-2</v>
      </c>
      <c r="G34" s="83"/>
      <c r="H34" s="112" t="s">
        <v>273</v>
      </c>
    </row>
    <row r="35" spans="5:8">
      <c r="E35" s="83">
        <v>5</v>
      </c>
      <c r="F35" s="83">
        <f t="shared" si="14"/>
        <v>6.4102564102564097E-2</v>
      </c>
      <c r="G35" s="83"/>
      <c r="H35" s="111" t="s">
        <v>274</v>
      </c>
    </row>
    <row r="36" spans="5:8">
      <c r="E36" s="83">
        <v>6</v>
      </c>
      <c r="F36" s="83">
        <f t="shared" si="14"/>
        <v>7.6923076923076927E-2</v>
      </c>
      <c r="G36" s="83"/>
      <c r="H36" s="111" t="s">
        <v>275</v>
      </c>
    </row>
    <row r="37" spans="5:8">
      <c r="E37" s="83">
        <v>7</v>
      </c>
      <c r="F37" s="83">
        <f t="shared" si="14"/>
        <v>8.9743589743589744E-2</v>
      </c>
      <c r="G37" s="83"/>
      <c r="H37" s="111" t="s">
        <v>276</v>
      </c>
    </row>
    <row r="38" spans="5:8">
      <c r="E38" s="83">
        <v>8</v>
      </c>
      <c r="F38" s="83">
        <f t="shared" si="14"/>
        <v>0.10256410256410256</v>
      </c>
      <c r="G38" s="83"/>
      <c r="H38" s="111" t="s">
        <v>277</v>
      </c>
    </row>
    <row r="39" spans="5:8">
      <c r="E39" s="83">
        <v>9</v>
      </c>
      <c r="F39" s="83">
        <f t="shared" si="14"/>
        <v>0.11538461538461539</v>
      </c>
      <c r="G39" s="83"/>
      <c r="H39" s="83" t="s">
        <v>278</v>
      </c>
    </row>
    <row r="40" spans="5:8">
      <c r="E40" s="83">
        <v>10</v>
      </c>
      <c r="F40" s="83">
        <f t="shared" si="14"/>
        <v>0.12820512820512819</v>
      </c>
      <c r="G40" s="83"/>
      <c r="H40" s="83" t="s">
        <v>279</v>
      </c>
    </row>
    <row r="41" spans="5:8">
      <c r="E41" s="83">
        <v>11</v>
      </c>
      <c r="F41" s="83">
        <f t="shared" si="14"/>
        <v>0.14102564102564102</v>
      </c>
      <c r="G41" s="83"/>
      <c r="H41" s="83" t="s">
        <v>280</v>
      </c>
    </row>
    <row r="42" spans="5:8">
      <c r="E42" s="83">
        <v>12</v>
      </c>
      <c r="F42" s="83">
        <f t="shared" si="14"/>
        <v>0.15384615384615385</v>
      </c>
      <c r="G42" s="83"/>
      <c r="H42" s="83" t="s">
        <v>281</v>
      </c>
    </row>
    <row r="43" spans="5:8">
      <c r="E43" s="83">
        <f>SUM(E31:E42)</f>
        <v>78</v>
      </c>
      <c r="F43" s="83"/>
      <c r="G43" s="83"/>
      <c r="H43" s="83"/>
    </row>
  </sheetData>
  <mergeCells count="2">
    <mergeCell ref="B3:B5"/>
    <mergeCell ref="B6:C6"/>
  </mergeCells>
  <phoneticPr fontId="3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Gastos</vt:lpstr>
      <vt:lpstr>Equipo de ofic y planta</vt:lpstr>
      <vt:lpstr>Costos</vt:lpstr>
      <vt:lpstr>Estructura y Abministracion</vt:lpstr>
      <vt:lpstr>Activos</vt:lpstr>
      <vt:lpstr>Poblacion</vt:lpstr>
      <vt:lpstr>Ingreso</vt:lpstr>
      <vt:lpstr>Calculo de la Demanda</vt:lpstr>
      <vt:lpstr>def. acum . max</vt:lpstr>
      <vt:lpstr>Flujo Caja de pro</vt:lpstr>
      <vt:lpstr>Flujo caja accc</vt:lpstr>
      <vt:lpstr>Est. Sit. In</vt:lpstr>
      <vt:lpstr>V. salvamento</vt:lpstr>
      <vt:lpstr>tmar</vt:lpstr>
      <vt:lpstr>pay back</vt:lpstr>
      <vt:lpstr>ana sensi</vt:lpstr>
      <vt:lpstr>esta perdi y ganan</vt:lpstr>
      <vt:lpstr>P.EQUILIBRIO</vt:lpstr>
    </vt:vector>
  </TitlesOfParts>
  <Company>Lab-Cib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cltsmalc</dc:creator>
  <cp:lastModifiedBy>silgivar</cp:lastModifiedBy>
  <dcterms:created xsi:type="dcterms:W3CDTF">2010-02-22T17:33:54Z</dcterms:created>
  <dcterms:modified xsi:type="dcterms:W3CDTF">2010-06-09T18:52:47Z</dcterms:modified>
</cp:coreProperties>
</file>