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15" yWindow="30" windowWidth="12060" windowHeight="4155" tabRatio="828" firstSheet="7" activeTab="11"/>
  </bookViews>
  <sheets>
    <sheet name="Analisis Sensibi Costos" sheetId="20" r:id="rId1"/>
    <sheet name="Gráfico1" sheetId="19" r:id="rId2"/>
    <sheet name="Analisis Sensibilidad Ingresos" sheetId="18" r:id="rId3"/>
    <sheet name="Analisis Volumen" sheetId="17" r:id="rId4"/>
    <sheet name="P. Recup" sheetId="16" r:id="rId5"/>
    <sheet name="Flujo de caja proyec" sheetId="14" r:id="rId6"/>
    <sheet name="flujo Cja Acc" sheetId="13" r:id="rId7"/>
    <sheet name="TMAR" sheetId="15" r:id="rId8"/>
    <sheet name="Estado de Resultados" sheetId="12" r:id="rId9"/>
    <sheet name="Depreciaciones" sheetId="11" r:id="rId10"/>
    <sheet name="Demanda" sheetId="9" r:id="rId11"/>
    <sheet name="Poblacion" sheetId="5" r:id="rId12"/>
    <sheet name="Ingresos" sheetId="10" r:id="rId13"/>
    <sheet name="Costos" sheetId="8" r:id="rId14"/>
    <sheet name="Gastos" sheetId="2" r:id="rId15"/>
    <sheet name="Inversion" sheetId="1" r:id="rId16"/>
    <sheet name="Amortizacion" sheetId="7" r:id="rId17"/>
    <sheet name="Capital de Trabajo" sheetId="4" r:id="rId18"/>
    <sheet name="Encuestas" sheetId="6" r:id="rId19"/>
    <sheet name="fuentes" sheetId="3" r:id="rId20"/>
  </sheets>
  <definedNames>
    <definedName name="tasa">#REF!</definedName>
  </definedNames>
  <calcPr calcId="125725" iterate="1" iterateCount="201" iterateDelta="1.0000000000000001E-5"/>
</workbook>
</file>

<file path=xl/calcChain.xml><?xml version="1.0" encoding="utf-8"?>
<calcChain xmlns="http://schemas.openxmlformats.org/spreadsheetml/2006/main">
  <c r="F116" i="1"/>
  <c r="F94"/>
  <c r="G72"/>
  <c r="G59"/>
  <c r="F59"/>
  <c r="G43"/>
  <c r="F43"/>
  <c r="F31"/>
  <c r="K61" i="5"/>
  <c r="L49"/>
  <c r="A3" i="4"/>
  <c r="A15" s="1"/>
  <c r="L50" i="5"/>
  <c r="A4" i="4"/>
  <c r="L51" i="5"/>
  <c r="A5" i="4"/>
  <c r="L52" i="5"/>
  <c r="A6" i="4"/>
  <c r="L53" i="5"/>
  <c r="A7" i="4"/>
  <c r="L54" i="5"/>
  <c r="A8" i="4"/>
  <c r="L55" i="5"/>
  <c r="A9" i="4"/>
  <c r="L56" i="5"/>
  <c r="A10" i="4"/>
  <c r="L57" i="5"/>
  <c r="A11" i="4"/>
  <c r="L58" i="5"/>
  <c r="A12" i="4"/>
  <c r="L59" i="5"/>
  <c r="A13" i="4"/>
  <c r="L60" i="5"/>
  <c r="A14" i="4"/>
  <c r="G7" i="20"/>
  <c r="G15" s="1"/>
  <c r="B7"/>
  <c r="B15" s="1"/>
  <c r="C7"/>
  <c r="C15" s="1"/>
  <c r="D7"/>
  <c r="D15" s="1"/>
  <c r="E7"/>
  <c r="E15" s="1"/>
  <c r="F7"/>
  <c r="F15" s="1"/>
  <c r="A7"/>
  <c r="A15" s="1"/>
  <c r="B8"/>
  <c r="B16" s="1"/>
  <c r="A8"/>
  <c r="A16" s="1"/>
  <c r="E40"/>
  <c r="E39"/>
  <c r="E38"/>
  <c r="E37"/>
  <c r="E36"/>
  <c r="E35"/>
  <c r="E34"/>
  <c r="E33"/>
  <c r="E32"/>
  <c r="E31"/>
  <c r="E30"/>
  <c r="E29"/>
  <c r="E28"/>
  <c r="E27"/>
  <c r="E26"/>
  <c r="E25"/>
  <c r="K24"/>
  <c r="J24"/>
  <c r="I24"/>
  <c r="H24"/>
  <c r="G24"/>
  <c r="F24"/>
  <c r="E24"/>
  <c r="E23" i="18"/>
  <c r="E24"/>
  <c r="E25"/>
  <c r="E26"/>
  <c r="E27"/>
  <c r="E28"/>
  <c r="E29"/>
  <c r="E30"/>
  <c r="E31"/>
  <c r="E32"/>
  <c r="E33"/>
  <c r="E34"/>
  <c r="E35"/>
  <c r="E36"/>
  <c r="E37"/>
  <c r="E38"/>
  <c r="F22"/>
  <c r="G22"/>
  <c r="H22"/>
  <c r="I22"/>
  <c r="J22"/>
  <c r="K22"/>
  <c r="E22"/>
  <c r="B6"/>
  <c r="J6" s="1"/>
  <c r="C6"/>
  <c r="K6" s="1"/>
  <c r="B16"/>
  <c r="J16" s="1"/>
  <c r="B18"/>
  <c r="J18" s="1"/>
  <c r="B14"/>
  <c r="J14" s="1"/>
  <c r="B15"/>
  <c r="J15" s="1"/>
  <c r="G6"/>
  <c r="O6" s="1"/>
  <c r="B7"/>
  <c r="J7" s="1"/>
  <c r="B8"/>
  <c r="J8" s="1"/>
  <c r="B9"/>
  <c r="J9" s="1"/>
  <c r="B10"/>
  <c r="J10" s="1"/>
  <c r="B11"/>
  <c r="J11" s="1"/>
  <c r="B12"/>
  <c r="J12" s="1"/>
  <c r="E6"/>
  <c r="M6" s="1"/>
  <c r="F6"/>
  <c r="N6" s="1"/>
  <c r="D6"/>
  <c r="L6" s="1"/>
  <c r="C50" i="13"/>
  <c r="C12" i="15"/>
  <c r="F35"/>
  <c r="E38"/>
  <c r="C30" i="2"/>
  <c r="C14" i="15"/>
  <c r="E9"/>
  <c r="F9"/>
  <c r="C9"/>
  <c r="C16"/>
  <c r="F10"/>
  <c r="C11"/>
  <c r="C17"/>
  <c r="B33" i="11"/>
  <c r="B34"/>
  <c r="B32"/>
  <c r="B31"/>
  <c r="B25"/>
  <c r="B26"/>
  <c r="B27"/>
  <c r="B28"/>
  <c r="B29"/>
  <c r="B30"/>
  <c r="B24"/>
  <c r="B23"/>
  <c r="H71" i="1"/>
  <c r="C22" i="11"/>
  <c r="E22" s="1"/>
  <c r="G22" s="1"/>
  <c r="H22" s="1"/>
  <c r="B21"/>
  <c r="B22"/>
  <c r="B15"/>
  <c r="B12"/>
  <c r="B13"/>
  <c r="B14"/>
  <c r="B11"/>
  <c r="B28" i="9"/>
  <c r="B29"/>
  <c r="B25"/>
  <c r="B26"/>
  <c r="B27"/>
  <c r="C24"/>
  <c r="B24"/>
  <c r="B21"/>
  <c r="B9"/>
  <c r="B10"/>
  <c r="B11"/>
  <c r="B12"/>
  <c r="B13"/>
  <c r="B14"/>
  <c r="B15"/>
  <c r="B16"/>
  <c r="B17"/>
  <c r="B18"/>
  <c r="B19"/>
  <c r="B20"/>
  <c r="C8"/>
  <c r="D8"/>
  <c r="E8"/>
  <c r="F8"/>
  <c r="G8"/>
  <c r="B8"/>
  <c r="B6"/>
  <c r="D14" i="1"/>
  <c r="R24"/>
  <c r="D6" i="8"/>
  <c r="E6" s="1"/>
  <c r="E15" i="2"/>
  <c r="F15"/>
  <c r="E16"/>
  <c r="F16"/>
  <c r="F17"/>
  <c r="C14" i="12"/>
  <c r="C2" i="4"/>
  <c r="D2"/>
  <c r="E2"/>
  <c r="F2"/>
  <c r="B2"/>
  <c r="A3" i="3"/>
  <c r="A4"/>
  <c r="A5"/>
  <c r="A6"/>
  <c r="A9"/>
  <c r="A11"/>
  <c r="A13"/>
  <c r="A14"/>
  <c r="A15"/>
  <c r="A19"/>
  <c r="D90" i="4"/>
  <c r="F90"/>
  <c r="D91"/>
  <c r="C10" i="7"/>
  <c r="D40" i="11"/>
  <c r="D10" i="7"/>
  <c r="E40" i="11"/>
  <c r="E10" i="7"/>
  <c r="F40" i="11"/>
  <c r="F10" i="7"/>
  <c r="G40" i="11"/>
  <c r="G10" i="7"/>
  <c r="H40" i="11"/>
  <c r="H10" i="7"/>
  <c r="I40" i="11"/>
  <c r="H28" i="1"/>
  <c r="C32" i="11"/>
  <c r="E32" s="1"/>
  <c r="G32" s="1"/>
  <c r="H32" s="1"/>
  <c r="H29" i="1"/>
  <c r="C33" i="11"/>
  <c r="E33"/>
  <c r="H30" i="1"/>
  <c r="C34" i="11"/>
  <c r="E34" s="1"/>
  <c r="G34" s="1"/>
  <c r="H34" s="1"/>
  <c r="G31" i="1"/>
  <c r="H36"/>
  <c r="C24" i="11"/>
  <c r="E24" s="1"/>
  <c r="G24" s="1"/>
  <c r="H24" s="1"/>
  <c r="H37" i="1"/>
  <c r="C25" i="11"/>
  <c r="E25"/>
  <c r="G25" s="1"/>
  <c r="H25" s="1"/>
  <c r="H38" i="1"/>
  <c r="C26" i="11"/>
  <c r="E26" s="1"/>
  <c r="G26" s="1"/>
  <c r="H26" s="1"/>
  <c r="H39" i="1"/>
  <c r="C27" i="11"/>
  <c r="E27"/>
  <c r="G27" s="1"/>
  <c r="H27" s="1"/>
  <c r="H40" i="1"/>
  <c r="C28" i="11"/>
  <c r="E28" s="1"/>
  <c r="G28" s="1"/>
  <c r="H28" s="1"/>
  <c r="H41" i="1"/>
  <c r="C29" i="11"/>
  <c r="E29"/>
  <c r="G29" s="1"/>
  <c r="H29" s="1"/>
  <c r="H42" i="1"/>
  <c r="C30" i="11"/>
  <c r="E30" s="1"/>
  <c r="G30" s="1"/>
  <c r="H30" s="1"/>
  <c r="H52" i="1"/>
  <c r="C11" i="11"/>
  <c r="E11"/>
  <c r="H53" i="1"/>
  <c r="C12" i="11"/>
  <c r="E12" s="1"/>
  <c r="H54" i="1"/>
  <c r="C13" i="11"/>
  <c r="E13"/>
  <c r="G13" s="1"/>
  <c r="H13" s="1"/>
  <c r="H55" i="1"/>
  <c r="C14" i="11"/>
  <c r="E14" s="1"/>
  <c r="G14" s="1"/>
  <c r="H14" s="1"/>
  <c r="H56" i="1"/>
  <c r="H57"/>
  <c r="H58"/>
  <c r="C65"/>
  <c r="B16" i="11"/>
  <c r="F65" i="1"/>
  <c r="F72"/>
  <c r="H65"/>
  <c r="C16" i="11"/>
  <c r="E16" s="1"/>
  <c r="G16" s="1"/>
  <c r="H16" s="1"/>
  <c r="C66" i="1"/>
  <c r="B17" i="11"/>
  <c r="H66" i="1"/>
  <c r="C17" i="11"/>
  <c r="E17"/>
  <c r="C67" i="1"/>
  <c r="B18" i="11"/>
  <c r="H67" i="1"/>
  <c r="C18" i="11"/>
  <c r="E18" s="1"/>
  <c r="G18" s="1"/>
  <c r="H18" s="1"/>
  <c r="C68" i="1"/>
  <c r="B19" i="11"/>
  <c r="H68" i="1"/>
  <c r="C19" i="11"/>
  <c r="E19"/>
  <c r="G19" s="1"/>
  <c r="H19" s="1"/>
  <c r="C69" i="1"/>
  <c r="B20" i="11"/>
  <c r="H69" i="1"/>
  <c r="C20" i="11"/>
  <c r="E20" s="1"/>
  <c r="G20" s="1"/>
  <c r="H20" s="1"/>
  <c r="H70" i="1"/>
  <c r="C21" i="11"/>
  <c r="E21"/>
  <c r="G21" s="1"/>
  <c r="H21" s="1"/>
  <c r="H78" i="1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G94"/>
  <c r="H94"/>
  <c r="E42" i="8"/>
  <c r="F42"/>
  <c r="F45" s="1"/>
  <c r="H103" i="1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G116"/>
  <c r="H116"/>
  <c r="E5" i="2"/>
  <c r="F5"/>
  <c r="E6"/>
  <c r="F6"/>
  <c r="E7"/>
  <c r="F7"/>
  <c r="E8"/>
  <c r="F8"/>
  <c r="E9"/>
  <c r="E10"/>
  <c r="F9"/>
  <c r="F10"/>
  <c r="C11" i="12"/>
  <c r="C10" i="2"/>
  <c r="D10"/>
  <c r="H28"/>
  <c r="K28"/>
  <c r="M28"/>
  <c r="O28"/>
  <c r="D28"/>
  <c r="E28"/>
  <c r="I29"/>
  <c r="K29"/>
  <c r="L29"/>
  <c r="M29"/>
  <c r="N29"/>
  <c r="O29"/>
  <c r="D29"/>
  <c r="E29"/>
  <c r="D30"/>
  <c r="E30"/>
  <c r="D31"/>
  <c r="E31"/>
  <c r="D32"/>
  <c r="E32"/>
  <c r="E34"/>
  <c r="C10" i="12"/>
  <c r="D11" i="13"/>
  <c r="H33" i="2"/>
  <c r="K33"/>
  <c r="M33"/>
  <c r="O33"/>
  <c r="H34"/>
  <c r="K34"/>
  <c r="M34"/>
  <c r="O34"/>
  <c r="C34"/>
  <c r="D34"/>
  <c r="B69" i="4"/>
  <c r="H35" i="2"/>
  <c r="K35"/>
  <c r="M35"/>
  <c r="O35"/>
  <c r="H36"/>
  <c r="C43"/>
  <c r="E128" i="1"/>
  <c r="F128" s="1"/>
  <c r="J19" s="1"/>
  <c r="C48" i="2"/>
  <c r="C11" i="7"/>
  <c r="D41" i="11" s="1"/>
  <c r="J63" i="2"/>
  <c r="J65"/>
  <c r="D74"/>
  <c r="D76"/>
  <c r="M82"/>
  <c r="J84"/>
  <c r="M83"/>
  <c r="C92"/>
  <c r="C109"/>
  <c r="E7" i="8"/>
  <c r="F7"/>
  <c r="C8"/>
  <c r="E14"/>
  <c r="F14"/>
  <c r="E15"/>
  <c r="F15"/>
  <c r="E16"/>
  <c r="F16"/>
  <c r="E17"/>
  <c r="F17"/>
  <c r="E18"/>
  <c r="F18"/>
  <c r="E19"/>
  <c r="F19"/>
  <c r="C20"/>
  <c r="D20"/>
  <c r="E20"/>
  <c r="F20"/>
  <c r="I21"/>
  <c r="L21"/>
  <c r="E31"/>
  <c r="J64"/>
  <c r="Q9" i="17"/>
  <c r="O21" i="8"/>
  <c r="E30"/>
  <c r="E29"/>
  <c r="C64"/>
  <c r="D29"/>
  <c r="D35"/>
  <c r="C42"/>
  <c r="D42"/>
  <c r="G42"/>
  <c r="E44"/>
  <c r="F44"/>
  <c r="G44"/>
  <c r="C45"/>
  <c r="D45"/>
  <c r="E53"/>
  <c r="F53"/>
  <c r="G53"/>
  <c r="F54"/>
  <c r="G54"/>
  <c r="E55"/>
  <c r="F55"/>
  <c r="G55"/>
  <c r="E56"/>
  <c r="I36" i="2"/>
  <c r="F56" i="8"/>
  <c r="G56"/>
  <c r="F5" i="5"/>
  <c r="E10"/>
  <c r="F14"/>
  <c r="F23"/>
  <c r="G23"/>
  <c r="F24"/>
  <c r="G24"/>
  <c r="F25"/>
  <c r="G25"/>
  <c r="F26"/>
  <c r="G26"/>
  <c r="F27"/>
  <c r="D29"/>
  <c r="E23"/>
  <c r="E29"/>
  <c r="H38"/>
  <c r="E40"/>
  <c r="E42"/>
  <c r="F36"/>
  <c r="F42"/>
  <c r="F68"/>
  <c r="H68" s="1"/>
  <c r="F69"/>
  <c r="F70"/>
  <c r="B77"/>
  <c r="C77"/>
  <c r="D77"/>
  <c r="E77"/>
  <c r="F77"/>
  <c r="B78"/>
  <c r="C78"/>
  <c r="D78"/>
  <c r="E78"/>
  <c r="F78"/>
  <c r="B79"/>
  <c r="C79"/>
  <c r="D79"/>
  <c r="E79"/>
  <c r="F79"/>
  <c r="B80"/>
  <c r="C80"/>
  <c r="D80"/>
  <c r="E80"/>
  <c r="F80"/>
  <c r="C81"/>
  <c r="D81"/>
  <c r="E81"/>
  <c r="F81"/>
  <c r="B82"/>
  <c r="B83"/>
  <c r="E86"/>
  <c r="G86"/>
  <c r="E89"/>
  <c r="C114"/>
  <c r="F120"/>
  <c r="E17" i="2"/>
  <c r="M84"/>
  <c r="C93"/>
  <c r="C100"/>
  <c r="C110"/>
  <c r="C111"/>
  <c r="D11" i="7"/>
  <c r="E41" i="11" s="1"/>
  <c r="E11" i="7"/>
  <c r="F41" i="11" s="1"/>
  <c r="F11" i="7"/>
  <c r="G41" i="11" s="1"/>
  <c r="G11" i="7"/>
  <c r="H41" i="11" s="1"/>
  <c r="H11" i="7"/>
  <c r="I41" i="11" s="1"/>
  <c r="E127" i="1"/>
  <c r="F127" s="1"/>
  <c r="J18" s="1"/>
  <c r="J16" s="1"/>
  <c r="E126"/>
  <c r="F126"/>
  <c r="F129" s="1"/>
  <c r="J17"/>
  <c r="D17" i="2"/>
  <c r="D10" i="12"/>
  <c r="E11" i="13" s="1"/>
  <c r="E10" s="1"/>
  <c r="D32" i="5"/>
  <c r="K36" i="2"/>
  <c r="K37"/>
  <c r="K39" s="1"/>
  <c r="M36"/>
  <c r="M37" s="1"/>
  <c r="M39" s="1"/>
  <c r="O36"/>
  <c r="O37"/>
  <c r="O39" s="1"/>
  <c r="I37"/>
  <c r="I39" s="1"/>
  <c r="E35" i="8"/>
  <c r="F64"/>
  <c r="J9" i="17"/>
  <c r="C19" i="4"/>
  <c r="B70"/>
  <c r="C70"/>
  <c r="D70"/>
  <c r="E70"/>
  <c r="F70"/>
  <c r="G70"/>
  <c r="H70"/>
  <c r="I70"/>
  <c r="J70"/>
  <c r="K70"/>
  <c r="L70"/>
  <c r="M70"/>
  <c r="D13" i="13"/>
  <c r="D13" i="14" s="1"/>
  <c r="G31" i="20" s="1"/>
  <c r="D14" i="12"/>
  <c r="B65" i="4"/>
  <c r="C65"/>
  <c r="D65"/>
  <c r="E65"/>
  <c r="F65"/>
  <c r="G65"/>
  <c r="H65"/>
  <c r="I65"/>
  <c r="J65"/>
  <c r="K65"/>
  <c r="L65"/>
  <c r="M65"/>
  <c r="N65"/>
  <c r="O65" s="1"/>
  <c r="P65" s="1"/>
  <c r="Q65" s="1"/>
  <c r="R65" s="1"/>
  <c r="S65" s="1"/>
  <c r="T65" s="1"/>
  <c r="U65" s="1"/>
  <c r="V65" s="1"/>
  <c r="W65" s="1"/>
  <c r="X65" s="1"/>
  <c r="Y65" s="1"/>
  <c r="D12" i="13"/>
  <c r="D11" i="14" s="1"/>
  <c r="D11" i="12"/>
  <c r="C69" i="4"/>
  <c r="D69"/>
  <c r="E69"/>
  <c r="F69"/>
  <c r="G69"/>
  <c r="H69"/>
  <c r="I69"/>
  <c r="J69"/>
  <c r="K69"/>
  <c r="L69"/>
  <c r="M69"/>
  <c r="E43" i="8"/>
  <c r="G17" i="11"/>
  <c r="H17" s="1"/>
  <c r="G11"/>
  <c r="H11" s="1"/>
  <c r="G33"/>
  <c r="H33" s="1"/>
  <c r="F41" i="5"/>
  <c r="F40"/>
  <c r="F39"/>
  <c r="F38"/>
  <c r="F37"/>
  <c r="E46"/>
  <c r="F46"/>
  <c r="E28"/>
  <c r="E27"/>
  <c r="E26"/>
  <c r="E25"/>
  <c r="E24"/>
  <c r="E32"/>
  <c r="D15" i="1"/>
  <c r="D13"/>
  <c r="D12"/>
  <c r="D11"/>
  <c r="D10"/>
  <c r="D9"/>
  <c r="J9"/>
  <c r="D8"/>
  <c r="J13"/>
  <c r="L61" i="5"/>
  <c r="D19" i="4"/>
  <c r="E19"/>
  <c r="F19"/>
  <c r="G19"/>
  <c r="H19"/>
  <c r="I19"/>
  <c r="J19"/>
  <c r="K19"/>
  <c r="L19"/>
  <c r="M19"/>
  <c r="B19"/>
  <c r="C49" i="5"/>
  <c r="C52"/>
  <c r="F43" i="8"/>
  <c r="G43" s="1"/>
  <c r="G45" s="1"/>
  <c r="E45"/>
  <c r="E12" i="13"/>
  <c r="E11" i="14" s="1"/>
  <c r="E11" i="12"/>
  <c r="E13" i="13"/>
  <c r="E13" i="14" s="1"/>
  <c r="H31" i="20" s="1"/>
  <c r="E14" i="12"/>
  <c r="F32" i="5"/>
  <c r="F13" i="13"/>
  <c r="F13" i="14"/>
  <c r="I31" i="20" s="1"/>
  <c r="F14" i="12"/>
  <c r="G14" s="1"/>
  <c r="H13" i="13" s="1"/>
  <c r="H13" i="14" s="1"/>
  <c r="K31" i="20" s="1"/>
  <c r="F12" i="13"/>
  <c r="F11" i="14"/>
  <c r="I30" i="20" s="1"/>
  <c r="F11" i="12"/>
  <c r="G11" s="1"/>
  <c r="H12" i="13" s="1"/>
  <c r="H11" i="14" s="1"/>
  <c r="K30" i="20" s="1"/>
  <c r="C12" i="9"/>
  <c r="J52" i="5"/>
  <c r="I52"/>
  <c r="H52"/>
  <c r="C53"/>
  <c r="C9" i="9"/>
  <c r="H49" i="5"/>
  <c r="J49"/>
  <c r="I49"/>
  <c r="C50"/>
  <c r="G71"/>
  <c r="H71"/>
  <c r="H69"/>
  <c r="H70"/>
  <c r="G68"/>
  <c r="G69"/>
  <c r="G70"/>
  <c r="C10" i="9"/>
  <c r="J50" i="5"/>
  <c r="I50"/>
  <c r="H50"/>
  <c r="C51"/>
  <c r="C13" i="9"/>
  <c r="J53" i="5"/>
  <c r="I53"/>
  <c r="H53"/>
  <c r="C54"/>
  <c r="G12" i="13"/>
  <c r="G11" i="14" s="1"/>
  <c r="G13" i="13"/>
  <c r="G13" i="14" s="1"/>
  <c r="J31" i="20" s="1"/>
  <c r="C14" i="9"/>
  <c r="J54" i="5"/>
  <c r="I54"/>
  <c r="H54"/>
  <c r="C55"/>
  <c r="C11" i="9"/>
  <c r="J51" i="5"/>
  <c r="I51"/>
  <c r="H51"/>
  <c r="C15" i="9"/>
  <c r="J55" i="5"/>
  <c r="I55"/>
  <c r="H55"/>
  <c r="C56"/>
  <c r="C16" i="9"/>
  <c r="J56" i="5"/>
  <c r="I56"/>
  <c r="H56"/>
  <c r="C57"/>
  <c r="C17" i="9"/>
  <c r="J57" i="5"/>
  <c r="I57"/>
  <c r="H57"/>
  <c r="C58"/>
  <c r="C18" i="9"/>
  <c r="J58" i="5"/>
  <c r="I58"/>
  <c r="H58"/>
  <c r="C59"/>
  <c r="C19" i="9"/>
  <c r="J59" i="5"/>
  <c r="I59"/>
  <c r="H59"/>
  <c r="C60"/>
  <c r="C20" i="9"/>
  <c r="J60" i="5"/>
  <c r="I60"/>
  <c r="H60"/>
  <c r="D49"/>
  <c r="C61"/>
  <c r="C21" i="9"/>
  <c r="J61" i="5"/>
  <c r="I61"/>
  <c r="H61"/>
  <c r="C66"/>
  <c r="M50"/>
  <c r="B4" i="4"/>
  <c r="K4" s="1"/>
  <c r="C45" s="1"/>
  <c r="M51" i="5"/>
  <c r="B5" i="4"/>
  <c r="K5" s="1"/>
  <c r="D45" s="1"/>
  <c r="M52" i="5"/>
  <c r="B6" i="4"/>
  <c r="K6" s="1"/>
  <c r="E45" s="1"/>
  <c r="M53" i="5"/>
  <c r="B7" i="4"/>
  <c r="K7" s="1"/>
  <c r="F45" s="1"/>
  <c r="M54" i="5"/>
  <c r="B8" i="4"/>
  <c r="K8" s="1"/>
  <c r="G45" s="1"/>
  <c r="M55" i="5"/>
  <c r="B9" i="4"/>
  <c r="K9" s="1"/>
  <c r="H45" s="1"/>
  <c r="M56" i="5"/>
  <c r="B10" i="4"/>
  <c r="K10" s="1"/>
  <c r="I45" s="1"/>
  <c r="M57" i="5"/>
  <c r="B11" i="4"/>
  <c r="K11" s="1"/>
  <c r="J45" s="1"/>
  <c r="M58" i="5"/>
  <c r="B12" i="4"/>
  <c r="K12" s="1"/>
  <c r="K45" s="1"/>
  <c r="M59" i="5"/>
  <c r="B13" i="4"/>
  <c r="K13" s="1"/>
  <c r="L45" s="1"/>
  <c r="M60" i="5"/>
  <c r="B14" i="4"/>
  <c r="K14" s="1"/>
  <c r="M45" s="1"/>
  <c r="M49" i="5"/>
  <c r="B3" i="4"/>
  <c r="I3" s="1"/>
  <c r="B41" s="1"/>
  <c r="D9" i="9"/>
  <c r="D50" i="5"/>
  <c r="D10" i="9"/>
  <c r="D51" i="5"/>
  <c r="C25" i="9"/>
  <c r="E110" i="5"/>
  <c r="C6" i="10" s="1"/>
  <c r="C8" i="18" s="1"/>
  <c r="K8" s="1"/>
  <c r="E111" i="5"/>
  <c r="E112"/>
  <c r="J112" s="1"/>
  <c r="E113"/>
  <c r="J113"/>
  <c r="K113" s="1"/>
  <c r="G31" i="8"/>
  <c r="I31" s="1"/>
  <c r="C10" i="10"/>
  <c r="C12" i="18" s="1"/>
  <c r="K12" s="1"/>
  <c r="G30" i="8"/>
  <c r="I30" s="1"/>
  <c r="J111" i="5"/>
  <c r="C8" i="10"/>
  <c r="C10" i="18"/>
  <c r="K10" s="1"/>
  <c r="G29" i="8"/>
  <c r="I29" s="1"/>
  <c r="J110" i="5"/>
  <c r="J114" s="1"/>
  <c r="D11" i="9"/>
  <c r="D52" i="5"/>
  <c r="D12" i="9"/>
  <c r="D53" i="5"/>
  <c r="F29" i="8"/>
  <c r="H29" s="1"/>
  <c r="K110" i="5"/>
  <c r="F30" i="8"/>
  <c r="H30" s="1"/>
  <c r="K111" i="5"/>
  <c r="D13" i="9"/>
  <c r="D54" i="5"/>
  <c r="D14" i="9"/>
  <c r="D55" i="5"/>
  <c r="D15" i="9"/>
  <c r="D56" i="5"/>
  <c r="D16" i="9"/>
  <c r="D57" i="5"/>
  <c r="D17" i="9"/>
  <c r="D58" i="5"/>
  <c r="D18" i="9"/>
  <c r="D59" i="5"/>
  <c r="D19" i="9"/>
  <c r="D60" i="5"/>
  <c r="D20" i="9"/>
  <c r="E49" i="5"/>
  <c r="D61"/>
  <c r="D21" i="9"/>
  <c r="F111" i="5"/>
  <c r="D8" i="10"/>
  <c r="D10" i="18" s="1"/>
  <c r="L10" s="1"/>
  <c r="F112" i="5"/>
  <c r="D10" i="10"/>
  <c r="D12" i="18" s="1"/>
  <c r="L12" s="1"/>
  <c r="F113" i="5"/>
  <c r="F114"/>
  <c r="F110"/>
  <c r="D6" i="10"/>
  <c r="D8" i="18" s="1"/>
  <c r="L8" s="1"/>
  <c r="C67" i="5"/>
  <c r="C26" i="9"/>
  <c r="N50" i="5"/>
  <c r="C4" i="4"/>
  <c r="N4" s="1"/>
  <c r="O45" s="1"/>
  <c r="N51" i="5"/>
  <c r="C5" i="4"/>
  <c r="N5" s="1"/>
  <c r="P45" s="1"/>
  <c r="N52" i="5"/>
  <c r="C6" i="4"/>
  <c r="N6" s="1"/>
  <c r="Q45" s="1"/>
  <c r="N53" i="5"/>
  <c r="C7" i="4"/>
  <c r="N7" s="1"/>
  <c r="R45" s="1"/>
  <c r="N54" i="5"/>
  <c r="C8" i="4"/>
  <c r="N8" s="1"/>
  <c r="S45" s="1"/>
  <c r="N55" i="5"/>
  <c r="C9" i="4"/>
  <c r="N9" s="1"/>
  <c r="T45" s="1"/>
  <c r="N56" i="5"/>
  <c r="C10" i="4"/>
  <c r="N10" s="1"/>
  <c r="U45" s="1"/>
  <c r="N57" i="5"/>
  <c r="C11" i="4"/>
  <c r="N11" s="1"/>
  <c r="V45" s="1"/>
  <c r="N58" i="5"/>
  <c r="C12" i="4"/>
  <c r="N12" s="1"/>
  <c r="W45" s="1"/>
  <c r="N59" i="5"/>
  <c r="C13" i="4"/>
  <c r="N13" s="1"/>
  <c r="X45" s="1"/>
  <c r="N60" i="5"/>
  <c r="C14" i="4"/>
  <c r="N14" s="1"/>
  <c r="Y45" s="1"/>
  <c r="N49" i="5"/>
  <c r="C3" i="4"/>
  <c r="N3" s="1"/>
  <c r="N45" s="1"/>
  <c r="E9" i="9"/>
  <c r="E50" i="5"/>
  <c r="E10" i="9"/>
  <c r="E51" i="5"/>
  <c r="E11" i="9"/>
  <c r="E52" i="5"/>
  <c r="E12" i="9"/>
  <c r="E53" i="5"/>
  <c r="E13" i="9"/>
  <c r="E54" i="5"/>
  <c r="E14" i="9"/>
  <c r="E55" i="5"/>
  <c r="E15" i="9"/>
  <c r="E56" i="5"/>
  <c r="E16" i="9"/>
  <c r="E57" i="5"/>
  <c r="E17" i="9"/>
  <c r="E58" i="5"/>
  <c r="E18" i="9"/>
  <c r="E59" i="5"/>
  <c r="E19" i="9"/>
  <c r="E60" i="5"/>
  <c r="E20" i="9"/>
  <c r="F49" i="5"/>
  <c r="E61"/>
  <c r="E21" i="9"/>
  <c r="G111" i="5"/>
  <c r="E8" i="10"/>
  <c r="E10" i="18" s="1"/>
  <c r="M10" s="1"/>
  <c r="G112" i="5"/>
  <c r="E10" i="10"/>
  <c r="E12" i="18" s="1"/>
  <c r="M12" s="1"/>
  <c r="G113" i="5"/>
  <c r="G114"/>
  <c r="G110"/>
  <c r="E6" i="10"/>
  <c r="E8" i="18" s="1"/>
  <c r="M8" s="1"/>
  <c r="C68" i="5"/>
  <c r="C27" i="9"/>
  <c r="O50" i="5"/>
  <c r="D4" i="4"/>
  <c r="O51" i="5"/>
  <c r="D5" i="4"/>
  <c r="O52" i="5"/>
  <c r="D6" i="4"/>
  <c r="O53" i="5"/>
  <c r="D7" i="4"/>
  <c r="O54" i="5"/>
  <c r="D8" i="4"/>
  <c r="O55" i="5"/>
  <c r="D9" i="4"/>
  <c r="O56" i="5"/>
  <c r="D10" i="4"/>
  <c r="O57" i="5"/>
  <c r="D11" i="4"/>
  <c r="O58" i="5"/>
  <c r="D12" i="4"/>
  <c r="O59" i="5"/>
  <c r="D13" i="4"/>
  <c r="O60" i="5"/>
  <c r="D14" i="4"/>
  <c r="O49" i="5"/>
  <c r="D3" i="4"/>
  <c r="F9" i="9"/>
  <c r="F50" i="5"/>
  <c r="F10" i="9"/>
  <c r="F51" i="5"/>
  <c r="F11" i="9"/>
  <c r="F52" i="5"/>
  <c r="F12" i="9"/>
  <c r="F53" i="5"/>
  <c r="F13" i="9"/>
  <c r="F54" i="5"/>
  <c r="F14" i="9"/>
  <c r="F55" i="5"/>
  <c r="F15" i="9"/>
  <c r="F56" i="5"/>
  <c r="F16" i="9"/>
  <c r="F57" i="5"/>
  <c r="F17" i="9"/>
  <c r="F58" i="5"/>
  <c r="F18" i="9"/>
  <c r="F59" i="5"/>
  <c r="F19" i="9"/>
  <c r="F60" i="5"/>
  <c r="F20" i="9"/>
  <c r="G49" i="5"/>
  <c r="F61"/>
  <c r="F21" i="9"/>
  <c r="H111" i="5"/>
  <c r="F8" i="10"/>
  <c r="F10" i="18" s="1"/>
  <c r="N10" s="1"/>
  <c r="H112" i="5"/>
  <c r="F10" i="10"/>
  <c r="F12" i="18" s="1"/>
  <c r="N12"/>
  <c r="H113" i="5"/>
  <c r="H114"/>
  <c r="H110"/>
  <c r="F6" i="10"/>
  <c r="F8" i="18" s="1"/>
  <c r="N8" s="1"/>
  <c r="C69" i="5"/>
  <c r="C28" i="9"/>
  <c r="P50" i="5"/>
  <c r="E4" i="4"/>
  <c r="P51" i="5"/>
  <c r="E5" i="4"/>
  <c r="P52" i="5"/>
  <c r="E6" i="4"/>
  <c r="P53" i="5"/>
  <c r="E7" i="4"/>
  <c r="P54" i="5"/>
  <c r="E8" i="4"/>
  <c r="P55" i="5"/>
  <c r="E9" i="4"/>
  <c r="P56" i="5"/>
  <c r="E10" i="4"/>
  <c r="P57" i="5"/>
  <c r="E11" i="4"/>
  <c r="P58" i="5"/>
  <c r="E12" i="4"/>
  <c r="P59" i="5"/>
  <c r="E13" i="4"/>
  <c r="P60" i="5"/>
  <c r="E14" i="4"/>
  <c r="P49" i="5"/>
  <c r="E3" i="4"/>
  <c r="G9" i="9"/>
  <c r="G50" i="5"/>
  <c r="G10" i="9"/>
  <c r="G51" i="5"/>
  <c r="G11" i="9"/>
  <c r="G52" i="5"/>
  <c r="G12" i="9"/>
  <c r="G53" i="5"/>
  <c r="G13" i="9"/>
  <c r="G54" i="5"/>
  <c r="G14" i="9"/>
  <c r="G55" i="5"/>
  <c r="G15" i="9"/>
  <c r="G56" i="5"/>
  <c r="G16" i="9"/>
  <c r="G57" i="5"/>
  <c r="G17" i="9"/>
  <c r="G58" i="5"/>
  <c r="G18" i="9"/>
  <c r="G59" i="5"/>
  <c r="G19" i="9"/>
  <c r="G60" i="5"/>
  <c r="G20" i="9"/>
  <c r="G61" i="5"/>
  <c r="G21" i="9"/>
  <c r="I111" i="5"/>
  <c r="G8" i="10"/>
  <c r="G10" i="18"/>
  <c r="O10" s="1"/>
  <c r="I112" i="5"/>
  <c r="G10" i="10"/>
  <c r="G12" i="18"/>
  <c r="O12" s="1"/>
  <c r="I113" i="5"/>
  <c r="I114"/>
  <c r="I110"/>
  <c r="G6" i="10"/>
  <c r="G8" i="18"/>
  <c r="O8" s="1"/>
  <c r="C70" i="5"/>
  <c r="C29" i="9"/>
  <c r="Q50" i="5"/>
  <c r="F4" i="4"/>
  <c r="Q51" i="5"/>
  <c r="F5" i="4"/>
  <c r="Q52" i="5"/>
  <c r="F6" i="4"/>
  <c r="Q53" i="5"/>
  <c r="F7" i="4"/>
  <c r="Q54" i="5"/>
  <c r="F8" i="4"/>
  <c r="Q55" i="5"/>
  <c r="F9" i="4"/>
  <c r="Q56" i="5"/>
  <c r="F10" i="4"/>
  <c r="Q57" i="5"/>
  <c r="F11" i="4"/>
  <c r="Q58" i="5"/>
  <c r="F12" i="4"/>
  <c r="Q59" i="5"/>
  <c r="F13" i="4"/>
  <c r="Q60" i="5"/>
  <c r="F14" i="4"/>
  <c r="Q49" i="5"/>
  <c r="F3" i="4"/>
  <c r="E12" i="14"/>
  <c r="D12"/>
  <c r="D10" i="13"/>
  <c r="C38" i="15"/>
  <c r="D38"/>
  <c r="F38"/>
  <c r="G38"/>
  <c r="C6"/>
  <c r="C18"/>
  <c r="C31" i="13"/>
  <c r="B37"/>
  <c r="B39" s="1"/>
  <c r="B38"/>
  <c r="H29" i="20"/>
  <c r="H27" i="18"/>
  <c r="D10" i="14"/>
  <c r="K28" i="18"/>
  <c r="I28"/>
  <c r="G29"/>
  <c r="K29"/>
  <c r="J29"/>
  <c r="I29"/>
  <c r="H29"/>
  <c r="D9" i="17"/>
  <c r="E114" i="5"/>
  <c r="G28" i="8" s="1"/>
  <c r="I116" i="1"/>
  <c r="D18"/>
  <c r="J12"/>
  <c r="I94"/>
  <c r="D16"/>
  <c r="J15"/>
  <c r="H72"/>
  <c r="H59"/>
  <c r="H43"/>
  <c r="D17"/>
  <c r="J10"/>
  <c r="H31"/>
  <c r="D19"/>
  <c r="J11"/>
  <c r="D7"/>
  <c r="C9" i="7"/>
  <c r="D9"/>
  <c r="E9"/>
  <c r="E12" s="1"/>
  <c r="D12" i="12" s="1"/>
  <c r="F9" i="7"/>
  <c r="G9"/>
  <c r="G12" s="1"/>
  <c r="F12" i="12" s="1"/>
  <c r="G15" i="13" s="1"/>
  <c r="H9" i="7"/>
  <c r="C12"/>
  <c r="D39" i="11"/>
  <c r="J14" i="1"/>
  <c r="J8"/>
  <c r="J22"/>
  <c r="C26" i="13" s="1"/>
  <c r="E20" i="1"/>
  <c r="H12" i="7"/>
  <c r="G12" i="12" s="1"/>
  <c r="H15" i="13" s="1"/>
  <c r="I39" i="11"/>
  <c r="F12" i="7"/>
  <c r="E12" i="12" s="1"/>
  <c r="F15" i="13" s="1"/>
  <c r="G39" i="11"/>
  <c r="D12" i="7"/>
  <c r="C12" i="12" s="1"/>
  <c r="E39" i="11"/>
  <c r="D15" i="13" l="1"/>
  <c r="F15" i="14"/>
  <c r="H15"/>
  <c r="C22"/>
  <c r="F38" i="18"/>
  <c r="F40" i="20"/>
  <c r="G15" i="14"/>
  <c r="E15" i="13"/>
  <c r="G32" i="8"/>
  <c r="I28"/>
  <c r="G29" i="20"/>
  <c r="G27" i="18"/>
  <c r="F28" i="8"/>
  <c r="K114" i="5"/>
  <c r="F31" i="8"/>
  <c r="H31" s="1"/>
  <c r="K112" i="5"/>
  <c r="J28" i="18"/>
  <c r="J30" i="20"/>
  <c r="E10" i="14"/>
  <c r="H28" i="18"/>
  <c r="H26" s="1"/>
  <c r="H30" i="20"/>
  <c r="G68" i="4"/>
  <c r="I68"/>
  <c r="K68"/>
  <c r="M68"/>
  <c r="F68"/>
  <c r="D68"/>
  <c r="B68"/>
  <c r="H68"/>
  <c r="J68"/>
  <c r="L68"/>
  <c r="E68"/>
  <c r="C68"/>
  <c r="H28" i="20"/>
  <c r="G28" i="18"/>
  <c r="G30" i="20"/>
  <c r="E35" i="11"/>
  <c r="C13" i="12" s="1"/>
  <c r="C9" s="1"/>
  <c r="G12" i="11"/>
  <c r="H12" s="1"/>
  <c r="H35" s="1"/>
  <c r="H27" i="13" s="1"/>
  <c r="H23" i="14" s="1"/>
  <c r="F6" i="8"/>
  <c r="F8" s="1"/>
  <c r="E8"/>
  <c r="F39" i="11"/>
  <c r="H39"/>
  <c r="L4" i="4"/>
  <c r="O41" s="1"/>
  <c r="M4"/>
  <c r="O43" s="1"/>
  <c r="L5"/>
  <c r="P41" s="1"/>
  <c r="M5"/>
  <c r="P43" s="1"/>
  <c r="L6"/>
  <c r="Q41" s="1"/>
  <c r="M6"/>
  <c r="Q43" s="1"/>
  <c r="L7"/>
  <c r="R41" s="1"/>
  <c r="M7"/>
  <c r="R43" s="1"/>
  <c r="L8"/>
  <c r="S41" s="1"/>
  <c r="M8"/>
  <c r="S43" s="1"/>
  <c r="L9"/>
  <c r="T41" s="1"/>
  <c r="M9"/>
  <c r="T43" s="1"/>
  <c r="L10"/>
  <c r="U41" s="1"/>
  <c r="M10"/>
  <c r="U43" s="1"/>
  <c r="L11"/>
  <c r="V41" s="1"/>
  <c r="M11"/>
  <c r="V43" s="1"/>
  <c r="L12"/>
  <c r="W41" s="1"/>
  <c r="M12"/>
  <c r="W43" s="1"/>
  <c r="L13"/>
  <c r="X41" s="1"/>
  <c r="M13"/>
  <c r="X43" s="1"/>
  <c r="L14"/>
  <c r="Y41" s="1"/>
  <c r="M14"/>
  <c r="Y43" s="1"/>
  <c r="L3"/>
  <c r="N41" s="1"/>
  <c r="M3"/>
  <c r="N43" s="1"/>
  <c r="J4"/>
  <c r="C43" s="1"/>
  <c r="I4"/>
  <c r="C41" s="1"/>
  <c r="J5"/>
  <c r="D43" s="1"/>
  <c r="I5"/>
  <c r="D41" s="1"/>
  <c r="J6"/>
  <c r="E43" s="1"/>
  <c r="I6"/>
  <c r="E41" s="1"/>
  <c r="J7"/>
  <c r="F43" s="1"/>
  <c r="I7"/>
  <c r="F41" s="1"/>
  <c r="J8"/>
  <c r="G43" s="1"/>
  <c r="I8"/>
  <c r="G41" s="1"/>
  <c r="J9"/>
  <c r="H43" s="1"/>
  <c r="I9"/>
  <c r="H41" s="1"/>
  <c r="J10"/>
  <c r="I43" s="1"/>
  <c r="I10"/>
  <c r="I41" s="1"/>
  <c r="J11"/>
  <c r="J43" s="1"/>
  <c r="I11"/>
  <c r="J41" s="1"/>
  <c r="J12"/>
  <c r="K43" s="1"/>
  <c r="I12"/>
  <c r="K41" s="1"/>
  <c r="J13"/>
  <c r="L43" s="1"/>
  <c r="I13"/>
  <c r="L41" s="1"/>
  <c r="J14"/>
  <c r="M43" s="1"/>
  <c r="I14"/>
  <c r="M41" s="1"/>
  <c r="K3"/>
  <c r="B45" s="1"/>
  <c r="J3"/>
  <c r="B43" s="1"/>
  <c r="E10" i="12"/>
  <c r="E129" i="1"/>
  <c r="D8" i="8"/>
  <c r="B66" i="4" l="1"/>
  <c r="M66"/>
  <c r="K66"/>
  <c r="I66"/>
  <c r="G66"/>
  <c r="E66"/>
  <c r="C66"/>
  <c r="L66"/>
  <c r="J66"/>
  <c r="H66"/>
  <c r="F66"/>
  <c r="D66"/>
  <c r="K41" i="20"/>
  <c r="K39" i="18"/>
  <c r="H28" i="8"/>
  <c r="F32"/>
  <c r="E15" i="14"/>
  <c r="J33" i="20"/>
  <c r="J31" i="18"/>
  <c r="G28" i="20"/>
  <c r="F10" i="12"/>
  <c r="F11" i="13"/>
  <c r="F65" i="8"/>
  <c r="F67" s="1"/>
  <c r="J65"/>
  <c r="J67" s="1"/>
  <c r="C65"/>
  <c r="D16" i="13"/>
  <c r="D16" i="14" s="1"/>
  <c r="D13" i="12"/>
  <c r="I32" i="8"/>
  <c r="G33"/>
  <c r="K31" i="18"/>
  <c r="K33" i="20"/>
  <c r="I31" i="18"/>
  <c r="I33" i="20"/>
  <c r="D23" i="13"/>
  <c r="D15" i="14"/>
  <c r="G26" i="18"/>
  <c r="D21" i="14" l="1"/>
  <c r="G31" i="18"/>
  <c r="G33" i="20"/>
  <c r="I33" i="8"/>
  <c r="I35" s="1"/>
  <c r="G34"/>
  <c r="I34" s="1"/>
  <c r="G35"/>
  <c r="E16" i="13"/>
  <c r="E13" i="12"/>
  <c r="D9"/>
  <c r="J68" i="8"/>
  <c r="K70"/>
  <c r="G10" i="12"/>
  <c r="G11" i="13"/>
  <c r="H33" i="20"/>
  <c r="H31" i="18"/>
  <c r="G34" i="20"/>
  <c r="G32" i="18"/>
  <c r="D10" i="17"/>
  <c r="C67" i="8"/>
  <c r="F68"/>
  <c r="G70"/>
  <c r="F10" i="13"/>
  <c r="F12" i="14"/>
  <c r="F33" i="8"/>
  <c r="H32"/>
  <c r="N66" i="4"/>
  <c r="O66" s="1"/>
  <c r="P66" s="1"/>
  <c r="Q66" s="1"/>
  <c r="R66" s="1"/>
  <c r="S66" s="1"/>
  <c r="T66" s="1"/>
  <c r="U66" s="1"/>
  <c r="V66" s="1"/>
  <c r="W66" s="1"/>
  <c r="X66" s="1"/>
  <c r="Y66" s="1"/>
  <c r="B67" l="1"/>
  <c r="B71" s="1"/>
  <c r="C67"/>
  <c r="C71" s="1"/>
  <c r="C76" s="1"/>
  <c r="E67"/>
  <c r="E71" s="1"/>
  <c r="E76" s="1"/>
  <c r="G67"/>
  <c r="G71" s="1"/>
  <c r="G76" s="1"/>
  <c r="I67"/>
  <c r="I71" s="1"/>
  <c r="I76" s="1"/>
  <c r="K67"/>
  <c r="K71" s="1"/>
  <c r="K76" s="1"/>
  <c r="M67"/>
  <c r="M71" s="1"/>
  <c r="M76" s="1"/>
  <c r="D67"/>
  <c r="D71" s="1"/>
  <c r="D76" s="1"/>
  <c r="F67"/>
  <c r="F71" s="1"/>
  <c r="F76" s="1"/>
  <c r="H67"/>
  <c r="H71" s="1"/>
  <c r="H76" s="1"/>
  <c r="J67"/>
  <c r="J71" s="1"/>
  <c r="J76" s="1"/>
  <c r="L67"/>
  <c r="L71" s="1"/>
  <c r="L76" s="1"/>
  <c r="C7" i="12"/>
  <c r="I29" i="20"/>
  <c r="I28" s="1"/>
  <c r="I27" i="18"/>
  <c r="I26" s="1"/>
  <c r="F10" i="14"/>
  <c r="C68" i="8"/>
  <c r="D70"/>
  <c r="H11" i="13"/>
  <c r="Q8" i="17"/>
  <c r="C9" i="10"/>
  <c r="B44" i="4"/>
  <c r="F16" i="13"/>
  <c r="F13" i="12"/>
  <c r="E9"/>
  <c r="F34" i="8"/>
  <c r="H34" s="1"/>
  <c r="H33"/>
  <c r="H35" s="1"/>
  <c r="F35"/>
  <c r="B42" i="4"/>
  <c r="J8" i="17"/>
  <c r="C7" i="10"/>
  <c r="J10" i="17"/>
  <c r="G10" i="13"/>
  <c r="G12" i="14"/>
  <c r="E16"/>
  <c r="E23" i="13"/>
  <c r="G39" i="20"/>
  <c r="G37" i="18"/>
  <c r="C9" l="1"/>
  <c r="K9" s="1"/>
  <c r="K15" s="1"/>
  <c r="C13" i="10"/>
  <c r="C15" i="18" s="1"/>
  <c r="D7" i="10"/>
  <c r="C42" i="4"/>
  <c r="B48"/>
  <c r="F16" i="14"/>
  <c r="F23" i="13"/>
  <c r="C11" i="18"/>
  <c r="K11" s="1"/>
  <c r="K16" s="1"/>
  <c r="C14" i="10"/>
  <c r="C16" i="18" s="1"/>
  <c r="D9" i="10"/>
  <c r="J29" i="20"/>
  <c r="J28" s="1"/>
  <c r="J27" i="18"/>
  <c r="J26" s="1"/>
  <c r="G10" i="14"/>
  <c r="H32" i="18"/>
  <c r="H34" i="20"/>
  <c r="E21" i="14"/>
  <c r="Q10" i="17"/>
  <c r="Q17" s="1"/>
  <c r="J17"/>
  <c r="G13" i="12"/>
  <c r="G16" i="13"/>
  <c r="F9" i="12"/>
  <c r="C44" i="4"/>
  <c r="B49"/>
  <c r="H10" i="13"/>
  <c r="H12" i="14"/>
  <c r="D8" i="17"/>
  <c r="D17" s="1"/>
  <c r="D23" s="1"/>
  <c r="C5" i="10"/>
  <c r="B40" i="4"/>
  <c r="D7" i="12"/>
  <c r="D9" i="13"/>
  <c r="N71" i="4"/>
  <c r="B76"/>
  <c r="E7" i="12" l="1"/>
  <c r="E9" i="13"/>
  <c r="C7" i="18"/>
  <c r="K7" s="1"/>
  <c r="K14" s="1"/>
  <c r="K18" s="1"/>
  <c r="G23" s="1"/>
  <c r="D5" i="10"/>
  <c r="C12"/>
  <c r="K29" i="20"/>
  <c r="K28" s="1"/>
  <c r="K27" i="18"/>
  <c r="K26" s="1"/>
  <c r="H10" i="14"/>
  <c r="H16" i="13"/>
  <c r="G9" i="12"/>
  <c r="E7" i="10"/>
  <c r="D13"/>
  <c r="D15" i="18" s="1"/>
  <c r="D9"/>
  <c r="L9" s="1"/>
  <c r="L15" s="1"/>
  <c r="D8" i="13"/>
  <c r="D8" i="14" s="1"/>
  <c r="D9"/>
  <c r="B47" i="4"/>
  <c r="B51" s="1"/>
  <c r="C40"/>
  <c r="C49"/>
  <c r="D44"/>
  <c r="G16" i="14"/>
  <c r="G23" i="13"/>
  <c r="H39" i="20"/>
  <c r="H37" i="18"/>
  <c r="E9" i="10"/>
  <c r="D14"/>
  <c r="D16" i="18" s="1"/>
  <c r="D11"/>
  <c r="L11" s="1"/>
  <c r="L16" s="1"/>
  <c r="I32"/>
  <c r="I34" i="20"/>
  <c r="F21" i="14"/>
  <c r="C48" i="4"/>
  <c r="D42"/>
  <c r="D48" l="1"/>
  <c r="E42"/>
  <c r="I39" i="20"/>
  <c r="I37" i="18"/>
  <c r="D49" i="4"/>
  <c r="E44"/>
  <c r="C47"/>
  <c r="C51" s="1"/>
  <c r="C63" s="1"/>
  <c r="C75" s="1"/>
  <c r="C77" s="1"/>
  <c r="D40"/>
  <c r="C8" i="20"/>
  <c r="C16" s="1"/>
  <c r="G27" s="1"/>
  <c r="G26" s="1"/>
  <c r="G25" i="18"/>
  <c r="G24" s="1"/>
  <c r="F7" i="10"/>
  <c r="E13"/>
  <c r="E15" i="18" s="1"/>
  <c r="E9"/>
  <c r="M9" s="1"/>
  <c r="M15" s="1"/>
  <c r="H16" i="14"/>
  <c r="H23" i="13"/>
  <c r="C16" i="10"/>
  <c r="C14" i="18"/>
  <c r="F7" i="12"/>
  <c r="F9" i="13"/>
  <c r="G30" i="18"/>
  <c r="G33" s="1"/>
  <c r="F9" i="10"/>
  <c r="E14"/>
  <c r="E16" i="18" s="1"/>
  <c r="E11"/>
  <c r="M11" s="1"/>
  <c r="M16" s="1"/>
  <c r="J32"/>
  <c r="J34" i="20"/>
  <c r="G21" i="14"/>
  <c r="B63" i="4"/>
  <c r="D7" i="18"/>
  <c r="L7" s="1"/>
  <c r="L14" s="1"/>
  <c r="L18" s="1"/>
  <c r="H23" s="1"/>
  <c r="D12" i="10"/>
  <c r="E5"/>
  <c r="H25" i="18"/>
  <c r="H24" s="1"/>
  <c r="E8" i="13"/>
  <c r="E8" i="14" s="1"/>
  <c r="E9"/>
  <c r="D8" i="20" s="1"/>
  <c r="D16" s="1"/>
  <c r="H27" s="1"/>
  <c r="H26" s="1"/>
  <c r="F5" i="10" l="1"/>
  <c r="E12"/>
  <c r="E7" i="18"/>
  <c r="M7" s="1"/>
  <c r="M14" s="1"/>
  <c r="M18" s="1"/>
  <c r="I23" s="1"/>
  <c r="B75" i="4"/>
  <c r="B77" s="1"/>
  <c r="B78" s="1"/>
  <c r="G9" i="10"/>
  <c r="F14"/>
  <c r="F16" i="18" s="1"/>
  <c r="F11"/>
  <c r="N11" s="1"/>
  <c r="N16" s="1"/>
  <c r="I25"/>
  <c r="I24" s="1"/>
  <c r="F8" i="13"/>
  <c r="F8" i="14" s="1"/>
  <c r="F9"/>
  <c r="E8" i="20" s="1"/>
  <c r="E16" s="1"/>
  <c r="I27" s="1"/>
  <c r="I26" s="1"/>
  <c r="G7" i="10"/>
  <c r="F13"/>
  <c r="F15" i="18" s="1"/>
  <c r="F9"/>
  <c r="N9" s="1"/>
  <c r="N15" s="1"/>
  <c r="H30"/>
  <c r="H33" s="1"/>
  <c r="C78" i="4"/>
  <c r="D14" i="18"/>
  <c r="D16" i="10"/>
  <c r="J39" i="20"/>
  <c r="J37" i="18"/>
  <c r="G35"/>
  <c r="G34"/>
  <c r="G36" s="1"/>
  <c r="G42" s="1"/>
  <c r="G9" i="13"/>
  <c r="G7" i="12"/>
  <c r="H9" i="13" s="1"/>
  <c r="D7"/>
  <c r="C6" i="12"/>
  <c r="C8" s="1"/>
  <c r="C15" s="1"/>
  <c r="C18" i="18"/>
  <c r="K32"/>
  <c r="K34" i="20"/>
  <c r="H21" i="14"/>
  <c r="D47" i="4"/>
  <c r="D51" s="1"/>
  <c r="E40"/>
  <c r="E49"/>
  <c r="F44"/>
  <c r="E48"/>
  <c r="F42"/>
  <c r="G42" l="1"/>
  <c r="F48"/>
  <c r="F40"/>
  <c r="E47"/>
  <c r="E51" s="1"/>
  <c r="E63" s="1"/>
  <c r="E75" s="1"/>
  <c r="E77" s="1"/>
  <c r="K39" i="20"/>
  <c r="K37" i="18"/>
  <c r="H8" i="13"/>
  <c r="H8" i="14" s="1"/>
  <c r="H9"/>
  <c r="G8" i="20" s="1"/>
  <c r="G16" s="1"/>
  <c r="K27" s="1"/>
  <c r="K26" s="1"/>
  <c r="K25" i="18"/>
  <c r="K24" s="1"/>
  <c r="G5" i="10"/>
  <c r="F12"/>
  <c r="F7" i="18"/>
  <c r="N7" s="1"/>
  <c r="N14" s="1"/>
  <c r="N18" s="1"/>
  <c r="J23" s="1"/>
  <c r="I30"/>
  <c r="I33" s="1"/>
  <c r="F49" i="4"/>
  <c r="G44"/>
  <c r="H35" i="18"/>
  <c r="H34"/>
  <c r="H36" s="1"/>
  <c r="H42" s="1"/>
  <c r="D63" i="4"/>
  <c r="D14" i="13"/>
  <c r="D17" s="1"/>
  <c r="D7" i="14"/>
  <c r="J25" i="18"/>
  <c r="J24" s="1"/>
  <c r="G8" i="13"/>
  <c r="G8" i="14" s="1"/>
  <c r="G9"/>
  <c r="F8" i="20" s="1"/>
  <c r="F16" s="1"/>
  <c r="J27" s="1"/>
  <c r="J26" s="1"/>
  <c r="D18" i="18"/>
  <c r="E7" i="13"/>
  <c r="D6" i="12"/>
  <c r="D8" s="1"/>
  <c r="D15" s="1"/>
  <c r="G13" i="10"/>
  <c r="G15" i="18" s="1"/>
  <c r="G9"/>
  <c r="O9" s="1"/>
  <c r="O15" s="1"/>
  <c r="G14" i="10"/>
  <c r="G16" i="18" s="1"/>
  <c r="G11"/>
  <c r="O11" s="1"/>
  <c r="O16" s="1"/>
  <c r="E14"/>
  <c r="E16" i="10"/>
  <c r="E6" i="12" l="1"/>
  <c r="E8" s="1"/>
  <c r="E15" s="1"/>
  <c r="E18" i="18"/>
  <c r="F7" i="13"/>
  <c r="E7" i="14"/>
  <c r="E14" i="13"/>
  <c r="E17" s="1"/>
  <c r="D75" i="4"/>
  <c r="D77" s="1"/>
  <c r="D78" s="1"/>
  <c r="H44"/>
  <c r="G49"/>
  <c r="I35" i="18"/>
  <c r="I36"/>
  <c r="I42" s="1"/>
  <c r="I34"/>
  <c r="F14"/>
  <c r="F16" i="10"/>
  <c r="F47" i="4"/>
  <c r="F51" s="1"/>
  <c r="G40"/>
  <c r="H42"/>
  <c r="G48"/>
  <c r="G25" i="20"/>
  <c r="G32" s="1"/>
  <c r="G35" s="1"/>
  <c r="D14" i="14"/>
  <c r="D17" s="1"/>
  <c r="G12" i="10"/>
  <c r="G7" i="18"/>
  <c r="O7" s="1"/>
  <c r="O14" s="1"/>
  <c r="O18" s="1"/>
  <c r="K23" s="1"/>
  <c r="K30" s="1"/>
  <c r="K33" s="1"/>
  <c r="J30"/>
  <c r="J33" s="1"/>
  <c r="E78" i="4"/>
  <c r="K35" i="18" l="1"/>
  <c r="K34"/>
  <c r="K36" s="1"/>
  <c r="H48" i="4"/>
  <c r="I42"/>
  <c r="F63"/>
  <c r="F14" i="13"/>
  <c r="F17" s="1"/>
  <c r="F7" i="14"/>
  <c r="J34" i="18"/>
  <c r="J35"/>
  <c r="J36" s="1"/>
  <c r="J42" s="1"/>
  <c r="D18" i="14"/>
  <c r="D20" s="1"/>
  <c r="D26" s="1"/>
  <c r="D19"/>
  <c r="G16" i="10"/>
  <c r="G14" i="18"/>
  <c r="G37" i="20"/>
  <c r="G38"/>
  <c r="G44" s="1"/>
  <c r="G36"/>
  <c r="G47" i="4"/>
  <c r="G51" s="1"/>
  <c r="G63" s="1"/>
  <c r="G75" s="1"/>
  <c r="G77" s="1"/>
  <c r="H40"/>
  <c r="F18" i="18"/>
  <c r="G7" i="13"/>
  <c r="F6" i="12"/>
  <c r="F8" s="1"/>
  <c r="F15" s="1"/>
  <c r="H49" i="4"/>
  <c r="I44"/>
  <c r="E14" i="14"/>
  <c r="E17" s="1"/>
  <c r="H25" i="20"/>
  <c r="H32" s="1"/>
  <c r="H35" s="1"/>
  <c r="H37" l="1"/>
  <c r="H38"/>
  <c r="H44" s="1"/>
  <c r="H36"/>
  <c r="I49" i="4"/>
  <c r="J44"/>
  <c r="F14" i="14"/>
  <c r="F17" s="1"/>
  <c r="I25" i="20"/>
  <c r="I32" s="1"/>
  <c r="I35" s="1"/>
  <c r="I48" i="4"/>
  <c r="J42"/>
  <c r="E18" i="14"/>
  <c r="E20" s="1"/>
  <c r="E26" s="1"/>
  <c r="E19"/>
  <c r="G14" i="13"/>
  <c r="G17" s="1"/>
  <c r="G7" i="14"/>
  <c r="H47" i="4"/>
  <c r="H51" s="1"/>
  <c r="H63" s="1"/>
  <c r="H75" s="1"/>
  <c r="H77" s="1"/>
  <c r="I40"/>
  <c r="G18" i="18"/>
  <c r="H7" i="13"/>
  <c r="G6" i="12"/>
  <c r="G8" s="1"/>
  <c r="G15" s="1"/>
  <c r="F75" i="4"/>
  <c r="F77" s="1"/>
  <c r="F78" s="1"/>
  <c r="G78"/>
  <c r="H14" i="13" l="1"/>
  <c r="H17" s="1"/>
  <c r="H7" i="14"/>
  <c r="J40" i="4"/>
  <c r="I47"/>
  <c r="I51" s="1"/>
  <c r="J25" i="20"/>
  <c r="J32" s="1"/>
  <c r="J35" s="1"/>
  <c r="G14" i="14"/>
  <c r="G17" s="1"/>
  <c r="F18"/>
  <c r="F20" s="1"/>
  <c r="F26" s="1"/>
  <c r="F19"/>
  <c r="K42" i="4"/>
  <c r="J48"/>
  <c r="I37" i="20"/>
  <c r="I38"/>
  <c r="I44" s="1"/>
  <c r="I36"/>
  <c r="K44" i="4"/>
  <c r="J49"/>
  <c r="H78"/>
  <c r="L44" l="1"/>
  <c r="K49"/>
  <c r="L42"/>
  <c r="K48"/>
  <c r="J36" i="20"/>
  <c r="J37"/>
  <c r="J38" s="1"/>
  <c r="J44" s="1"/>
  <c r="J47" i="4"/>
  <c r="J51" s="1"/>
  <c r="J63" s="1"/>
  <c r="J75" s="1"/>
  <c r="J77" s="1"/>
  <c r="K40"/>
  <c r="G19" i="14"/>
  <c r="G20"/>
  <c r="G26" s="1"/>
  <c r="G18"/>
  <c r="I63" i="4"/>
  <c r="K25" i="20"/>
  <c r="K32" s="1"/>
  <c r="K35" s="1"/>
  <c r="H14" i="14"/>
  <c r="H17" s="1"/>
  <c r="H19" l="1"/>
  <c r="H18"/>
  <c r="H20"/>
  <c r="K47" i="4"/>
  <c r="K51" s="1"/>
  <c r="K63" s="1"/>
  <c r="K75" s="1"/>
  <c r="K77" s="1"/>
  <c r="L40"/>
  <c r="L48"/>
  <c r="M42"/>
  <c r="L49"/>
  <c r="M44"/>
  <c r="K37" i="20"/>
  <c r="K36"/>
  <c r="K38" s="1"/>
  <c r="I75" i="4"/>
  <c r="I77" s="1"/>
  <c r="I78" s="1"/>
  <c r="J78"/>
  <c r="M49" l="1"/>
  <c r="N44"/>
  <c r="M48"/>
  <c r="N42"/>
  <c r="L47"/>
  <c r="L51" s="1"/>
  <c r="L63" s="1"/>
  <c r="M40"/>
  <c r="K78"/>
  <c r="M47" l="1"/>
  <c r="M51" s="1"/>
  <c r="N40"/>
  <c r="O42"/>
  <c r="N48"/>
  <c r="O44"/>
  <c r="N49"/>
  <c r="L75"/>
  <c r="L77" s="1"/>
  <c r="L78" s="1"/>
  <c r="P44" l="1"/>
  <c r="O49"/>
  <c r="P42"/>
  <c r="O48"/>
  <c r="M63"/>
  <c r="L54"/>
  <c r="O40"/>
  <c r="N47"/>
  <c r="N51" s="1"/>
  <c r="N63" s="1"/>
  <c r="O47" l="1"/>
  <c r="O51" s="1"/>
  <c r="O63" s="1"/>
  <c r="P40"/>
  <c r="M75"/>
  <c r="M77" s="1"/>
  <c r="M78" s="1"/>
  <c r="B80" s="1"/>
  <c r="N60"/>
  <c r="Q42"/>
  <c r="P48"/>
  <c r="Q44"/>
  <c r="P49"/>
  <c r="R44" l="1"/>
  <c r="Q49"/>
  <c r="R42"/>
  <c r="Q48"/>
  <c r="J7" i="1"/>
  <c r="J20" s="1"/>
  <c r="C28" i="13"/>
  <c r="P47" i="4"/>
  <c r="P51" s="1"/>
  <c r="P63" s="1"/>
  <c r="Q40"/>
  <c r="L11" i="1" l="1"/>
  <c r="R45" s="1"/>
  <c r="S42" i="4"/>
  <c r="R48"/>
  <c r="S44"/>
  <c r="R49"/>
  <c r="Q47"/>
  <c r="Q51" s="1"/>
  <c r="Q63" s="1"/>
  <c r="R40"/>
  <c r="H29" i="13"/>
  <c r="C24" i="14"/>
  <c r="S49" i="4" l="1"/>
  <c r="T44"/>
  <c r="S48"/>
  <c r="T42"/>
  <c r="F42" i="20"/>
  <c r="H25" i="14"/>
  <c r="H26" s="1"/>
  <c r="F40" i="18"/>
  <c r="C26" i="14"/>
  <c r="C28" s="1"/>
  <c r="R47" i="4"/>
  <c r="R51" s="1"/>
  <c r="R63" s="1"/>
  <c r="S40"/>
  <c r="L6" i="1"/>
  <c r="U33" l="1"/>
  <c r="C7" i="15"/>
  <c r="L20" i="1"/>
  <c r="D13" i="16"/>
  <c r="K41" i="18"/>
  <c r="K42" s="1"/>
  <c r="F42"/>
  <c r="K43" i="20"/>
  <c r="K44" s="1"/>
  <c r="F44"/>
  <c r="F46" s="1"/>
  <c r="T40" i="4"/>
  <c r="S47"/>
  <c r="S51" s="1"/>
  <c r="S63" s="1"/>
  <c r="T48"/>
  <c r="U42"/>
  <c r="T49"/>
  <c r="U44"/>
  <c r="V44" l="1"/>
  <c r="U49"/>
  <c r="V42"/>
  <c r="U48"/>
  <c r="U40"/>
  <c r="T47"/>
  <c r="T51" s="1"/>
  <c r="T63" s="1"/>
  <c r="R22" i="1"/>
  <c r="Q34" s="1"/>
  <c r="C25" i="13"/>
  <c r="C30" s="1"/>
  <c r="R46" i="1"/>
  <c r="R34"/>
  <c r="F44" i="18"/>
  <c r="G44"/>
  <c r="F13" i="16"/>
  <c r="C8" i="15"/>
  <c r="C19"/>
  <c r="C27" i="14" s="1"/>
  <c r="R44" i="1" l="1"/>
  <c r="S45" s="1"/>
  <c r="D24" i="13"/>
  <c r="S34" i="1"/>
  <c r="Q35"/>
  <c r="U47" i="4"/>
  <c r="U51" s="1"/>
  <c r="U63" s="1"/>
  <c r="V40"/>
  <c r="W42"/>
  <c r="V48"/>
  <c r="W44"/>
  <c r="V49"/>
  <c r="F43" i="18"/>
  <c r="C29" i="14"/>
  <c r="F45" i="20"/>
  <c r="C17" i="12"/>
  <c r="H55" i="20" l="1"/>
  <c r="H57"/>
  <c r="H54"/>
  <c r="H52"/>
  <c r="H51"/>
  <c r="H56"/>
  <c r="H53"/>
  <c r="F47"/>
  <c r="H52" i="18"/>
  <c r="H55"/>
  <c r="H53"/>
  <c r="F45"/>
  <c r="H51"/>
  <c r="H49"/>
  <c r="H54"/>
  <c r="H50"/>
  <c r="W49" i="4"/>
  <c r="X44"/>
  <c r="W48"/>
  <c r="X42"/>
  <c r="E24" i="13"/>
  <c r="Q36" i="1"/>
  <c r="S46"/>
  <c r="S44" s="1"/>
  <c r="D18" i="13"/>
  <c r="D19" s="1"/>
  <c r="C16" i="12"/>
  <c r="C18" s="1"/>
  <c r="V47" i="4"/>
  <c r="V51" s="1"/>
  <c r="V63" s="1"/>
  <c r="W40"/>
  <c r="T34" i="1"/>
  <c r="U34"/>
  <c r="R35" l="1"/>
  <c r="X40" i="4"/>
  <c r="W47"/>
  <c r="W51" s="1"/>
  <c r="W63" s="1"/>
  <c r="C20" i="12"/>
  <c r="C19"/>
  <c r="C21"/>
  <c r="Y42" i="4"/>
  <c r="Y48" s="1"/>
  <c r="X48"/>
  <c r="X49"/>
  <c r="Y44"/>
  <c r="Y49" s="1"/>
  <c r="D20" i="13"/>
  <c r="D22"/>
  <c r="D30" s="1"/>
  <c r="D21"/>
  <c r="Q37" i="1"/>
  <c r="F24" i="13"/>
  <c r="Q38" i="1" l="1"/>
  <c r="G24" i="13"/>
  <c r="E13" i="16"/>
  <c r="G13" s="1"/>
  <c r="D14" s="1"/>
  <c r="Y40" i="4"/>
  <c r="Y47" s="1"/>
  <c r="Y51" s="1"/>
  <c r="Y63" s="1"/>
  <c r="X47"/>
  <c r="X51" s="1"/>
  <c r="X63" s="1"/>
  <c r="D17" i="12"/>
  <c r="S35" i="1"/>
  <c r="T35" l="1"/>
  <c r="U35"/>
  <c r="E18" i="13"/>
  <c r="E19" s="1"/>
  <c r="D16" i="12"/>
  <c r="D18" s="1"/>
  <c r="H24" i="13"/>
  <c r="F14" i="16"/>
  <c r="Q39" i="1"/>
  <c r="E20" i="13" l="1"/>
  <c r="E22" s="1"/>
  <c r="E30" s="1"/>
  <c r="E21"/>
  <c r="D20" i="12"/>
  <c r="D19"/>
  <c r="D21" s="1"/>
  <c r="R36" i="1"/>
  <c r="E14" i="16" l="1"/>
  <c r="G14" s="1"/>
  <c r="D15" s="1"/>
  <c r="E17" i="12"/>
  <c r="S36" i="1"/>
  <c r="T36" l="1"/>
  <c r="U36"/>
  <c r="F15" i="16"/>
  <c r="F18" i="13"/>
  <c r="F19" s="1"/>
  <c r="E16" i="12"/>
  <c r="E18" s="1"/>
  <c r="F20" i="13" l="1"/>
  <c r="F22" s="1"/>
  <c r="F30" s="1"/>
  <c r="F21"/>
  <c r="E20" i="12"/>
  <c r="E19"/>
  <c r="E21" s="1"/>
  <c r="R37" i="1"/>
  <c r="E15" i="16" l="1"/>
  <c r="G15" s="1"/>
  <c r="D16" s="1"/>
  <c r="F17" i="12"/>
  <c r="S37" i="1"/>
  <c r="F16" i="16" l="1"/>
  <c r="T37" i="1"/>
  <c r="U37"/>
  <c r="G18" i="13"/>
  <c r="G19" s="1"/>
  <c r="F16" i="12"/>
  <c r="F18" s="1"/>
  <c r="G20" i="13" l="1"/>
  <c r="G22" s="1"/>
  <c r="G30" s="1"/>
  <c r="G21"/>
  <c r="F20" i="12"/>
  <c r="F19"/>
  <c r="F21" s="1"/>
  <c r="R38" i="1"/>
  <c r="E16" i="16" l="1"/>
  <c r="G16" s="1"/>
  <c r="D17" s="1"/>
  <c r="F17" s="1"/>
  <c r="G17" i="12"/>
  <c r="S38" i="1"/>
  <c r="R39"/>
  <c r="S39" s="1"/>
  <c r="T38" l="1"/>
  <c r="U38"/>
  <c r="H18" i="13"/>
  <c r="H19" s="1"/>
  <c r="G16" i="12"/>
  <c r="G18" s="1"/>
  <c r="H20" i="13" l="1"/>
  <c r="H22" s="1"/>
  <c r="H30" s="1"/>
  <c r="H21"/>
  <c r="G20" i="12"/>
  <c r="G19"/>
  <c r="G21" s="1"/>
  <c r="E17" i="16" l="1"/>
  <c r="G17" s="1"/>
  <c r="C38" i="13"/>
  <c r="D49" s="1"/>
  <c r="C32"/>
  <c r="C33"/>
  <c r="C39"/>
  <c r="D47" s="1"/>
  <c r="E47" l="1"/>
  <c r="D48"/>
  <c r="C37"/>
  <c r="E49"/>
  <c r="E48" l="1"/>
  <c r="E50" s="1"/>
  <c r="F47" l="1"/>
  <c r="G47" s="1"/>
  <c r="F49"/>
  <c r="G49" s="1"/>
  <c r="H49" s="1"/>
  <c r="F48"/>
  <c r="G48" s="1"/>
  <c r="H48" s="1"/>
  <c r="G50" l="1"/>
  <c r="H47"/>
  <c r="H50" s="1"/>
  <c r="E52" s="1"/>
  <c r="F56" l="1"/>
  <c r="E57"/>
  <c r="E56"/>
  <c r="F57"/>
  <c r="F55"/>
  <c r="E55"/>
</calcChain>
</file>

<file path=xl/comments1.xml><?xml version="1.0" encoding="utf-8"?>
<comments xmlns="http://schemas.openxmlformats.org/spreadsheetml/2006/main">
  <authors>
    <author>estacion 2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estacion 2:</t>
        </r>
        <r>
          <rPr>
            <sz val="8"/>
            <color indexed="81"/>
            <rFont val="Tahoma"/>
            <family val="2"/>
          </rPr>
          <t xml:space="preserve">
ESTIMADO
</t>
        </r>
      </text>
    </comment>
  </commentList>
</comments>
</file>

<file path=xl/comments2.xml><?xml version="1.0" encoding="utf-8"?>
<comments xmlns="http://schemas.openxmlformats.org/spreadsheetml/2006/main">
  <authors>
    <author>cltsmalc</author>
  </authors>
  <commentList>
    <comment ref="H17" authorId="0">
      <text>
        <r>
          <rPr>
            <b/>
            <sz val="8"/>
            <color indexed="81"/>
            <rFont val="Tahoma"/>
            <family val="2"/>
          </rPr>
          <t>cltsmalc:</t>
        </r>
        <r>
          <rPr>
            <sz val="8"/>
            <color indexed="81"/>
            <rFont val="Tahoma"/>
            <family val="2"/>
          </rPr>
          <t xml:space="preserve">
reinversion en el año 4</t>
        </r>
      </text>
    </comment>
  </commentList>
</comments>
</file>

<file path=xl/comments3.xml><?xml version="1.0" encoding="utf-8"?>
<comments xmlns="http://schemas.openxmlformats.org/spreadsheetml/2006/main">
  <authors>
    <author>MI PC</author>
    <author>Usuario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MI PC:</t>
        </r>
        <r>
          <rPr>
            <sz val="8"/>
            <color indexed="81"/>
            <rFont val="Tahoma"/>
            <family val="2"/>
          </rPr>
          <t xml:space="preserve">
incluir a los niños todala poblacion por las familias, serian mas reales y obtener el % de familias con ingresos altos.
</t>
        </r>
      </text>
    </comment>
    <comment ref="E46" authorId="0">
      <text>
        <r>
          <rPr>
            <b/>
            <sz val="8"/>
            <color indexed="81"/>
            <rFont val="Tahoma"/>
            <family val="2"/>
          </rPr>
          <t>MI PC:</t>
        </r>
        <r>
          <rPr>
            <sz val="8"/>
            <color indexed="81"/>
            <rFont val="Tahoma"/>
            <family val="2"/>
          </rPr>
          <t xml:space="preserve">
se multiplico por 2 porla frecuencia de consumo y su respectivo porcentaje
según la investigacion</t>
        </r>
      </text>
    </comment>
    <comment ref="E76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 el Numero de empaques del producto</t>
        </r>
      </text>
    </comment>
  </commentList>
</comments>
</file>

<file path=xl/sharedStrings.xml><?xml version="1.0" encoding="utf-8"?>
<sst xmlns="http://schemas.openxmlformats.org/spreadsheetml/2006/main" count="1050" uniqueCount="741">
  <si>
    <t>Activos Fijos</t>
  </si>
  <si>
    <t>Edificaciones</t>
  </si>
  <si>
    <t>Vehiculos</t>
  </si>
  <si>
    <t xml:space="preserve">Equipos </t>
  </si>
  <si>
    <t>Hornos Ahumadores</t>
  </si>
  <si>
    <t>Empacadoras</t>
  </si>
  <si>
    <t>Selladoras</t>
  </si>
  <si>
    <t>Precio Unitario</t>
  </si>
  <si>
    <t>Cantidad</t>
  </si>
  <si>
    <t>Precio Total</t>
  </si>
  <si>
    <t>Balanzas electronicas</t>
  </si>
  <si>
    <t>http://quito.olx.com.ec/empacadoras-al-vacio-iid-13300190</t>
  </si>
  <si>
    <t>http://ec.tuaviso.net/subcategoria/terrenoscomprayventa/</t>
  </si>
  <si>
    <t>http://articulo.mercadolibre.com.ec/MEC-5601145-balanzas-electronicas-calibradas-a-su-gusto-_JM</t>
  </si>
  <si>
    <t>Utensilios e Implementos</t>
  </si>
  <si>
    <t>Muebles y Enseres</t>
  </si>
  <si>
    <r>
      <t xml:space="preserve">CONGELADOR Y REFRIGERADOR </t>
    </r>
    <r>
      <rPr>
        <b/>
        <sz val="11"/>
        <rFont val="Trebuchet MS"/>
        <family val="2"/>
      </rPr>
      <t>INDUSTRIAL</t>
    </r>
    <r>
      <rPr>
        <sz val="11"/>
        <rFont val="Trebuchet MS"/>
        <family val="2"/>
      </rPr>
      <t>. MIDE 1.80 DE ALTO Y DE ANCHO APROX.</t>
    </r>
  </si>
  <si>
    <t>PRECIO: 1.200 usd</t>
  </si>
  <si>
    <t>http://www.evisos.ec/compra-venta/electrodomesticos-usados/congelador-refrigerador-industrial</t>
  </si>
  <si>
    <t>Equipos de Oficina</t>
  </si>
  <si>
    <t>Computadoras</t>
  </si>
  <si>
    <t>Fax</t>
  </si>
  <si>
    <t>Telefono</t>
  </si>
  <si>
    <t>http://www.cinticomp.com/principal/</t>
  </si>
  <si>
    <t>fax</t>
  </si>
  <si>
    <t>http://articulo.mercadolibre.com.ec/MEC-5636455-fax-panasonic-kxfp205-altavoz-identificador-papel-normal-_JM</t>
  </si>
  <si>
    <t>Escritorios</t>
  </si>
  <si>
    <t>Sillas</t>
  </si>
  <si>
    <t>Archivadores</t>
  </si>
  <si>
    <t>http://articulo.mercadolibre.com.ec/MEC-5582266-vendo-escritorios-de-oficina-120-x-060-_JM</t>
  </si>
  <si>
    <t>archivadores</t>
  </si>
  <si>
    <t>http://articulo.loquegustes.com.ec/anuncio-ARCHIVADOR-CORTAFUAGOW0Hogar-y-MueblesW0MueblesW09mkz6pzgvf</t>
  </si>
  <si>
    <t>Aire acondicionado</t>
  </si>
  <si>
    <t>alarmas de seguridad</t>
  </si>
  <si>
    <t>Equipos de Refrigeracion</t>
  </si>
  <si>
    <t>http://guayaquil.olx.com.ec/cuartos-frios-maquinas-de-hielo-en-escamas-equipos-de-transporte-refrigerado-cortinas-iid-47515790</t>
  </si>
  <si>
    <t>http://www.google.com.ec/search?hl=es&amp;q=aires+acondicionados&amp;meta=cr%3DcountryEC&amp;aq=0&amp;oq=aires+acondiciona</t>
  </si>
  <si>
    <t>http://www.google.com.ec/search?hl=es&amp;cr=countryEC&amp;q=precios+de+sistemas+de+seguridad&amp;start=20&amp;sa=N</t>
  </si>
  <si>
    <t>camaras de frio</t>
  </si>
  <si>
    <t>extintores</t>
  </si>
  <si>
    <t>Total de Muebles y Enseres</t>
  </si>
  <si>
    <t>Luces</t>
  </si>
  <si>
    <t>Total de Equipos de Oficina</t>
  </si>
  <si>
    <t>Pinturas y tumbados</t>
  </si>
  <si>
    <t>Equipos y Maquinarias</t>
  </si>
  <si>
    <t>cuchillo</t>
  </si>
  <si>
    <t>tijeras fileteadoras</t>
  </si>
  <si>
    <t>Tinas</t>
  </si>
  <si>
    <t>Gavetas</t>
  </si>
  <si>
    <t>Bandejas</t>
  </si>
  <si>
    <t>sofa</t>
  </si>
  <si>
    <t>Procedimientos</t>
  </si>
  <si>
    <t>Aprobación de constitución</t>
  </si>
  <si>
    <t>Certificación municipal</t>
  </si>
  <si>
    <t>Inscripción cámara o gremio</t>
  </si>
  <si>
    <t>Registro mercantil</t>
  </si>
  <si>
    <t>Notaría: anotación marginal</t>
  </si>
  <si>
    <t>Total aproximado</t>
  </si>
  <si>
    <t xml:space="preserve">Costos por registros y otros servicios en trámites de Marcas y Patentes </t>
  </si>
  <si>
    <t>USD</t>
  </si>
  <si>
    <t>Marcas</t>
  </si>
  <si>
    <t>Registro, inscripción o concesión derechos</t>
  </si>
  <si>
    <t>Inscripción de contratos</t>
  </si>
  <si>
    <t>Certificado concesión o registro derechos (emisión títulos)</t>
  </si>
  <si>
    <t>Certificado búsqueda oficial registro</t>
  </si>
  <si>
    <t>Certificado búsqueda oficial solicitudes en trámite</t>
  </si>
  <si>
    <t xml:space="preserve">PROCESO DE CONTROL Y VIGILANCIA SANITARIA </t>
  </si>
  <si>
    <t xml:space="preserve">1.-  COPIA CERTIFICADA DEL REGISTRO SANITARIO </t>
  </si>
  <si>
    <t xml:space="preserve">2.- CERTIFICADO DE LIBRE VENTA (CLV) ALIMENTOS </t>
  </si>
  <si>
    <t>http://articulo.mercadolibre.com.ec/MEC-5619820-cuchillo-5100456-_JM</t>
  </si>
  <si>
    <t>cuchillos</t>
  </si>
  <si>
    <t>http://guayas.quebarato.com.ec/classificados/vendo-camion-furgon-termico-2002-chevrolet-npr-166000km__7032778.html</t>
  </si>
  <si>
    <t>furgon</t>
  </si>
  <si>
    <t>http://articulo.mercadolibre.com.ec/MEC-5653069-tijeras-para-cortar-pollo-pescado-etc-_JM</t>
  </si>
  <si>
    <t>tijeras</t>
  </si>
  <si>
    <t>http://www.quebarato.com.ec/clasificados/sistema-contable-tributario__1018916.html</t>
  </si>
  <si>
    <t>Mesas de reuniones</t>
  </si>
  <si>
    <t>Gastos Preoperacionales</t>
  </si>
  <si>
    <t>Otros</t>
  </si>
  <si>
    <t>GASTOS DE ADMINISTRACION</t>
  </si>
  <si>
    <t>SERVICIOS</t>
  </si>
  <si>
    <t>Comunicaciones (incluye telefonos, celulares,e internet)</t>
  </si>
  <si>
    <t>Electricidad (incluye consumo y mantenimiento)</t>
  </si>
  <si>
    <t>Consumo de Agua</t>
  </si>
  <si>
    <t>Servicios de Seguridad</t>
  </si>
  <si>
    <t>http://www.conazofra.gov.ec/formulariosdocs/constructores.xls</t>
  </si>
  <si>
    <t>Fuente: Elaborado por autoras</t>
  </si>
  <si>
    <t>EQUIPOS DE OFICINA</t>
  </si>
  <si>
    <t>Total de Implementos</t>
  </si>
  <si>
    <t>EQUIPOS y MAQUINARIAS</t>
  </si>
  <si>
    <t>Elaborado por: Las autoras</t>
  </si>
  <si>
    <t>www.mundoanuncio.ec/.../vendo_selladora_al_vacio_vac_master_avp_1158363577.html -</t>
  </si>
  <si>
    <t>Tabla No.</t>
  </si>
  <si>
    <t>Inversiones del Proyecto de Mariscos Ahumados</t>
  </si>
  <si>
    <t>Platos</t>
  </si>
  <si>
    <t>Cucharas</t>
  </si>
  <si>
    <t>Termometros</t>
  </si>
  <si>
    <t>http://www.google.com.ec/#hl=es&amp;q=precios+de+termometros+industriales&amp;meta=cr%3DcountryEC&amp;aq=f&amp;oq=precios+de+termometros+industriales&amp;fp=a310abc5c8690ec5</t>
  </si>
  <si>
    <t>termometros</t>
  </si>
  <si>
    <t>Mesas de plastico</t>
  </si>
  <si>
    <t>sillones ejecutivos</t>
  </si>
  <si>
    <t>MUEBLES Y ENSERES</t>
  </si>
  <si>
    <t>Mano de obra</t>
  </si>
  <si>
    <t>Total de Equipos y Maquinarias</t>
  </si>
  <si>
    <t>Utensilios</t>
  </si>
  <si>
    <t>Gas Industrial</t>
  </si>
  <si>
    <t>Tablas de picar</t>
  </si>
  <si>
    <t>jarras</t>
  </si>
  <si>
    <t>cernideras de metal</t>
  </si>
  <si>
    <t>gorros</t>
  </si>
  <si>
    <t>mandil</t>
  </si>
  <si>
    <t>guantes</t>
  </si>
  <si>
    <t>tapa bocas</t>
  </si>
  <si>
    <t>fosforos</t>
  </si>
  <si>
    <t>Total de Activos Fijos</t>
  </si>
  <si>
    <t>Estado de Situacion Inicial</t>
  </si>
  <si>
    <t>Elaborado por. Las Autoras</t>
  </si>
  <si>
    <t>Materiales de Oficina</t>
  </si>
  <si>
    <t>MATERIALES DE OFICINA</t>
  </si>
  <si>
    <t>CANT AL BIMESTRE</t>
  </si>
  <si>
    <t>CANT AL AÑO</t>
  </si>
  <si>
    <t>TOTAL</t>
  </si>
  <si>
    <t xml:space="preserve">RESMAS DE HOJAS LASER </t>
  </si>
  <si>
    <t>ALMOHADILLA KORE</t>
  </si>
  <si>
    <t>BORRADOR BLANCO PELIKAN GRANDE</t>
  </si>
  <si>
    <t>CAJA DE CLIP ESTÁNDAR</t>
  </si>
  <si>
    <t>CAJA PAPEL CARBON NEGRO T/ OFICIO</t>
  </si>
  <si>
    <t>GOMA EGA 60 Gr</t>
  </si>
  <si>
    <t xml:space="preserve">GRAPADORA MEDIANA </t>
  </si>
  <si>
    <t>LAPIZ MONGOL HB X UNIDAD</t>
  </si>
  <si>
    <t>LIQUID PAPER BIC</t>
  </si>
  <si>
    <t>MARCADOR RESALTADOR X UNID</t>
  </si>
  <si>
    <t>PLUMA BIC AZUL X UNID</t>
  </si>
  <si>
    <t>PLUMA BIC NEGRA X UNID</t>
  </si>
  <si>
    <t>SOBRE MANILA F5 X UNID</t>
  </si>
  <si>
    <t xml:space="preserve"> MATERIALES DE OFICINA</t>
  </si>
  <si>
    <t>Total de Materiales de Oficina año</t>
  </si>
  <si>
    <t>ACTIVO</t>
  </si>
  <si>
    <t>PASIVO</t>
  </si>
  <si>
    <t>DISPONIBLE</t>
  </si>
  <si>
    <t>Préstamo</t>
  </si>
  <si>
    <t>Capital de Trabajo</t>
  </si>
  <si>
    <t>FIJOS</t>
  </si>
  <si>
    <t>Equipos</t>
  </si>
  <si>
    <t>Enseres</t>
  </si>
  <si>
    <t>PATRIMONIO</t>
  </si>
  <si>
    <t>Equipos de oficina</t>
  </si>
  <si>
    <t>DIFERIDOS</t>
  </si>
  <si>
    <t>vehiculos</t>
  </si>
  <si>
    <t>Utensilio e Implementos</t>
  </si>
  <si>
    <t>Total Inversion</t>
  </si>
  <si>
    <t>INVERSIONES DEL PROYECTO</t>
  </si>
  <si>
    <t>ACTIVOS DIFERIDOS</t>
  </si>
  <si>
    <t>Gastos de Constitucion</t>
  </si>
  <si>
    <t>Gastos Operacionales</t>
  </si>
  <si>
    <t>Total Gastos Diferidos</t>
  </si>
  <si>
    <t>Costos</t>
  </si>
  <si>
    <t>Gastos Pre-operacionales</t>
  </si>
  <si>
    <t>Capital Inicial</t>
  </si>
  <si>
    <t>Numero Total de Cuotas</t>
  </si>
  <si>
    <t>AMORTIZACION DEL PRESTAMO</t>
  </si>
  <si>
    <t>PERIODO</t>
  </si>
  <si>
    <t>PAGO</t>
  </si>
  <si>
    <t>INTERES</t>
  </si>
  <si>
    <t>AMORTIZACION</t>
  </si>
  <si>
    <t>CAP. AMORTIZ</t>
  </si>
  <si>
    <t>SALDO</t>
  </si>
  <si>
    <t>Montos ($)</t>
  </si>
  <si>
    <t>Porcentaje</t>
  </si>
  <si>
    <t>Monto Requerido</t>
  </si>
  <si>
    <t>Capital Propio</t>
  </si>
  <si>
    <t>Tasa de Interes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</si>
  <si>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</si>
  <si>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</si>
  <si>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</si>
  <si>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</si>
  <si>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</si>
  <si>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</si>
  <si>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</si>
  <si>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</si>
  <si>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</si>
  <si>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</si>
  <si>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</si>
  <si>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</si>
  <si>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Método del Déficit Acumulado Máximo</t>
  </si>
  <si>
    <t>DETALLE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</si>
  <si>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</si>
  <si>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</si>
  <si>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</si>
  <si>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</si>
  <si>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</si>
  <si>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</si>
  <si>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</si>
  <si>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</si>
  <si>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</si>
  <si>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</si>
  <si>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</si>
  <si>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</si>
  <si>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INGRESO</t>
  </si>
  <si>
    <t>EGRESOS</t>
  </si>
  <si>
    <t>Mano de Obra Directa</t>
  </si>
  <si>
    <t>Mano de Obra Indirecta</t>
  </si>
  <si>
    <t>Material Directo</t>
  </si>
  <si>
    <t>Gastos Administrativos</t>
  </si>
  <si>
    <t>Gastos de Ventas</t>
  </si>
  <si>
    <t>Egreso Mensual</t>
  </si>
  <si>
    <t>Ingreso Mensual</t>
  </si>
  <si>
    <t>Saldo Mensual</t>
  </si>
  <si>
    <t>Saldo Acumulado</t>
  </si>
  <si>
    <t>julio</t>
  </si>
  <si>
    <t>Agosto</t>
  </si>
  <si>
    <t>Septiembre</t>
  </si>
  <si>
    <t>Junio</t>
  </si>
  <si>
    <t>Noviembre</t>
  </si>
  <si>
    <t>Mayo</t>
  </si>
  <si>
    <t>Octubre</t>
  </si>
  <si>
    <t>Diciembre</t>
  </si>
  <si>
    <t>Total anual</t>
  </si>
  <si>
    <t>6.2.5 COSTOS Y GASTOS PRE OPERACIONALES</t>
  </si>
  <si>
    <t>Se considera los gastos relacionados con las concesiones, permisos y la</t>
  </si>
  <si>
    <t>constitución de la empresa.</t>
  </si>
  <si>
    <t>http://bieec.epn.edu.ec:8180/dspace/bitstream/123456789/546/3/T10469CAP6.pdf</t>
  </si>
  <si>
    <t>•    Solicitud suscrita por el representante legal o responsable técnico de la empresa dirigida a la Dirección de Control y Mejoramiento en Vigilancia Sanitaria.</t>
  </si>
  <si>
    <t>•    Copia legible del Registro Sanitario</t>
  </si>
  <si>
    <t>•    Solicitud a Secretaria General del MSP para la legalización del documento.</t>
  </si>
  <si>
    <t>Tiempo Estimado de Entrega:</t>
  </si>
  <si>
    <t>Depende del número de productos solicitados, tiempo máximo 72 horas.</t>
  </si>
  <si>
    <t>•    Copia legible del Registro Sanitario respectivo. </t>
  </si>
  <si>
    <t>•    Comprobante del depósito en la cuenta No. 060014382-7, Banco Internacional, a nombre del Ministerio de Salud Pública.</t>
  </si>
  <si>
    <t>Dependerá de la cantidad de productos, máximo 48 horas.</t>
  </si>
  <si>
    <t>•  Comprobante , depósito en la Cuenta No. 060014382-7, Banco Internacional, a nombre del Ministerio de Salud Pública</t>
  </si>
  <si>
    <t>Total de Copia Certificada del Registro Sanitario</t>
  </si>
  <si>
    <t>Elaborado por: Las Autoras</t>
  </si>
  <si>
    <r>
      <t>Fuente</t>
    </r>
    <r>
      <rPr>
        <sz val="10"/>
        <rFont val="Arial"/>
      </rPr>
      <t>: http://www.msp.gov.ec/index.</t>
    </r>
  </si>
  <si>
    <r>
      <t>E</t>
    </r>
    <r>
      <rPr>
        <b/>
        <sz val="10"/>
        <rFont val="Arial"/>
        <family val="2"/>
      </rPr>
      <t>laborado por: Las Autoras</t>
    </r>
  </si>
  <si>
    <t>PROCESO DE CONTROL Y VIGILANCIA SANITARIA</t>
  </si>
  <si>
    <t>  Solicitud suscrita por el representante legal o responsable técnico de la empresa.</t>
  </si>
  <si>
    <r>
      <t xml:space="preserve">  </t>
    </r>
    <r>
      <rPr>
        <b/>
        <sz val="8"/>
        <rFont val="Arial"/>
        <family val="2"/>
      </rPr>
      <t>COPIA CERTIFICADA DEL REGISTRO SANITARIO</t>
    </r>
  </si>
  <si>
    <t>CERTIFICADO DE LIBRE VENTA (CLV) ALIMENTOS</t>
  </si>
  <si>
    <t>Total de Copia Certificada del CLV</t>
  </si>
  <si>
    <t>Constitución de Compañías: tiempo de tramitación y costos de constitución.</t>
  </si>
  <si>
    <t>1 semana laborable</t>
  </si>
  <si>
    <t>Costos por Tramite</t>
  </si>
  <si>
    <t>Requisitos</t>
  </si>
  <si>
    <t>Tiempo deTramitacion</t>
  </si>
  <si>
    <t>Publicación extracto (Valor mínimo)</t>
  </si>
  <si>
    <t>1 día</t>
  </si>
  <si>
    <t>4 horas</t>
  </si>
  <si>
    <t>SRI. Obtención RUC (Provisional)</t>
  </si>
  <si>
    <t>1 hora</t>
  </si>
  <si>
    <t>Inscripción Historia Laboral IESS</t>
  </si>
  <si>
    <t>10-13 dias laborables</t>
  </si>
  <si>
    <r>
      <t>Fuente</t>
    </r>
    <r>
      <rPr>
        <sz val="10"/>
        <rFont val="Arial"/>
      </rPr>
      <t>: http://www.quito.gov.ec/invierta_quito/1conscompania.htm.</t>
    </r>
  </si>
  <si>
    <t>Cálculo para un capital de USD 50.000</t>
  </si>
  <si>
    <r>
      <t>Fuente</t>
    </r>
    <r>
      <rPr>
        <sz val="10"/>
        <rFont val="Arial"/>
      </rPr>
      <t>: http://www.quito.gov.ec/invierta_quito/1conscompania.htm</t>
    </r>
  </si>
  <si>
    <t>TOTAL BIMENSUAL</t>
  </si>
  <si>
    <t>Certificado de  Seguridad del Cuerpo de Bomberos en Guayaquil</t>
  </si>
  <si>
    <t>4 dias laborables</t>
  </si>
  <si>
    <t>Registro de Nombre Comercial</t>
  </si>
  <si>
    <t>8 meses</t>
  </si>
  <si>
    <t>Guayaquil 2010</t>
  </si>
  <si>
    <t>Poblacion de Guayas+</t>
  </si>
  <si>
    <t>Total</t>
  </si>
  <si>
    <t>http://ww1.elcomercio.com/noticiaEC.asp?id_noticia=322319&amp;id_seccion=1</t>
  </si>
  <si>
    <t>http://www.inec.gov.ec/web/guest/publicaciones/anuarios/cen_nac/pob_viv</t>
  </si>
  <si>
    <t xml:space="preserve">Producto dirigido a clase media, media alta, alta </t>
  </si>
  <si>
    <t>Personas que  consumen mas o menos bien</t>
  </si>
  <si>
    <t>Personas que consumen muy bien</t>
  </si>
  <si>
    <t>http://www.inec.gov.ec/web/guest/institucion/regionales/dir_reg_lit/est_soc/enc_hog/con_vid?doAsUserId=aiOGCIz93f0%253D</t>
  </si>
  <si>
    <t>Informacion según las encuestas realizadas</t>
  </si>
  <si>
    <t>Demanda Total</t>
  </si>
  <si>
    <t>DISPOSICION A ADQUIRIR EL PRODUCTO</t>
  </si>
  <si>
    <t>Validos</t>
  </si>
  <si>
    <t>Si, apenas salga al mercado</t>
  </si>
  <si>
    <t>Frecuencia</t>
  </si>
  <si>
    <t>Si, pero esperaria un tiempo</t>
  </si>
  <si>
    <t>Puede ser, tal vez lo compraría</t>
  </si>
  <si>
    <t>No,no lo compraría</t>
  </si>
  <si>
    <t>Perdidos</t>
  </si>
  <si>
    <t>Sistema</t>
  </si>
  <si>
    <t>Porcentaje valido</t>
  </si>
  <si>
    <t>Porcentaje Acumulado</t>
  </si>
  <si>
    <t xml:space="preserve"> ¿Con que frecuencia usted compra productos ahumados?</t>
  </si>
  <si>
    <t xml:space="preserve">          Partiendo del hecho de el precio del producto coincide con su disposición de pago ¿Lo adquiriría?</t>
  </si>
  <si>
    <t>Frecuencias</t>
  </si>
  <si>
    <t>No compran</t>
  </si>
  <si>
    <t>1-3 veces al mes</t>
  </si>
  <si>
    <t>4-6 veces al mes</t>
  </si>
  <si>
    <t>7-9 veces al mes</t>
  </si>
  <si>
    <t>Perdidos en sistema</t>
  </si>
  <si>
    <t>Años</t>
  </si>
  <si>
    <t>Demanda Anual</t>
  </si>
  <si>
    <t xml:space="preserve">Demanda Mensual para un consumo de 1 a 3 veces </t>
  </si>
  <si>
    <t>Poblacion Estimada de 20 hasta 64 años</t>
  </si>
  <si>
    <t>Demanda Diaria</t>
  </si>
  <si>
    <t>PRESENTACION DE RESULTADOS</t>
  </si>
  <si>
    <t>Con que frecuencia Ud. Consume Mariscos?</t>
  </si>
  <si>
    <r>
      <t>2.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Califique el grado de consumo siendo del 1 al 5 los de  menor a mayor consumo?</t>
    </r>
  </si>
  <si>
    <t>¿En promedio cuanto gasta en su alimentación a base de mariscos ahumados?</t>
  </si>
  <si>
    <t>¿Ha probado o conoce acerca de mariscos ahumados para usted y su familia?</t>
  </si>
  <si>
    <t>¿Está dispuesto a comprar Mariscos Ahumados para usted y su familia?</t>
  </si>
  <si>
    <t>¿Con que frecuencia usted compra productos ahumados?</t>
  </si>
  <si>
    <t>¿Cuál de los siguientes aspectos le atraen más de un producto?</t>
  </si>
  <si>
    <t>¿Cuál de las siguientes marcas le atraen de un producto</t>
  </si>
  <si>
    <t>¿Dónde le gustaría adquirir este nuevo producto?</t>
  </si>
  <si>
    <t>¿A través de qué medio le gustaría recibir información sobre este nuevo producto?</t>
  </si>
  <si>
    <t>. ¿En cuanto a la presentación del producto de mariscos ahumados cual prefiere?</t>
  </si>
  <si>
    <t>Variable</t>
  </si>
  <si>
    <t>Etiquetas</t>
  </si>
  <si>
    <t>Camarón 300 gr</t>
  </si>
  <si>
    <t>No</t>
  </si>
  <si>
    <t>Si</t>
  </si>
  <si>
    <t>Perdidos en el sistema</t>
  </si>
  <si>
    <t>65.2</t>
  </si>
  <si>
    <t>19.7</t>
  </si>
  <si>
    <t>84.9</t>
  </si>
  <si>
    <t>Camarón 250 gr</t>
  </si>
  <si>
    <t>Perdidos en el</t>
  </si>
  <si>
    <t>sistema</t>
  </si>
  <si>
    <t>51.7</t>
  </si>
  <si>
    <t>33.20</t>
  </si>
  <si>
    <t>15.1</t>
  </si>
  <si>
    <t>Camarón 200 gr</t>
  </si>
  <si>
    <t>53.0</t>
  </si>
  <si>
    <t>31.9</t>
  </si>
  <si>
    <t>Salmón 300 gr</t>
  </si>
  <si>
    <t>66.2</t>
  </si>
  <si>
    <t>18.7</t>
  </si>
  <si>
    <t>Salmón 250 gr</t>
  </si>
  <si>
    <t>58.2</t>
  </si>
  <si>
    <t>26.8</t>
  </si>
  <si>
    <t>Salmón 200 gr</t>
  </si>
  <si>
    <t>64.7</t>
  </si>
  <si>
    <t>20.3</t>
  </si>
  <si>
    <t>Trucha 300 gr</t>
  </si>
  <si>
    <t>70.6</t>
  </si>
  <si>
    <t>14.3</t>
  </si>
  <si>
    <t>Trucha 200 gr</t>
  </si>
  <si>
    <t>57.9</t>
  </si>
  <si>
    <t>27.0</t>
  </si>
  <si>
    <t>Surtidos 250 gr</t>
  </si>
  <si>
    <t>43.4</t>
  </si>
  <si>
    <t>41.6</t>
  </si>
  <si>
    <t>¿En cuanto al diseño del producto de mariscos ahumados, los prefiere?</t>
  </si>
  <si>
    <t>Qué rango de precios estaría dispuesto a pagar?</t>
  </si>
  <si>
    <t>Partiendo del hecho de el precio del producto coincide con su disposición de pago ¿Lo adquiriría?</t>
  </si>
  <si>
    <t>Gastos de Instalacion</t>
  </si>
  <si>
    <t>Amortizacion</t>
  </si>
  <si>
    <t>Gastos de Constitución</t>
  </si>
  <si>
    <t>Gastos Operaciones</t>
  </si>
  <si>
    <t>Gastos Pre-operaciones</t>
  </si>
  <si>
    <t>Gastos operacionales</t>
  </si>
  <si>
    <t>Software Contabilidad Monica 8.5</t>
  </si>
  <si>
    <t xml:space="preserve">Total </t>
  </si>
  <si>
    <t>Año 1</t>
  </si>
  <si>
    <t>Año 2</t>
  </si>
  <si>
    <t>Año 3</t>
  </si>
  <si>
    <t>Año 4</t>
  </si>
  <si>
    <t>Año 5</t>
  </si>
  <si>
    <t>Gastos Operativos</t>
  </si>
  <si>
    <t>Gastos No operativos</t>
  </si>
  <si>
    <r>
      <t xml:space="preserve">Consultores Autorizados para el programa </t>
    </r>
    <r>
      <rPr>
        <b/>
        <sz val="10"/>
        <rFont val="Arial"/>
        <family val="2"/>
      </rPr>
      <t>Monica(Asesoria)</t>
    </r>
  </si>
  <si>
    <t>Cargo</t>
  </si>
  <si>
    <t>Mensual</t>
  </si>
  <si>
    <t xml:space="preserve">Total mensual </t>
  </si>
  <si>
    <t>Anual</t>
  </si>
  <si>
    <t>Guardiania</t>
  </si>
  <si>
    <t>Jefe de Produccion</t>
  </si>
  <si>
    <t>Jefe de Distribucion</t>
  </si>
  <si>
    <t>COSTO VARIABLE</t>
  </si>
  <si>
    <t>MATERIALES DIRECTOS</t>
  </si>
  <si>
    <t>MENSUAL</t>
  </si>
  <si>
    <t>ANUAL</t>
  </si>
  <si>
    <t>DESCRIPCION</t>
  </si>
  <si>
    <t>COSTOS</t>
  </si>
  <si>
    <t>CONCEPTO</t>
  </si>
  <si>
    <t>COSTO UNITARIO</t>
  </si>
  <si>
    <t>UNIDADES PARA EL AÑO</t>
  </si>
  <si>
    <t>Camarón</t>
  </si>
  <si>
    <t>Materia Prima(Camarón fresco)</t>
  </si>
  <si>
    <t>Materia Prima (Salmon fresco)</t>
  </si>
  <si>
    <t>Materia prima (Trucha fresca)</t>
  </si>
  <si>
    <t>Empaque</t>
  </si>
  <si>
    <t xml:space="preserve">Bandejas plasticas </t>
  </si>
  <si>
    <t>0,55 libra de salmon de 250 gr</t>
  </si>
  <si>
    <t>0,44 libra de trucha de 200 gr</t>
  </si>
  <si>
    <t>COSTO TOTAL AÑO</t>
  </si>
  <si>
    <t>MATERIALES INDIRECTOS</t>
  </si>
  <si>
    <t>Precio Total Semestral</t>
  </si>
  <si>
    <t>Costo Unitario</t>
  </si>
  <si>
    <t>Unidades</t>
  </si>
  <si>
    <t>Total Semestral</t>
  </si>
  <si>
    <t>Material de Combustion(Gas Industrial)</t>
  </si>
  <si>
    <t>COSTO FIJO</t>
  </si>
  <si>
    <t>CANTIDAD</t>
  </si>
  <si>
    <t>Gasolina Extra Mensual galones</t>
  </si>
  <si>
    <t xml:space="preserve">Flete Machala-Guayaquil </t>
  </si>
  <si>
    <t>Kilos(2,20 libras) de producto final/año</t>
  </si>
  <si>
    <t>Precio de Gasolina Super</t>
  </si>
  <si>
    <t>Precio de Gasolina Extra</t>
  </si>
  <si>
    <t>Recorridos en Km en Guayaquil</t>
  </si>
  <si>
    <t>Cantidad semestral</t>
  </si>
  <si>
    <t>Precio Total semestral</t>
  </si>
  <si>
    <t>Salmon</t>
  </si>
  <si>
    <t>Trucha</t>
  </si>
  <si>
    <t>Asignacion de Demanda de productos según las preferencias de Consumidor</t>
  </si>
  <si>
    <t>CAPACIDAD MAXIMA INSTALADA</t>
  </si>
  <si>
    <t xml:space="preserve">Surtidos </t>
  </si>
  <si>
    <t>Total asignacion de demanda</t>
  </si>
  <si>
    <t>condimentos</t>
  </si>
  <si>
    <t>sal y especias</t>
  </si>
  <si>
    <t>Al dia</t>
  </si>
  <si>
    <t>Al mes (22 dias laborables)</t>
  </si>
  <si>
    <t>Capacidad en unidades</t>
  </si>
  <si>
    <t>Capacidad Instalada en kilos</t>
  </si>
  <si>
    <t>Capacidad instalada en libras</t>
  </si>
  <si>
    <t>Capacidad en gramos</t>
  </si>
  <si>
    <t>Camaron</t>
  </si>
  <si>
    <t>Surtidos</t>
  </si>
  <si>
    <t>Total capacidad Instalada</t>
  </si>
  <si>
    <t>1 kilogramos=2,20 libras</t>
  </si>
  <si>
    <t>Capacidad Utilizada</t>
  </si>
  <si>
    <t>Holgura</t>
  </si>
  <si>
    <t xml:space="preserve">UNIDADES AL MES PARA EL CONSUMO DE 1 A 3 VECES </t>
  </si>
  <si>
    <t>CALCULO DE DEMANDA</t>
  </si>
  <si>
    <t>Estos costos fueron calculados deacuerdo a la capacidad de produccion</t>
  </si>
  <si>
    <t>Concepto</t>
  </si>
  <si>
    <t>TOTAL MENSUAL</t>
  </si>
  <si>
    <t>Gerente General</t>
  </si>
  <si>
    <t>Asistentes</t>
  </si>
  <si>
    <t>TOTAL GASTOS DE ADMINISTRACION</t>
  </si>
  <si>
    <t>GASTOS DE SERVICIOS</t>
  </si>
  <si>
    <t>TOTAL GASTOS DE SERVICIOS</t>
  </si>
  <si>
    <t>Seguro</t>
  </si>
  <si>
    <t>ASIGNACION DEPARTAMENTAL DE GASTOS DE EDIFICIO</t>
  </si>
  <si>
    <t>PRODUCCION</t>
  </si>
  <si>
    <t>COMERCIALIZACION</t>
  </si>
  <si>
    <t>ADMINISTRATIVO</t>
  </si>
  <si>
    <t>%</t>
  </si>
  <si>
    <t>IMPORTE</t>
  </si>
  <si>
    <t>NOMINA</t>
  </si>
  <si>
    <t>GUARDIAN</t>
  </si>
  <si>
    <t>Energia Electrica</t>
  </si>
  <si>
    <t>Agua Potable</t>
  </si>
  <si>
    <t>Combustible de vehiculo</t>
  </si>
  <si>
    <t>SUMISTROS GENERALES</t>
  </si>
  <si>
    <t>TOTAL NOMINA</t>
  </si>
  <si>
    <t>TOTAL SUMINISTROS GENERALES</t>
  </si>
  <si>
    <t>1,20 libra de camaron entero de 14 gr</t>
  </si>
  <si>
    <t>de donde es eso???</t>
  </si>
  <si>
    <t>Descabezadores</t>
  </si>
  <si>
    <t>Fileteador</t>
  </si>
  <si>
    <t>Jefe Comercial</t>
  </si>
  <si>
    <t>Jefe Financiero</t>
  </si>
  <si>
    <t>Mantenimiento y Limpieza ( Conserje)</t>
  </si>
  <si>
    <t xml:space="preserve">Asistente de Logistica y produccion </t>
  </si>
  <si>
    <t>GASTOS DE CONSTITUCION</t>
  </si>
  <si>
    <t>Aporte en número: apertura de Cuenta de Integración Capital en Banco (Capital mínimo US$800, 25% al inicio)</t>
  </si>
  <si>
    <t>Proceder a realizar los nombramientos correspondiente y a su respectiva inscriccion en el registro Mercantil</t>
  </si>
  <si>
    <t>Inscripción y Aprobación de Marca IEPI</t>
  </si>
  <si>
    <t>Retiro de fondos depositados en Cuenta de Integración de Capital</t>
  </si>
  <si>
    <t>(-) Devolución por Integración de Capital</t>
  </si>
  <si>
    <t>Certificado Sanitario de los empleados de la empresa</t>
  </si>
  <si>
    <t>Pago Anual al Ministerio de Gobierno y Policía</t>
  </si>
  <si>
    <t>Escritura Publica de Constitucion de Compañía</t>
  </si>
  <si>
    <t>2 día</t>
  </si>
  <si>
    <t>3 día</t>
  </si>
  <si>
    <t>Alquiler Edificacion</t>
  </si>
  <si>
    <t>1 dia</t>
  </si>
  <si>
    <t>3 dia</t>
  </si>
  <si>
    <t>Aprobación de denominción en la Superintendencia</t>
  </si>
  <si>
    <t>COSTOS ANUALES DE FUNCIONAMIENTO Y MARCAS</t>
  </si>
  <si>
    <t>Actualizacion RUC</t>
  </si>
  <si>
    <t>Registro de Patente Municipal</t>
  </si>
  <si>
    <t>Tasa de habilitacion de establecimiento</t>
  </si>
  <si>
    <t xml:space="preserve">Certificado para libre venta de alimentos (CLV) </t>
  </si>
  <si>
    <t>Copia certificada del registro sanitario</t>
  </si>
  <si>
    <t xml:space="preserve">Pago anual al benemerito cuerpo de bomberos </t>
  </si>
  <si>
    <t>Rubros</t>
  </si>
  <si>
    <t>Costo Total US $</t>
  </si>
  <si>
    <t>Gastos de Funcionamiento</t>
  </si>
  <si>
    <t>Demanda Mensual</t>
  </si>
  <si>
    <t>COSTO UNITARIO POR 250 GR</t>
  </si>
  <si>
    <t>gramos</t>
  </si>
  <si>
    <t>x</t>
  </si>
  <si>
    <t>x=</t>
  </si>
  <si>
    <t>costo libra camaron</t>
  </si>
  <si>
    <t>COSTO TOTAL MENSUAL</t>
  </si>
  <si>
    <t>Poblacion de Guayaquil (area urbana)</t>
  </si>
  <si>
    <t>Jefe de Hogares</t>
  </si>
  <si>
    <t>Total de personas de guayaquil sin pobreza en consumo</t>
  </si>
  <si>
    <t>Proyecccion del segmento al que nos dirigimos (familias)</t>
  </si>
  <si>
    <t>Aceptacion del producto</t>
  </si>
  <si>
    <t>Inmediatamente</t>
  </si>
  <si>
    <t>Despues de tres meses</t>
  </si>
  <si>
    <t xml:space="preserve">Demanda Anual </t>
  </si>
  <si>
    <t>Primer mes</t>
  </si>
  <si>
    <t>Segundo mes</t>
  </si>
  <si>
    <t>Tercer mes</t>
  </si>
  <si>
    <t>Cuarto mes</t>
  </si>
  <si>
    <t>Quinto mes</t>
  </si>
  <si>
    <t xml:space="preserve">Sexto </t>
  </si>
  <si>
    <t>Septimo mes</t>
  </si>
  <si>
    <t>Octevo mes</t>
  </si>
  <si>
    <t>Noveno mes</t>
  </si>
  <si>
    <t>Decimo mes</t>
  </si>
  <si>
    <t>Decimo primero</t>
  </si>
  <si>
    <t>Decimo segundo</t>
  </si>
  <si>
    <t>Mayor a seis meses</t>
  </si>
  <si>
    <t>PRIMER AÑO</t>
  </si>
  <si>
    <t>SEGUNDO AÑO</t>
  </si>
  <si>
    <t>TERCER AÑO</t>
  </si>
  <si>
    <t>CUARTO AÑO</t>
  </si>
  <si>
    <t>QUINTO AÑO</t>
  </si>
  <si>
    <t>Castigo Demanda mensual al 40%</t>
  </si>
  <si>
    <t>DEMANDA TOTAL</t>
  </si>
  <si>
    <t>Consideramos a una tasa de crecimiento del 3% debido a que el crecimiento de la poblacion es de 2,4% y el margen lo consideramos un crecimiento en popularidad</t>
  </si>
  <si>
    <t>dias</t>
  </si>
  <si>
    <t>1 libra = 453,6 gramos</t>
  </si>
  <si>
    <t>Prod diaria</t>
  </si>
  <si>
    <t>camaron</t>
  </si>
  <si>
    <t>trucha</t>
  </si>
  <si>
    <t>salmon</t>
  </si>
  <si>
    <t>Prod mensual</t>
  </si>
  <si>
    <t>UNIDADES</t>
  </si>
  <si>
    <t>KILOS</t>
  </si>
  <si>
    <t>LIBRAS</t>
  </si>
  <si>
    <t>GRAMOS</t>
  </si>
  <si>
    <t>G</t>
  </si>
  <si>
    <t>L</t>
  </si>
  <si>
    <t>K</t>
  </si>
  <si>
    <t>dias laborables</t>
  </si>
  <si>
    <t>1er año</t>
  </si>
  <si>
    <t>vendedores</t>
  </si>
  <si>
    <t>COSTO DE TRANSPORTE - FLETE - DISTRIBUCION</t>
  </si>
  <si>
    <r>
      <t xml:space="preserve">Agencia de distribución </t>
    </r>
    <r>
      <rPr>
        <sz val="12"/>
        <color indexed="8"/>
        <rFont val="Times New Roman"/>
        <family val="1"/>
      </rPr>
      <t>Margarita Cardenas</t>
    </r>
  </si>
  <si>
    <t>Costos Fijos</t>
  </si>
  <si>
    <t>% Margen de Ganancias</t>
  </si>
  <si>
    <t>Costos Variables</t>
  </si>
  <si>
    <t>Precio CAMARON 250 GR</t>
  </si>
  <si>
    <t>CALCULO DEL PRECIO CAMARON 250 GR</t>
  </si>
  <si>
    <t>SUELDOS</t>
  </si>
  <si>
    <t>costo libra Trucha</t>
  </si>
  <si>
    <t>costo libra Salmon</t>
  </si>
  <si>
    <t>CALCULO DEL PRECIO SALMON 250 GR</t>
  </si>
  <si>
    <t>CALCULO DEL PRECIO TRUCHA 250 GR</t>
  </si>
  <si>
    <t>GASTOS INDIRECTOS DE PRODUCCION</t>
  </si>
  <si>
    <t>=</t>
  </si>
  <si>
    <t xml:space="preserve">PRECIO DE VENTA </t>
  </si>
  <si>
    <t>PRECIO TOTAL AÑO</t>
  </si>
  <si>
    <t>Cantidad Semestre</t>
  </si>
  <si>
    <t>INGRESOS</t>
  </si>
  <si>
    <t>Asignacion de Demanda Anual de productos según las preferencias de Consumidor Año 1</t>
  </si>
  <si>
    <t>TOTAL INGRESOS</t>
  </si>
  <si>
    <t>Precio Camaron</t>
  </si>
  <si>
    <t>Demanda Camaron</t>
  </si>
  <si>
    <t>Precio Salmon</t>
  </si>
  <si>
    <t>Demanda Salmon</t>
  </si>
  <si>
    <t>Precio Trucha</t>
  </si>
  <si>
    <t>Demanda Trucha</t>
  </si>
  <si>
    <t>Ingreso Camaron</t>
  </si>
  <si>
    <t>Ingresos Salmos</t>
  </si>
  <si>
    <t>Ingreso Trucha</t>
  </si>
  <si>
    <t>Precio camaron</t>
  </si>
  <si>
    <t>Venta camaron(q)</t>
  </si>
  <si>
    <t>Precio salmon</t>
  </si>
  <si>
    <t>Venta salmon(q)</t>
  </si>
  <si>
    <t>Precio trucja</t>
  </si>
  <si>
    <t>Venta trucha(q)</t>
  </si>
  <si>
    <t>Camaron demanda mensual</t>
  </si>
  <si>
    <t>Salmon demanda mensual</t>
  </si>
  <si>
    <t>Trucha demanda mensual</t>
  </si>
  <si>
    <t>1 ER AÑO</t>
  </si>
  <si>
    <t>VENTA</t>
  </si>
  <si>
    <t>5 AÑO</t>
  </si>
  <si>
    <t>2 AÑO</t>
  </si>
  <si>
    <t>3 AÑO</t>
  </si>
  <si>
    <t>4 AÑO</t>
  </si>
  <si>
    <t xml:space="preserve">VENTAS UNIDADES TOTALES </t>
  </si>
  <si>
    <t>CAMARON</t>
  </si>
  <si>
    <t>SALMON</t>
  </si>
  <si>
    <t>TRUCHA</t>
  </si>
  <si>
    <t>AÑO 1</t>
  </si>
  <si>
    <t>Ventas Salmon ($)</t>
  </si>
  <si>
    <t>Ventas Trucha ($)</t>
  </si>
  <si>
    <t xml:space="preserve">Ventas Camaron ($) </t>
  </si>
  <si>
    <t>TOTAL AL PRIMER AÑO</t>
  </si>
  <si>
    <t>INGRESO POR VENTAS (MENSUAL)</t>
  </si>
  <si>
    <t>GASTOS DE VENTAS</t>
  </si>
  <si>
    <t xml:space="preserve">TELEVISIÓN </t>
  </si>
  <si>
    <t>VALLA PUBLICITARIA</t>
  </si>
  <si>
    <t>anual</t>
  </si>
  <si>
    <t>Meses (1año)</t>
  </si>
  <si>
    <t>Dias (1mes)</t>
  </si>
  <si>
    <t>Dias (1 mes y medio)</t>
  </si>
  <si>
    <t>anuncios en  1 canal</t>
  </si>
  <si>
    <t xml:space="preserve">Material Indirecto </t>
  </si>
  <si>
    <t>meses</t>
  </si>
  <si>
    <t>Suministros de Oficina</t>
  </si>
  <si>
    <t>Castigo</t>
  </si>
  <si>
    <t>Total de Edificaciones</t>
  </si>
  <si>
    <t>VALOR DE SALVAMENTO</t>
  </si>
  <si>
    <t>VALOR DE COMPRA</t>
  </si>
  <si>
    <t>VIDA CONTABLE</t>
  </si>
  <si>
    <t>DEPREC. ANUAL</t>
  </si>
  <si>
    <t>AÑO DEPREC.</t>
  </si>
  <si>
    <t>DEPREC. ACUMUL.</t>
  </si>
  <si>
    <t>VALOR EN LIBRO</t>
  </si>
  <si>
    <t>Depreciación Acumulada</t>
  </si>
  <si>
    <t>Valor de Salvamento</t>
  </si>
  <si>
    <t>ESTADO DE PERDIDAS Y GANANCIAS</t>
  </si>
  <si>
    <t>Detalle</t>
  </si>
  <si>
    <t>Ingresos</t>
  </si>
  <si>
    <t>Costo de Venta</t>
  </si>
  <si>
    <t>Amortización</t>
  </si>
  <si>
    <t>Depreciación</t>
  </si>
  <si>
    <t>Gastos de Venta</t>
  </si>
  <si>
    <t>Utilidad Operacional</t>
  </si>
  <si>
    <t>Gastos Financieros</t>
  </si>
  <si>
    <t>Intereses sobre prestamos</t>
  </si>
  <si>
    <t>Utilidad antes de Impuestos</t>
  </si>
  <si>
    <t>25% Impuestos a la Renta</t>
  </si>
  <si>
    <t>15% Participación de Trabajadores</t>
  </si>
  <si>
    <t>UTILIDAD NETA</t>
  </si>
  <si>
    <t>Utilidad Bruta</t>
  </si>
  <si>
    <t>FLUJO DE CAJA ACCIONISTA</t>
  </si>
  <si>
    <t>Año 0</t>
  </si>
  <si>
    <t>Egresos</t>
  </si>
  <si>
    <t>Costos de Venta</t>
  </si>
  <si>
    <t>Coste de Fabricación</t>
  </si>
  <si>
    <t>Gasto Administrativo</t>
  </si>
  <si>
    <t>Gasto de Venta y Publicidad</t>
  </si>
  <si>
    <t>Flujo Operacional</t>
  </si>
  <si>
    <t>Amortización Intangible</t>
  </si>
  <si>
    <t>Flujo no Operacional</t>
  </si>
  <si>
    <t>Intereses sobe préstamos</t>
  </si>
  <si>
    <t>Utilidad antes de Impuesto</t>
  </si>
  <si>
    <t>25% Impuesto a la Renta</t>
  </si>
  <si>
    <t>Utilidad Neta</t>
  </si>
  <si>
    <t>Depreciación y Amortización Intangible</t>
  </si>
  <si>
    <t>Pago de Capital</t>
  </si>
  <si>
    <t>Prestamo</t>
  </si>
  <si>
    <t>Inversión Inicial</t>
  </si>
  <si>
    <t>Recuperación del Capital de Trabajo</t>
  </si>
  <si>
    <t>Flujo neto del accionistas</t>
  </si>
  <si>
    <t>TMAR (CAPM)</t>
  </si>
  <si>
    <t>TIR</t>
  </si>
  <si>
    <t>VAN</t>
  </si>
  <si>
    <t>Inversion Inicial</t>
  </si>
  <si>
    <t>FLUJO DE CAJA PROYECTO</t>
  </si>
  <si>
    <t>Flujo neto del proyecto</t>
  </si>
  <si>
    <t>WACC</t>
  </si>
  <si>
    <t>TMAR</t>
  </si>
  <si>
    <t>Beta</t>
  </si>
  <si>
    <t>1-L</t>
  </si>
  <si>
    <t>rf</t>
  </si>
  <si>
    <t>rm</t>
  </si>
  <si>
    <t>rd</t>
  </si>
  <si>
    <t>t</t>
  </si>
  <si>
    <t>1-t</t>
  </si>
  <si>
    <t>Prima/Riesgo</t>
  </si>
  <si>
    <t>re</t>
  </si>
  <si>
    <t>rk</t>
  </si>
  <si>
    <t>re=rf+B(rm-rf)+rfecuador</t>
  </si>
  <si>
    <t>L=Pasivo/Activo</t>
  </si>
  <si>
    <t>T=Impuesto/Utilidad Ant Imp</t>
  </si>
  <si>
    <t>Ba= (1-L)B/(1-TL)</t>
  </si>
  <si>
    <t>rk=rd(1-t)*(L)+(1-L)*re</t>
  </si>
  <si>
    <t>CALCULO DE BETA</t>
  </si>
  <si>
    <t>Beta Coefficient</t>
  </si>
  <si>
    <t>Beta*(Mark Cap/Total Mark</t>
  </si>
  <si>
    <t>PAYBACK</t>
  </si>
  <si>
    <t>Período (años)</t>
  </si>
  <si>
    <t>Saldo Inversion</t>
  </si>
  <si>
    <t>Flujo de Caja</t>
  </si>
  <si>
    <t>Rentabilidad Exigida</t>
  </si>
  <si>
    <t>Recuperación Inversión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</si>
  <si>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</si>
  <si>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</si>
  <si>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</si>
  <si>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</si>
  <si>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</si>
  <si>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</si>
  <si>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</si>
  <si>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</si>
  <si>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</si>
  <si>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</si>
  <si>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</si>
  <si>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</si>
  <si>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AÑO 2</t>
  </si>
  <si>
    <t>Periodo de Pago Anual</t>
  </si>
  <si>
    <t>Gastos de Servicios</t>
  </si>
  <si>
    <t>Gastos de servicio</t>
  </si>
  <si>
    <t>Precio Anual</t>
  </si>
  <si>
    <t>Market Cap (Billon)</t>
  </si>
  <si>
    <t>Smithfield Foods Inc. (SFD)</t>
  </si>
  <si>
    <t>Hormel Foods Corp HRL</t>
  </si>
  <si>
    <t xml:space="preserve">Brasil Foods (BRFS) </t>
  </si>
  <si>
    <t>Riesgo País 16/02/2010</t>
  </si>
  <si>
    <t>Precio Venta</t>
  </si>
  <si>
    <t>CAMARON 250 GR</t>
  </si>
  <si>
    <t>SALMON 250 GR</t>
  </si>
  <si>
    <t xml:space="preserve">TRUCHA 250 GR </t>
  </si>
  <si>
    <t>ANALISIS COSTO VOLUMEN UTILIDAD</t>
  </si>
  <si>
    <t xml:space="preserve">Costo Variable </t>
  </si>
  <si>
    <t>Costo fijos</t>
  </si>
  <si>
    <t>PE=(PV*Q)-(CV*Q)-CF</t>
  </si>
  <si>
    <t>Q=</t>
  </si>
  <si>
    <t>La producción mínima para la elaboración de Camarón 250 gr  es de 82312</t>
  </si>
  <si>
    <t>La producción mínima para la elaboración de Salmon 250 gr  es de 96494</t>
  </si>
  <si>
    <t>La producción mínima para la elaboración de trucha 250 gr  es de 103358,36</t>
  </si>
  <si>
    <t>Variacion en un</t>
  </si>
  <si>
    <t>Analisis de Riesgo e Incertidumbre</t>
  </si>
  <si>
    <t>Escenario(k)</t>
  </si>
  <si>
    <t>Probabilidad p(k)</t>
  </si>
  <si>
    <t>VAN de flujos proyectados</t>
  </si>
  <si>
    <t>Factor (rek*P(k))</t>
  </si>
  <si>
    <t xml:space="preserve">Desviacion </t>
  </si>
  <si>
    <t>Desviacion Cuadrada</t>
  </si>
  <si>
    <t>Producto</t>
  </si>
  <si>
    <t>Expansion</t>
  </si>
  <si>
    <t>Normal</t>
  </si>
  <si>
    <t>Recesion</t>
  </si>
  <si>
    <t>Suma</t>
  </si>
  <si>
    <t>Promedio</t>
  </si>
  <si>
    <t>sigma(S)</t>
  </si>
  <si>
    <t xml:space="preserve">l </t>
  </si>
  <si>
    <t>Intervalo Inferior</t>
  </si>
  <si>
    <t>Intervalo Superior</t>
  </si>
  <si>
    <t>PRECIO PROYECTADO</t>
  </si>
  <si>
    <t>PRECIO SENSIBILIZADO</t>
  </si>
  <si>
    <t>DIFERENCIA</t>
  </si>
  <si>
    <t>PRECIO DE VENTA  PROYECTADO</t>
  </si>
  <si>
    <t>PRECIO DE VENTA SENSIBILIZADO</t>
  </si>
  <si>
    <t>SENSIBILIDAD DEL INGRESO</t>
  </si>
  <si>
    <t>RESULTADO</t>
  </si>
  <si>
    <t>COSTOS VENTAS PROYECTADOS</t>
  </si>
  <si>
    <t>COSTOS VENTAS SENSIBILIZADO</t>
  </si>
  <si>
    <t>SENSIBILIDAD DEL COSTO DE VENTAS</t>
  </si>
  <si>
    <t>PRODUCCION MINIMA PARA LA ELABORACION MENSUAL</t>
  </si>
  <si>
    <t>CASTIIGO PONDERACION POR ESTACIONALIDAD</t>
  </si>
</sst>
</file>

<file path=xl/styles.xml><?xml version="1.0" encoding="utf-8"?>
<styleSheet xmlns="http://schemas.openxmlformats.org/spreadsheetml/2006/main">
  <numFmts count="28">
    <numFmt numFmtId="8" formatCode="#,##0.00\ &quot;€&quot;;[Red]\-#,##0.00\ &quot;€&quot;"/>
    <numFmt numFmtId="175" formatCode="&quot;$&quot;\ #,##0.00;[Red]&quot;$&quot;\ \-#,##0.00"/>
    <numFmt numFmtId="178" formatCode="_ &quot;$&quot;\ * #,##0.00_ ;_ &quot;$&quot;\ * \-#,##0.00_ ;_ &quot;$&quot;\ * &quot;-&quot;??_ ;_ @_ "/>
    <numFmt numFmtId="179" formatCode="_ * #,##0.00_ ;_ * \-#,##0.00_ ;_ * &quot;-&quot;??_ ;_ @_ "/>
    <numFmt numFmtId="180" formatCode="_ [$€-2]\ * #,##0.00_ ;_ [$€-2]\ * \-#,##0.00_ ;_ [$€-2]\ * &quot;-&quot;??_ "/>
    <numFmt numFmtId="185" formatCode="&quot;$&quot;\ #,##0"/>
    <numFmt numFmtId="187" formatCode="&quot;$&quot;\ #,##0.00"/>
    <numFmt numFmtId="188" formatCode="[$$-409]#,##0.00;[Red][$$-409]#,##0.00"/>
    <numFmt numFmtId="189" formatCode="0;[Red]0"/>
    <numFmt numFmtId="190" formatCode="0.0"/>
    <numFmt numFmtId="191" formatCode="0.0%"/>
    <numFmt numFmtId="192" formatCode="#,##0.00_ ;\-#,##0.00\ "/>
    <numFmt numFmtId="194" formatCode="0.00000"/>
    <numFmt numFmtId="195" formatCode="0.0000"/>
    <numFmt numFmtId="196" formatCode="0.000"/>
    <numFmt numFmtId="197" formatCode="#,##0.00\ &quot;€&quot;"/>
    <numFmt numFmtId="198" formatCode="[$$-409]#,##0.00"/>
    <numFmt numFmtId="199" formatCode="&quot;$&quot;\ #,##0.00;[Red]&quot;$&quot;\ #,##0.00"/>
    <numFmt numFmtId="200" formatCode="[$$-409]#,##0;[Red][$$-409]#,##0"/>
    <numFmt numFmtId="201" formatCode="[$$-409]#,##0.0;[Red][$$-409]#,##0.0"/>
    <numFmt numFmtId="202" formatCode="0.000%"/>
    <numFmt numFmtId="205" formatCode="#,##0.00\ _€;[Red]#,##0.00\ _€"/>
    <numFmt numFmtId="206" formatCode="0.0000;[Red]0.0000"/>
    <numFmt numFmtId="207" formatCode="0.00000;[Red]0.00000"/>
    <numFmt numFmtId="208" formatCode="0.00;[Red]0.00"/>
    <numFmt numFmtId="209" formatCode="_ * #,##0.000_ ;_ * \-#,##0.000_ ;_ * &quot;-&quot;??_ ;_ @_ "/>
    <numFmt numFmtId="210" formatCode="0.0000%"/>
    <numFmt numFmtId="211" formatCode="0.00_ ;[Red]\-0.00\ "/>
  </numFmts>
  <fonts count="68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color indexed="8"/>
      <name val="Times New Roman"/>
      <family val="1"/>
    </font>
    <font>
      <sz val="9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name val="Arial"/>
      <family val="2"/>
    </font>
    <font>
      <b/>
      <u/>
      <sz val="14"/>
      <name val="Arial"/>
      <family val="2"/>
    </font>
    <font>
      <b/>
      <sz val="7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indexed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53"/>
      <name val="Arial"/>
      <family val="2"/>
    </font>
    <font>
      <b/>
      <sz val="12"/>
      <color indexed="8"/>
      <name val="Times New Roman"/>
      <family val="1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8"/>
      <name val="Times New Roman"/>
      <family val="1"/>
    </font>
    <font>
      <b/>
      <sz val="10"/>
      <color indexed="10"/>
      <name val="Arial"/>
      <family val="2"/>
    </font>
    <font>
      <sz val="12"/>
      <color indexed="8"/>
      <name val="Times New Roman"/>
      <family val="1"/>
    </font>
    <font>
      <b/>
      <sz val="20"/>
      <name val="Arial"/>
      <family val="2"/>
    </font>
    <font>
      <sz val="8"/>
      <name val="Arial"/>
    </font>
    <font>
      <b/>
      <sz val="11"/>
      <name val="Arial"/>
      <family val="2"/>
    </font>
    <font>
      <sz val="10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6">
    <xf numFmtId="0" fontId="0" fillId="0" borderId="0"/>
    <xf numFmtId="180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3"/>
    </xf>
    <xf numFmtId="0" fontId="5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right"/>
    </xf>
    <xf numFmtId="0" fontId="7" fillId="0" borderId="0" xfId="0" applyFont="1"/>
    <xf numFmtId="0" fontId="0" fillId="0" borderId="3" xfId="0" applyBorder="1"/>
    <xf numFmtId="0" fontId="5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2" applyAlignment="1" applyProtection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3" xfId="0" applyFill="1" applyBorder="1"/>
    <xf numFmtId="0" fontId="0" fillId="0" borderId="13" xfId="0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Fill="1" applyBorder="1"/>
    <xf numFmtId="0" fontId="0" fillId="0" borderId="10" xfId="0" applyFill="1" applyBorder="1"/>
    <xf numFmtId="0" fontId="0" fillId="0" borderId="6" xfId="0" applyFill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24" xfId="0" applyBorder="1"/>
    <xf numFmtId="0" fontId="5" fillId="0" borderId="0" xfId="0" applyFont="1" applyBorder="1"/>
    <xf numFmtId="0" fontId="5" fillId="0" borderId="25" xfId="0" applyFont="1" applyBorder="1"/>
    <xf numFmtId="0" fontId="5" fillId="0" borderId="26" xfId="0" applyFont="1" applyBorder="1"/>
    <xf numFmtId="0" fontId="9" fillId="0" borderId="0" xfId="0" applyFont="1" applyFill="1" applyBorder="1" applyAlignment="1"/>
    <xf numFmtId="0" fontId="5" fillId="0" borderId="0" xfId="0" applyFont="1" applyBorder="1" applyAlignment="1"/>
    <xf numFmtId="0" fontId="0" fillId="0" borderId="27" xfId="0" applyBorder="1"/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2" fontId="0" fillId="0" borderId="0" xfId="0" applyNumberFormat="1" applyBorder="1"/>
    <xf numFmtId="2" fontId="0" fillId="0" borderId="3" xfId="0" applyNumberFormat="1" applyBorder="1"/>
    <xf numFmtId="0" fontId="13" fillId="0" borderId="3" xfId="0" applyFont="1" applyBorder="1" applyAlignment="1">
      <alignment horizontal="right"/>
    </xf>
    <xf numFmtId="0" fontId="13" fillId="0" borderId="3" xfId="0" applyFont="1" applyBorder="1"/>
    <xf numFmtId="2" fontId="0" fillId="0" borderId="6" xfId="0" applyNumberFormat="1" applyBorder="1"/>
    <xf numFmtId="0" fontId="13" fillId="0" borderId="6" xfId="0" applyFont="1" applyBorder="1" applyAlignment="1">
      <alignment horizontal="right"/>
    </xf>
    <xf numFmtId="2" fontId="0" fillId="0" borderId="28" xfId="0" applyNumberFormat="1" applyBorder="1"/>
    <xf numFmtId="0" fontId="5" fillId="0" borderId="23" xfId="0" applyFont="1" applyFill="1" applyBorder="1"/>
    <xf numFmtId="0" fontId="5" fillId="2" borderId="3" xfId="0" applyFont="1" applyFill="1" applyBorder="1"/>
    <xf numFmtId="185" fontId="5" fillId="0" borderId="3" xfId="0" applyNumberFormat="1" applyFont="1" applyBorder="1"/>
    <xf numFmtId="185" fontId="0" fillId="0" borderId="3" xfId="0" applyNumberFormat="1" applyBorder="1"/>
    <xf numFmtId="0" fontId="5" fillId="0" borderId="3" xfId="0" applyFont="1" applyFill="1" applyBorder="1"/>
    <xf numFmtId="178" fontId="0" fillId="0" borderId="0" xfId="4" applyFont="1" applyBorder="1"/>
    <xf numFmtId="178" fontId="5" fillId="0" borderId="2" xfId="4" applyFont="1" applyBorder="1"/>
    <xf numFmtId="187" fontId="5" fillId="0" borderId="3" xfId="0" applyNumberFormat="1" applyFont="1" applyBorder="1"/>
    <xf numFmtId="0" fontId="9" fillId="0" borderId="0" xfId="0" applyFont="1" applyBorder="1" applyAlignment="1"/>
    <xf numFmtId="0" fontId="0" fillId="0" borderId="29" xfId="0" applyBorder="1"/>
    <xf numFmtId="0" fontId="13" fillId="0" borderId="10" xfId="0" applyFont="1" applyBorder="1" applyAlignment="1">
      <alignment horizontal="right"/>
    </xf>
    <xf numFmtId="0" fontId="0" fillId="0" borderId="30" xfId="0" applyBorder="1"/>
    <xf numFmtId="0" fontId="5" fillId="0" borderId="21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88" fontId="0" fillId="0" borderId="3" xfId="0" applyNumberFormat="1" applyBorder="1"/>
    <xf numFmtId="188" fontId="0" fillId="0" borderId="0" xfId="0" applyNumberFormat="1" applyBorder="1"/>
    <xf numFmtId="0" fontId="15" fillId="0" borderId="0" xfId="0" applyFont="1"/>
    <xf numFmtId="0" fontId="15" fillId="0" borderId="3" xfId="0" applyFont="1" applyBorder="1" applyAlignment="1">
      <alignment horizontal="center"/>
    </xf>
    <xf numFmtId="188" fontId="16" fillId="0" borderId="3" xfId="0" applyNumberFormat="1" applyFont="1" applyBorder="1" applyAlignment="1">
      <alignment horizontal="center"/>
    </xf>
    <xf numFmtId="9" fontId="15" fillId="0" borderId="3" xfId="0" applyNumberFormat="1" applyFont="1" applyBorder="1" applyAlignment="1">
      <alignment horizontal="center"/>
    </xf>
    <xf numFmtId="0" fontId="14" fillId="0" borderId="0" xfId="0" applyFont="1" applyBorder="1"/>
    <xf numFmtId="9" fontId="0" fillId="0" borderId="0" xfId="0" applyNumberFormat="1" applyBorder="1"/>
    <xf numFmtId="188" fontId="0" fillId="0" borderId="9" xfId="0" applyNumberFormat="1" applyBorder="1"/>
    <xf numFmtId="189" fontId="0" fillId="0" borderId="10" xfId="5" applyNumberFormat="1" applyFont="1" applyBorder="1"/>
    <xf numFmtId="0" fontId="14" fillId="0" borderId="30" xfId="0" applyFont="1" applyBorder="1"/>
    <xf numFmtId="178" fontId="0" fillId="3" borderId="0" xfId="4" applyFont="1" applyFill="1" applyBorder="1"/>
    <xf numFmtId="185" fontId="5" fillId="3" borderId="3" xfId="0" applyNumberFormat="1" applyFont="1" applyFill="1" applyBorder="1"/>
    <xf numFmtId="1" fontId="0" fillId="0" borderId="0" xfId="0" applyNumberFormat="1"/>
    <xf numFmtId="1" fontId="0" fillId="0" borderId="3" xfId="0" applyNumberFormat="1" applyBorder="1"/>
    <xf numFmtId="1" fontId="0" fillId="0" borderId="0" xfId="0" applyNumberFormat="1" applyBorder="1"/>
    <xf numFmtId="1" fontId="0" fillId="0" borderId="31" xfId="0" applyNumberFormat="1" applyFill="1" applyBorder="1"/>
    <xf numFmtId="0" fontId="17" fillId="0" borderId="0" xfId="0" applyFont="1"/>
    <xf numFmtId="190" fontId="0" fillId="0" borderId="3" xfId="0" applyNumberFormat="1" applyBorder="1"/>
    <xf numFmtId="2" fontId="0" fillId="0" borderId="3" xfId="0" applyNumberFormat="1" applyFill="1" applyBorder="1"/>
    <xf numFmtId="2" fontId="0" fillId="0" borderId="0" xfId="0" applyNumberFormat="1" applyAlignment="1">
      <alignment horizontal="center"/>
    </xf>
    <xf numFmtId="16" fontId="0" fillId="0" borderId="0" xfId="0" applyNumberFormat="1"/>
    <xf numFmtId="2" fontId="0" fillId="0" borderId="0" xfId="0" applyNumberFormat="1"/>
    <xf numFmtId="0" fontId="5" fillId="3" borderId="3" xfId="0" applyFont="1" applyFill="1" applyBorder="1"/>
    <xf numFmtId="0" fontId="0" fillId="0" borderId="0" xfId="0" applyAlignment="1">
      <alignment vertical="top" wrapText="1"/>
    </xf>
    <xf numFmtId="0" fontId="19" fillId="0" borderId="0" xfId="0" applyFont="1" applyAlignment="1">
      <alignment vertical="top" wrapText="1"/>
    </xf>
    <xf numFmtId="175" fontId="0" fillId="0" borderId="10" xfId="0" applyNumberFormat="1" applyBorder="1"/>
    <xf numFmtId="175" fontId="0" fillId="0" borderId="11" xfId="0" applyNumberFormat="1" applyBorder="1"/>
    <xf numFmtId="0" fontId="20" fillId="0" borderId="0" xfId="0" applyFont="1" applyAlignment="1">
      <alignment wrapText="1"/>
    </xf>
    <xf numFmtId="0" fontId="5" fillId="0" borderId="30" xfId="0" applyFont="1" applyBorder="1"/>
    <xf numFmtId="0" fontId="0" fillId="0" borderId="9" xfId="0" applyBorder="1" applyAlignment="1">
      <alignment vertical="center" wrapText="1"/>
    </xf>
    <xf numFmtId="175" fontId="0" fillId="0" borderId="10" xfId="0" applyNumberFormat="1" applyBorder="1" applyAlignment="1">
      <alignment vertical="center" wrapText="1"/>
    </xf>
    <xf numFmtId="175" fontId="7" fillId="0" borderId="2" xfId="0" applyNumberFormat="1" applyFont="1" applyBorder="1" applyAlignment="1">
      <alignment horizontal="right"/>
    </xf>
    <xf numFmtId="0" fontId="19" fillId="0" borderId="0" xfId="0" applyFont="1"/>
    <xf numFmtId="0" fontId="5" fillId="0" borderId="9" xfId="0" applyFont="1" applyBorder="1" applyAlignment="1">
      <alignment horizontal="center"/>
    </xf>
    <xf numFmtId="0" fontId="19" fillId="0" borderId="30" xfId="0" applyFont="1" applyBorder="1"/>
    <xf numFmtId="0" fontId="5" fillId="0" borderId="0" xfId="0" applyFont="1" applyAlignment="1"/>
    <xf numFmtId="0" fontId="18" fillId="4" borderId="0" xfId="0" applyFont="1" applyFill="1" applyBorder="1" applyAlignment="1"/>
    <xf numFmtId="0" fontId="0" fillId="4" borderId="0" xfId="0" applyFill="1"/>
    <xf numFmtId="0" fontId="25" fillId="0" borderId="0" xfId="0" applyFont="1"/>
    <xf numFmtId="0" fontId="0" fillId="0" borderId="31" xfId="0" applyFill="1" applyBorder="1" applyAlignment="1">
      <alignment horizontal="center"/>
    </xf>
    <xf numFmtId="0" fontId="0" fillId="0" borderId="0" xfId="0" applyFill="1" applyBorder="1"/>
    <xf numFmtId="191" fontId="0" fillId="0" borderId="3" xfId="5" applyNumberFormat="1" applyFont="1" applyBorder="1"/>
    <xf numFmtId="9" fontId="0" fillId="0" borderId="3" xfId="0" applyNumberFormat="1" applyBorder="1"/>
    <xf numFmtId="10" fontId="0" fillId="0" borderId="3" xfId="0" applyNumberFormat="1" applyBorder="1"/>
    <xf numFmtId="0" fontId="5" fillId="0" borderId="20" xfId="0" applyFont="1" applyBorder="1"/>
    <xf numFmtId="10" fontId="0" fillId="0" borderId="10" xfId="0" applyNumberFormat="1" applyBorder="1"/>
    <xf numFmtId="10" fontId="0" fillId="0" borderId="11" xfId="0" applyNumberFormat="1" applyBorder="1"/>
    <xf numFmtId="0" fontId="12" fillId="0" borderId="0" xfId="0" applyFont="1" applyAlignment="1"/>
    <xf numFmtId="0" fontId="0" fillId="0" borderId="25" xfId="0" applyBorder="1"/>
    <xf numFmtId="0" fontId="0" fillId="0" borderId="26" xfId="0" applyBorder="1"/>
    <xf numFmtId="0" fontId="0" fillId="0" borderId="2" xfId="0" applyBorder="1"/>
    <xf numFmtId="10" fontId="0" fillId="0" borderId="3" xfId="5" applyNumberFormat="1" applyFont="1" applyBorder="1"/>
    <xf numFmtId="0" fontId="12" fillId="0" borderId="19" xfId="0" applyFont="1" applyBorder="1" applyAlignment="1">
      <alignment horizontal="justify"/>
    </xf>
    <xf numFmtId="0" fontId="30" fillId="0" borderId="29" xfId="0" applyFont="1" applyBorder="1" applyAlignment="1">
      <alignment horizontal="justify"/>
    </xf>
    <xf numFmtId="0" fontId="30" fillId="0" borderId="30" xfId="0" applyFont="1" applyBorder="1" applyAlignment="1">
      <alignment horizontal="justify"/>
    </xf>
    <xf numFmtId="10" fontId="0" fillId="0" borderId="6" xfId="5" applyNumberFormat="1" applyFont="1" applyBorder="1"/>
    <xf numFmtId="0" fontId="31" fillId="0" borderId="0" xfId="0" applyFont="1"/>
    <xf numFmtId="10" fontId="0" fillId="0" borderId="12" xfId="5" applyNumberFormat="1" applyFont="1" applyBorder="1"/>
    <xf numFmtId="10" fontId="0" fillId="0" borderId="2" xfId="5" applyNumberFormat="1" applyFont="1" applyBorder="1"/>
    <xf numFmtId="0" fontId="0" fillId="0" borderId="32" xfId="0" applyBorder="1"/>
    <xf numFmtId="0" fontId="5" fillId="0" borderId="28" xfId="0" applyFont="1" applyBorder="1"/>
    <xf numFmtId="0" fontId="5" fillId="0" borderId="27" xfId="0" applyFont="1" applyBorder="1"/>
    <xf numFmtId="0" fontId="28" fillId="0" borderId="29" xfId="0" applyFont="1" applyBorder="1" applyAlignment="1">
      <alignment horizontal="justify" vertical="top" wrapText="1"/>
    </xf>
    <xf numFmtId="0" fontId="28" fillId="0" borderId="30" xfId="0" applyFont="1" applyBorder="1" applyAlignment="1">
      <alignment horizontal="justify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1" fontId="15" fillId="0" borderId="9" xfId="0" applyNumberFormat="1" applyFont="1" applyBorder="1"/>
    <xf numFmtId="192" fontId="5" fillId="0" borderId="0" xfId="0" applyNumberFormat="1" applyFont="1" applyBorder="1"/>
    <xf numFmtId="1" fontId="28" fillId="0" borderId="10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justify"/>
    </xf>
    <xf numFmtId="0" fontId="12" fillId="0" borderId="33" xfId="0" applyFont="1" applyBorder="1" applyAlignment="1">
      <alignment horizontal="justify" vertical="top" wrapText="1"/>
    </xf>
    <xf numFmtId="0" fontId="12" fillId="0" borderId="34" xfId="0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27" fillId="0" borderId="35" xfId="0" applyFont="1" applyBorder="1" applyAlignment="1">
      <alignment horizontal="center" vertical="top" wrapText="1"/>
    </xf>
    <xf numFmtId="0" fontId="0" fillId="0" borderId="36" xfId="0" applyBorder="1" applyAlignment="1">
      <alignment vertical="top" wrapText="1"/>
    </xf>
    <xf numFmtId="0" fontId="27" fillId="0" borderId="35" xfId="0" applyFont="1" applyBorder="1" applyAlignment="1">
      <alignment vertical="top" wrapText="1"/>
    </xf>
    <xf numFmtId="0" fontId="27" fillId="0" borderId="36" xfId="0" applyFont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1" fontId="28" fillId="0" borderId="11" xfId="0" applyNumberFormat="1" applyFont="1" applyBorder="1" applyAlignment="1">
      <alignment horizontal="center"/>
    </xf>
    <xf numFmtId="0" fontId="0" fillId="3" borderId="3" xfId="0" applyFill="1" applyBorder="1"/>
    <xf numFmtId="0" fontId="3" fillId="0" borderId="29" xfId="0" applyFont="1" applyBorder="1"/>
    <xf numFmtId="0" fontId="12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23" xfId="0" applyFont="1" applyBorder="1"/>
    <xf numFmtId="175" fontId="0" fillId="0" borderId="3" xfId="0" applyNumberFormat="1" applyBorder="1"/>
    <xf numFmtId="0" fontId="5" fillId="0" borderId="29" xfId="0" applyFont="1" applyBorder="1"/>
    <xf numFmtId="0" fontId="5" fillId="0" borderId="10" xfId="0" applyFont="1" applyBorder="1" applyAlignment="1">
      <alignment horizontal="center"/>
    </xf>
    <xf numFmtId="0" fontId="0" fillId="0" borderId="37" xfId="0" applyBorder="1"/>
    <xf numFmtId="175" fontId="0" fillId="0" borderId="5" xfId="0" applyNumberFormat="1" applyBorder="1"/>
    <xf numFmtId="0" fontId="35" fillId="0" borderId="0" xfId="0" applyFont="1" applyBorder="1" applyAlignment="1">
      <alignment horizontal="right"/>
    </xf>
    <xf numFmtId="0" fontId="35" fillId="0" borderId="0" xfId="0" applyFont="1" applyBorder="1"/>
    <xf numFmtId="0" fontId="35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19" fillId="0" borderId="20" xfId="0" applyFont="1" applyBorder="1"/>
    <xf numFmtId="0" fontId="34" fillId="0" borderId="21" xfId="0" applyFont="1" applyBorder="1" applyAlignment="1">
      <alignment horizontal="center" wrapText="1"/>
    </xf>
    <xf numFmtId="0" fontId="34" fillId="0" borderId="21" xfId="0" applyFont="1" applyBorder="1" applyAlignment="1">
      <alignment horizontal="right"/>
    </xf>
    <xf numFmtId="0" fontId="34" fillId="0" borderId="21" xfId="0" applyFont="1" applyBorder="1"/>
    <xf numFmtId="0" fontId="34" fillId="0" borderId="22" xfId="0" applyFont="1" applyBorder="1" applyAlignment="1">
      <alignment horizontal="right"/>
    </xf>
    <xf numFmtId="0" fontId="34" fillId="0" borderId="38" xfId="0" applyFont="1" applyBorder="1"/>
    <xf numFmtId="0" fontId="34" fillId="0" borderId="22" xfId="0" applyFont="1" applyBorder="1"/>
    <xf numFmtId="0" fontId="34" fillId="0" borderId="22" xfId="0" applyFont="1" applyBorder="1" applyAlignment="1">
      <alignment horizontal="center" wrapText="1"/>
    </xf>
    <xf numFmtId="0" fontId="35" fillId="0" borderId="3" xfId="0" applyFont="1" applyBorder="1"/>
    <xf numFmtId="0" fontId="35" fillId="5" borderId="3" xfId="0" applyFont="1" applyFill="1" applyBorder="1" applyAlignment="1">
      <alignment horizontal="right"/>
    </xf>
    <xf numFmtId="1" fontId="35" fillId="5" borderId="3" xfId="0" applyNumberFormat="1" applyFont="1" applyFill="1" applyBorder="1" applyAlignment="1">
      <alignment horizontal="right"/>
    </xf>
    <xf numFmtId="1" fontId="35" fillId="5" borderId="3" xfId="0" applyNumberFormat="1" applyFont="1" applyFill="1" applyBorder="1"/>
    <xf numFmtId="0" fontId="35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right"/>
    </xf>
    <xf numFmtId="1" fontId="35" fillId="0" borderId="3" xfId="0" applyNumberFormat="1" applyFont="1" applyBorder="1"/>
    <xf numFmtId="1" fontId="35" fillId="0" borderId="3" xfId="0" applyNumberFormat="1" applyFont="1" applyBorder="1" applyAlignment="1">
      <alignment horizontal="right"/>
    </xf>
    <xf numFmtId="0" fontId="35" fillId="0" borderId="29" xfId="0" applyFont="1" applyBorder="1"/>
    <xf numFmtId="1" fontId="35" fillId="0" borderId="10" xfId="0" applyNumberFormat="1" applyFont="1" applyBorder="1" applyAlignment="1">
      <alignment horizontal="center" wrapText="1"/>
    </xf>
    <xf numFmtId="0" fontId="35" fillId="0" borderId="30" xfId="0" applyFont="1" applyBorder="1"/>
    <xf numFmtId="0" fontId="35" fillId="0" borderId="6" xfId="0" applyFont="1" applyBorder="1" applyAlignment="1">
      <alignment horizontal="center" wrapText="1"/>
    </xf>
    <xf numFmtId="0" fontId="35" fillId="0" borderId="6" xfId="0" applyFont="1" applyBorder="1" applyAlignment="1">
      <alignment horizontal="right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0" xfId="2" applyFont="1" applyBorder="1" applyAlignment="1" applyProtection="1">
      <alignment horizontal="center"/>
    </xf>
    <xf numFmtId="0" fontId="36" fillId="0" borderId="0" xfId="0" applyFont="1" applyFill="1" applyBorder="1"/>
    <xf numFmtId="3" fontId="36" fillId="0" borderId="0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27" fillId="0" borderId="0" xfId="0" applyFont="1" applyFill="1" applyBorder="1"/>
    <xf numFmtId="2" fontId="36" fillId="0" borderId="0" xfId="0" applyNumberFormat="1" applyFont="1" applyFill="1" applyBorder="1" applyAlignment="1">
      <alignment horizontal="right"/>
    </xf>
    <xf numFmtId="17" fontId="36" fillId="0" borderId="0" xfId="0" applyNumberFormat="1" applyFont="1" applyFill="1" applyBorder="1"/>
    <xf numFmtId="197" fontId="36" fillId="0" borderId="0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98" fontId="0" fillId="0" borderId="0" xfId="0" applyNumberFormat="1" applyFill="1" applyBorder="1"/>
    <xf numFmtId="0" fontId="5" fillId="0" borderId="2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/>
    </xf>
    <xf numFmtId="175" fontId="0" fillId="0" borderId="22" xfId="0" applyNumberFormat="1" applyBorder="1"/>
    <xf numFmtId="0" fontId="16" fillId="3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" fontId="0" fillId="3" borderId="3" xfId="0" applyNumberFormat="1" applyFill="1" applyBorder="1"/>
    <xf numFmtId="0" fontId="19" fillId="0" borderId="23" xfId="0" applyFont="1" applyBorder="1"/>
    <xf numFmtId="0" fontId="19" fillId="0" borderId="25" xfId="0" applyFont="1" applyBorder="1"/>
    <xf numFmtId="0" fontId="33" fillId="0" borderId="25" xfId="0" applyFont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0" fillId="0" borderId="41" xfId="0" applyBorder="1"/>
    <xf numFmtId="0" fontId="0" fillId="3" borderId="42" xfId="0" applyFill="1" applyBorder="1"/>
    <xf numFmtId="2" fontId="0" fillId="0" borderId="42" xfId="0" applyNumberFormat="1" applyBorder="1"/>
    <xf numFmtId="1" fontId="35" fillId="0" borderId="0" xfId="0" applyNumberFormat="1" applyFont="1" applyBorder="1"/>
    <xf numFmtId="2" fontId="0" fillId="0" borderId="22" xfId="0" applyNumberFormat="1" applyBorder="1"/>
    <xf numFmtId="2" fontId="0" fillId="0" borderId="12" xfId="0" applyNumberFormat="1" applyBorder="1"/>
    <xf numFmtId="2" fontId="0" fillId="0" borderId="2" xfId="0" applyNumberFormat="1" applyBorder="1"/>
    <xf numFmtId="2" fontId="33" fillId="0" borderId="2" xfId="0" applyNumberFormat="1" applyFont="1" applyBorder="1" applyAlignment="1">
      <alignment horizontal="right"/>
    </xf>
    <xf numFmtId="0" fontId="5" fillId="0" borderId="32" xfId="0" applyFont="1" applyBorder="1"/>
    <xf numFmtId="1" fontId="5" fillId="0" borderId="27" xfId="0" applyNumberFormat="1" applyFont="1" applyBorder="1"/>
    <xf numFmtId="190" fontId="0" fillId="0" borderId="0" xfId="0" applyNumberFormat="1" applyBorder="1"/>
    <xf numFmtId="0" fontId="0" fillId="3" borderId="23" xfId="0" applyFill="1" applyBorder="1"/>
    <xf numFmtId="9" fontId="0" fillId="3" borderId="0" xfId="5" applyFont="1" applyFill="1" applyBorder="1"/>
    <xf numFmtId="0" fontId="3" fillId="0" borderId="0" xfId="0" applyFont="1" applyBorder="1"/>
    <xf numFmtId="1" fontId="0" fillId="3" borderId="0" xfId="0" applyNumberFormat="1" applyFill="1" applyBorder="1"/>
    <xf numFmtId="0" fontId="5" fillId="0" borderId="0" xfId="0" applyFont="1" applyFill="1" applyBorder="1"/>
    <xf numFmtId="0" fontId="39" fillId="0" borderId="0" xfId="0" applyFont="1" applyFill="1" applyBorder="1" applyAlignment="1">
      <alignment horizontal="justify" vertical="top" wrapText="1"/>
    </xf>
    <xf numFmtId="0" fontId="40" fillId="0" borderId="0" xfId="0" applyFont="1" applyFill="1" applyBorder="1" applyAlignment="1">
      <alignment horizontal="justify" vertical="top" wrapText="1"/>
    </xf>
    <xf numFmtId="0" fontId="41" fillId="0" borderId="0" xfId="0" applyFont="1" applyFill="1" applyBorder="1" applyAlignment="1">
      <alignment horizontal="justify" vertical="top" wrapText="1"/>
    </xf>
    <xf numFmtId="0" fontId="42" fillId="0" borderId="0" xfId="0" applyFont="1" applyFill="1" applyBorder="1" applyAlignment="1">
      <alignment horizontal="justify" vertical="top" wrapText="1"/>
    </xf>
    <xf numFmtId="0" fontId="43" fillId="0" borderId="0" xfId="0" applyFont="1" applyBorder="1"/>
    <xf numFmtId="0" fontId="5" fillId="0" borderId="3" xfId="0" applyFont="1" applyFill="1" applyBorder="1" applyAlignment="1">
      <alignment horizontal="center"/>
    </xf>
    <xf numFmtId="9" fontId="0" fillId="0" borderId="3" xfId="5" applyFont="1" applyBorder="1"/>
    <xf numFmtId="0" fontId="0" fillId="0" borderId="19" xfId="0" applyBorder="1"/>
    <xf numFmtId="0" fontId="12" fillId="0" borderId="29" xfId="0" applyFont="1" applyBorder="1" applyAlignment="1">
      <alignment horizontal="center"/>
    </xf>
    <xf numFmtId="9" fontId="0" fillId="0" borderId="6" xfId="0" applyNumberFormat="1" applyBorder="1"/>
    <xf numFmtId="0" fontId="33" fillId="0" borderId="0" xfId="0" applyFont="1" applyBorder="1" applyAlignment="1">
      <alignment horizontal="center"/>
    </xf>
    <xf numFmtId="10" fontId="0" fillId="0" borderId="0" xfId="0" applyNumberFormat="1"/>
    <xf numFmtId="10" fontId="44" fillId="3" borderId="3" xfId="5" applyNumberFormat="1" applyFont="1" applyFill="1" applyBorder="1"/>
    <xf numFmtId="0" fontId="0" fillId="6" borderId="0" xfId="0" applyFill="1" applyBorder="1"/>
    <xf numFmtId="0" fontId="53" fillId="6" borderId="0" xfId="0" applyFont="1" applyFill="1"/>
    <xf numFmtId="0" fontId="16" fillId="0" borderId="0" xfId="0" applyFont="1"/>
    <xf numFmtId="0" fontId="16" fillId="0" borderId="37" xfId="0" applyFont="1" applyBorder="1"/>
    <xf numFmtId="199" fontId="0" fillId="0" borderId="3" xfId="0" applyNumberFormat="1" applyBorder="1"/>
    <xf numFmtId="199" fontId="0" fillId="0" borderId="10" xfId="0" applyNumberFormat="1" applyBorder="1"/>
    <xf numFmtId="0" fontId="5" fillId="0" borderId="6" xfId="0" applyFont="1" applyBorder="1"/>
    <xf numFmtId="0" fontId="16" fillId="0" borderId="29" xfId="0" applyFont="1" applyBorder="1"/>
    <xf numFmtId="175" fontId="0" fillId="0" borderId="6" xfId="0" applyNumberFormat="1" applyBorder="1"/>
    <xf numFmtId="0" fontId="0" fillId="0" borderId="0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0" fillId="3" borderId="29" xfId="0" applyFill="1" applyBorder="1"/>
    <xf numFmtId="0" fontId="16" fillId="3" borderId="29" xfId="0" applyFont="1" applyFill="1" applyBorder="1"/>
    <xf numFmtId="0" fontId="5" fillId="0" borderId="4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6" fillId="0" borderId="0" xfId="0" applyFont="1" applyBorder="1" applyAlignment="1">
      <alignment vertical="justify" wrapText="1"/>
    </xf>
    <xf numFmtId="0" fontId="16" fillId="0" borderId="0" xfId="0" applyFont="1" applyBorder="1" applyAlignment="1">
      <alignment horizontal="left" wrapText="1"/>
    </xf>
    <xf numFmtId="0" fontId="47" fillId="0" borderId="0" xfId="0" applyFont="1" applyBorder="1" applyAlignment="1">
      <alignment vertical="justify" wrapText="1"/>
    </xf>
    <xf numFmtId="200" fontId="16" fillId="0" borderId="0" xfId="0" applyNumberFormat="1" applyFont="1" applyBorder="1"/>
    <xf numFmtId="0" fontId="5" fillId="0" borderId="0" xfId="0" applyFont="1" applyBorder="1" applyAlignment="1">
      <alignment horizontal="center" vertical="justify" wrapText="1"/>
    </xf>
    <xf numFmtId="0" fontId="48" fillId="0" borderId="0" xfId="0" applyFont="1" applyBorder="1" applyAlignment="1">
      <alignment vertical="justify" wrapText="1"/>
    </xf>
    <xf numFmtId="0" fontId="16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9" xfId="0" applyFont="1" applyBorder="1" applyAlignment="1"/>
    <xf numFmtId="0" fontId="7" fillId="0" borderId="29" xfId="0" applyFont="1" applyBorder="1"/>
    <xf numFmtId="2" fontId="6" fillId="0" borderId="10" xfId="0" applyNumberFormat="1" applyFont="1" applyBorder="1"/>
    <xf numFmtId="2" fontId="7" fillId="0" borderId="10" xfId="0" applyNumberFormat="1" applyFont="1" applyBorder="1" applyAlignment="1">
      <alignment horizontal="right"/>
    </xf>
    <xf numFmtId="2" fontId="7" fillId="0" borderId="10" xfId="0" applyNumberFormat="1" applyFont="1" applyFill="1" applyBorder="1" applyAlignment="1">
      <alignment horizontal="right"/>
    </xf>
    <xf numFmtId="0" fontId="7" fillId="0" borderId="43" xfId="0" applyFont="1" applyBorder="1"/>
    <xf numFmtId="2" fontId="6" fillId="0" borderId="18" xfId="0" applyNumberFormat="1" applyFont="1" applyBorder="1"/>
    <xf numFmtId="0" fontId="6" fillId="0" borderId="11" xfId="0" applyFont="1" applyBorder="1"/>
    <xf numFmtId="0" fontId="7" fillId="0" borderId="37" xfId="0" applyFont="1" applyBorder="1"/>
    <xf numFmtId="2" fontId="7" fillId="0" borderId="24" xfId="0" applyNumberFormat="1" applyFont="1" applyFill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5" fillId="0" borderId="44" xfId="0" applyFont="1" applyBorder="1" applyAlignment="1">
      <alignment vertical="justify" wrapText="1"/>
    </xf>
    <xf numFmtId="0" fontId="5" fillId="0" borderId="44" xfId="0" applyFont="1" applyFill="1" applyBorder="1"/>
    <xf numFmtId="2" fontId="5" fillId="0" borderId="27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201" fontId="6" fillId="0" borderId="2" xfId="0" applyNumberFormat="1" applyFont="1" applyBorder="1" applyAlignment="1">
      <alignment horizontal="right"/>
    </xf>
    <xf numFmtId="0" fontId="5" fillId="0" borderId="45" xfId="0" applyFont="1" applyBorder="1" applyAlignment="1">
      <alignment horizontal="center"/>
    </xf>
    <xf numFmtId="201" fontId="16" fillId="0" borderId="46" xfId="0" applyNumberFormat="1" applyFont="1" applyBorder="1"/>
    <xf numFmtId="200" fontId="16" fillId="0" borderId="46" xfId="0" applyNumberFormat="1" applyFont="1" applyBorder="1"/>
    <xf numFmtId="0" fontId="5" fillId="0" borderId="47" xfId="0" applyFont="1" applyBorder="1" applyAlignment="1">
      <alignment vertical="justify" wrapText="1"/>
    </xf>
    <xf numFmtId="0" fontId="16" fillId="0" borderId="48" xfId="0" applyFont="1" applyBorder="1" applyAlignment="1">
      <alignment vertical="justify" wrapText="1"/>
    </xf>
    <xf numFmtId="0" fontId="49" fillId="0" borderId="0" xfId="0" applyFont="1"/>
    <xf numFmtId="1" fontId="35" fillId="5" borderId="49" xfId="0" applyNumberFormat="1" applyFont="1" applyFill="1" applyBorder="1"/>
    <xf numFmtId="0" fontId="16" fillId="0" borderId="30" xfId="0" applyFont="1" applyBorder="1"/>
    <xf numFmtId="10" fontId="0" fillId="0" borderId="0" xfId="0" applyNumberFormat="1" applyBorder="1"/>
    <xf numFmtId="10" fontId="0" fillId="0" borderId="0" xfId="0" applyNumberFormat="1" applyBorder="1" applyAlignment="1">
      <alignment horizontal="left"/>
    </xf>
    <xf numFmtId="0" fontId="16" fillId="0" borderId="0" xfId="0" applyFont="1" applyBorder="1" applyAlignment="1">
      <alignment horizontal="left"/>
    </xf>
    <xf numFmtId="1" fontId="15" fillId="0" borderId="0" xfId="0" applyNumberFormat="1" applyFont="1" applyBorder="1"/>
    <xf numFmtId="9" fontId="0" fillId="0" borderId="0" xfId="0" applyNumberFormat="1"/>
    <xf numFmtId="1" fontId="16" fillId="3" borderId="0" xfId="0" applyNumberFormat="1" applyFont="1" applyFill="1" applyBorder="1"/>
    <xf numFmtId="10" fontId="0" fillId="3" borderId="0" xfId="0" applyNumberFormat="1" applyFill="1"/>
    <xf numFmtId="0" fontId="50" fillId="0" borderId="0" xfId="0" applyFont="1"/>
    <xf numFmtId="0" fontId="16" fillId="0" borderId="0" xfId="0" applyFont="1" applyFill="1" applyBorder="1"/>
    <xf numFmtId="0" fontId="5" fillId="0" borderId="0" xfId="0" applyFont="1" applyAlignment="1">
      <alignment horizontal="center" vertical="justify" wrapText="1"/>
    </xf>
    <xf numFmtId="0" fontId="19" fillId="0" borderId="0" xfId="0" applyFont="1" applyFill="1" applyBorder="1"/>
    <xf numFmtId="1" fontId="0" fillId="0" borderId="0" xfId="0" applyNumberFormat="1" applyFill="1" applyBorder="1"/>
    <xf numFmtId="0" fontId="33" fillId="0" borderId="0" xfId="0" applyFont="1" applyFill="1" applyBorder="1"/>
    <xf numFmtId="1" fontId="33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vertical="center" wrapText="1"/>
    </xf>
    <xf numFmtId="0" fontId="35" fillId="7" borderId="3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54" fillId="0" borderId="0" xfId="0" applyFont="1"/>
    <xf numFmtId="0" fontId="12" fillId="0" borderId="0" xfId="0" applyFont="1" applyFill="1" applyBorder="1"/>
    <xf numFmtId="2" fontId="0" fillId="0" borderId="0" xfId="0" applyNumberFormat="1" applyFill="1" applyBorder="1"/>
    <xf numFmtId="196" fontId="0" fillId="0" borderId="0" xfId="0" applyNumberFormat="1" applyFill="1" applyBorder="1"/>
    <xf numFmtId="0" fontId="0" fillId="0" borderId="0" xfId="5" applyNumberFormat="1" applyFont="1" applyFill="1" applyBorder="1"/>
    <xf numFmtId="2" fontId="16" fillId="0" borderId="0" xfId="0" applyNumberFormat="1" applyFont="1" applyFill="1" applyBorder="1"/>
    <xf numFmtId="0" fontId="16" fillId="0" borderId="3" xfId="0" applyFont="1" applyBorder="1"/>
    <xf numFmtId="2" fontId="0" fillId="0" borderId="0" xfId="5" applyNumberFormat="1" applyFont="1" applyFill="1" applyBorder="1"/>
    <xf numFmtId="196" fontId="0" fillId="0" borderId="0" xfId="5" applyNumberFormat="1" applyFont="1" applyFill="1" applyBorder="1"/>
    <xf numFmtId="0" fontId="5" fillId="0" borderId="9" xfId="0" applyFont="1" applyFill="1" applyBorder="1"/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94" fontId="0" fillId="0" borderId="0" xfId="0" applyNumberFormat="1" applyFill="1" applyBorder="1"/>
    <xf numFmtId="195" fontId="16" fillId="0" borderId="0" xfId="0" applyNumberFormat="1" applyFont="1" applyFill="1" applyBorder="1"/>
    <xf numFmtId="2" fontId="16" fillId="0" borderId="0" xfId="0" applyNumberFormat="1" applyFont="1"/>
    <xf numFmtId="1" fontId="16" fillId="0" borderId="0" xfId="0" applyNumberFormat="1" applyFont="1"/>
    <xf numFmtId="0" fontId="5" fillId="0" borderId="0" xfId="0" applyFont="1" applyAlignment="1">
      <alignment horizontal="left"/>
    </xf>
    <xf numFmtId="0" fontId="5" fillId="7" borderId="0" xfId="0" applyFont="1" applyFill="1" applyBorder="1" applyAlignment="1">
      <alignment horizontal="center" vertical="justify" wrapText="1"/>
    </xf>
    <xf numFmtId="1" fontId="0" fillId="0" borderId="21" xfId="0" applyNumberFormat="1" applyBorder="1"/>
    <xf numFmtId="1" fontId="33" fillId="0" borderId="26" xfId="0" applyNumberFormat="1" applyFont="1" applyBorder="1" applyAlignment="1">
      <alignment horizontal="right"/>
    </xf>
    <xf numFmtId="0" fontId="0" fillId="0" borderId="48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5" fillId="0" borderId="57" xfId="0" applyFont="1" applyBorder="1" applyAlignment="1">
      <alignment horizontal="center"/>
    </xf>
    <xf numFmtId="0" fontId="5" fillId="7" borderId="19" xfId="0" applyFont="1" applyFill="1" applyBorder="1" applyAlignment="1">
      <alignment horizontal="center" vertical="justify" wrapText="1"/>
    </xf>
    <xf numFmtId="0" fontId="5" fillId="7" borderId="8" xfId="0" applyFont="1" applyFill="1" applyBorder="1" applyAlignment="1">
      <alignment horizontal="center" vertical="justify" wrapText="1"/>
    </xf>
    <xf numFmtId="0" fontId="5" fillId="7" borderId="9" xfId="0" applyFont="1" applyFill="1" applyBorder="1" applyAlignment="1">
      <alignment horizontal="center" vertical="justify" wrapText="1"/>
    </xf>
    <xf numFmtId="1" fontId="35" fillId="0" borderId="6" xfId="0" applyNumberFormat="1" applyFont="1" applyBorder="1" applyAlignment="1">
      <alignment horizontal="right"/>
    </xf>
    <xf numFmtId="0" fontId="52" fillId="0" borderId="3" xfId="0" applyFont="1" applyBorder="1"/>
    <xf numFmtId="0" fontId="7" fillId="0" borderId="3" xfId="0" applyFont="1" applyBorder="1"/>
    <xf numFmtId="0" fontId="52" fillId="3" borderId="3" xfId="0" applyFont="1" applyFill="1" applyBorder="1"/>
    <xf numFmtId="0" fontId="5" fillId="0" borderId="26" xfId="0" applyFont="1" applyBorder="1" applyAlignment="1"/>
    <xf numFmtId="0" fontId="0" fillId="3" borderId="49" xfId="0" applyFill="1" applyBorder="1"/>
    <xf numFmtId="0" fontId="33" fillId="0" borderId="4" xfId="0" applyFont="1" applyBorder="1"/>
    <xf numFmtId="0" fontId="5" fillId="0" borderId="58" xfId="0" applyFont="1" applyBorder="1" applyAlignment="1">
      <alignment horizontal="center"/>
    </xf>
    <xf numFmtId="0" fontId="0" fillId="0" borderId="49" xfId="0" applyBorder="1"/>
    <xf numFmtId="0" fontId="0" fillId="0" borderId="59" xfId="0" applyBorder="1" applyAlignment="1">
      <alignment horizontal="center"/>
    </xf>
    <xf numFmtId="0" fontId="5" fillId="0" borderId="57" xfId="0" applyFont="1" applyBorder="1"/>
    <xf numFmtId="0" fontId="3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00" fontId="0" fillId="0" borderId="0" xfId="0" applyNumberFormat="1" applyBorder="1"/>
    <xf numFmtId="0" fontId="0" fillId="8" borderId="6" xfId="0" applyFill="1" applyBorder="1"/>
    <xf numFmtId="1" fontId="34" fillId="8" borderId="11" xfId="0" applyNumberFormat="1" applyFont="1" applyFill="1" applyBorder="1" applyAlignment="1">
      <alignment horizontal="center" wrapText="1"/>
    </xf>
    <xf numFmtId="0" fontId="0" fillId="8" borderId="3" xfId="0" applyFill="1" applyBorder="1" applyAlignment="1">
      <alignment horizontal="right"/>
    </xf>
    <xf numFmtId="0" fontId="0" fillId="8" borderId="0" xfId="0" applyFill="1" applyBorder="1"/>
    <xf numFmtId="0" fontId="0" fillId="8" borderId="57" xfId="0" applyFill="1" applyBorder="1" applyAlignment="1">
      <alignment horizontal="center"/>
    </xf>
    <xf numFmtId="196" fontId="0" fillId="0" borderId="3" xfId="0" applyNumberFormat="1" applyBorder="1"/>
    <xf numFmtId="2" fontId="1" fillId="0" borderId="3" xfId="0" applyNumberFormat="1" applyFont="1" applyFill="1" applyBorder="1"/>
    <xf numFmtId="2" fontId="0" fillId="9" borderId="3" xfId="0" applyNumberFormat="1" applyFill="1" applyBorder="1"/>
    <xf numFmtId="2" fontId="0" fillId="8" borderId="11" xfId="0" applyNumberFormat="1" applyFill="1" applyBorder="1"/>
    <xf numFmtId="0" fontId="5" fillId="10" borderId="19" xfId="0" applyFont="1" applyFill="1" applyBorder="1"/>
    <xf numFmtId="0" fontId="0" fillId="10" borderId="8" xfId="0" applyFill="1" applyBorder="1"/>
    <xf numFmtId="0" fontId="5" fillId="10" borderId="8" xfId="0" applyFont="1" applyFill="1" applyBorder="1"/>
    <xf numFmtId="0" fontId="0" fillId="10" borderId="9" xfId="0" applyFill="1" applyBorder="1"/>
    <xf numFmtId="185" fontId="5" fillId="3" borderId="10" xfId="0" applyNumberFormat="1" applyFont="1" applyFill="1" applyBorder="1"/>
    <xf numFmtId="185" fontId="0" fillId="0" borderId="10" xfId="0" applyNumberFormat="1" applyBorder="1"/>
    <xf numFmtId="185" fontId="5" fillId="0" borderId="10" xfId="0" applyNumberFormat="1" applyFont="1" applyBorder="1"/>
    <xf numFmtId="0" fontId="0" fillId="0" borderId="60" xfId="0" applyFill="1" applyBorder="1"/>
    <xf numFmtId="0" fontId="5" fillId="0" borderId="29" xfId="0" applyFont="1" applyFill="1" applyBorder="1"/>
    <xf numFmtId="0" fontId="0" fillId="0" borderId="29" xfId="0" applyFill="1" applyBorder="1"/>
    <xf numFmtId="185" fontId="5" fillId="2" borderId="6" xfId="0" applyNumberFormat="1" applyFont="1" applyFill="1" applyBorder="1"/>
    <xf numFmtId="185" fontId="5" fillId="2" borderId="11" xfId="0" applyNumberFormat="1" applyFont="1" applyFill="1" applyBorder="1"/>
    <xf numFmtId="0" fontId="29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1" fontId="28" fillId="0" borderId="0" xfId="0" applyNumberFormat="1" applyFont="1" applyFill="1" applyBorder="1"/>
    <xf numFmtId="1" fontId="28" fillId="0" borderId="0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2" fillId="0" borderId="0" xfId="0" applyFont="1" applyBorder="1" applyAlignment="1"/>
    <xf numFmtId="0" fontId="5" fillId="0" borderId="3" xfId="0" applyFont="1" applyBorder="1" applyAlignment="1">
      <alignment horizontal="center" wrapText="1"/>
    </xf>
    <xf numFmtId="0" fontId="0" fillId="4" borderId="3" xfId="0" applyFill="1" applyBorder="1"/>
    <xf numFmtId="0" fontId="0" fillId="0" borderId="3" xfId="0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29" xfId="0" applyFont="1" applyBorder="1" applyAlignment="1">
      <alignment horizontal="left" wrapText="1"/>
    </xf>
    <xf numFmtId="2" fontId="0" fillId="0" borderId="10" xfId="0" applyNumberFormat="1" applyBorder="1"/>
    <xf numFmtId="0" fontId="17" fillId="0" borderId="30" xfId="0" applyFont="1" applyBorder="1"/>
    <xf numFmtId="2" fontId="55" fillId="0" borderId="6" xfId="0" applyNumberFormat="1" applyFont="1" applyFill="1" applyBorder="1"/>
    <xf numFmtId="2" fontId="55" fillId="0" borderId="11" xfId="0" applyNumberFormat="1" applyFont="1" applyFill="1" applyBorder="1"/>
    <xf numFmtId="2" fontId="5" fillId="0" borderId="3" xfId="0" applyNumberFormat="1" applyFont="1" applyBorder="1"/>
    <xf numFmtId="0" fontId="5" fillId="11" borderId="3" xfId="0" applyFont="1" applyFill="1" applyBorder="1"/>
    <xf numFmtId="2" fontId="5" fillId="11" borderId="3" xfId="0" applyNumberFormat="1" applyFont="1" applyFill="1" applyBorder="1"/>
    <xf numFmtId="0" fontId="3" fillId="0" borderId="23" xfId="0" applyFont="1" applyFill="1" applyBorder="1"/>
    <xf numFmtId="0" fontId="0" fillId="0" borderId="26" xfId="0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30" fillId="0" borderId="0" xfId="0" applyFont="1" applyFill="1" applyBorder="1"/>
    <xf numFmtId="0" fontId="30" fillId="0" borderId="12" xfId="0" applyFont="1" applyFill="1" applyBorder="1"/>
    <xf numFmtId="0" fontId="5" fillId="0" borderId="2" xfId="0" applyFont="1" applyFill="1" applyBorder="1"/>
    <xf numFmtId="2" fontId="16" fillId="0" borderId="3" xfId="0" applyNumberFormat="1" applyFont="1" applyBorder="1"/>
    <xf numFmtId="0" fontId="16" fillId="11" borderId="3" xfId="0" applyFont="1" applyFill="1" applyBorder="1"/>
    <xf numFmtId="0" fontId="0" fillId="11" borderId="3" xfId="0" applyFill="1" applyBorder="1"/>
    <xf numFmtId="0" fontId="16" fillId="4" borderId="3" xfId="0" applyFont="1" applyFill="1" applyBorder="1"/>
    <xf numFmtId="2" fontId="5" fillId="4" borderId="3" xfId="0" applyNumberFormat="1" applyFont="1" applyFill="1" applyBorder="1"/>
    <xf numFmtId="0" fontId="16" fillId="12" borderId="3" xfId="0" applyFont="1" applyFill="1" applyBorder="1"/>
    <xf numFmtId="2" fontId="0" fillId="12" borderId="3" xfId="0" applyNumberFormat="1" applyFill="1" applyBorder="1"/>
    <xf numFmtId="10" fontId="5" fillId="0" borderId="3" xfId="5" applyNumberFormat="1" applyFont="1" applyBorder="1"/>
    <xf numFmtId="205" fontId="5" fillId="0" borderId="3" xfId="0" applyNumberFormat="1" applyFont="1" applyBorder="1" applyAlignment="1">
      <alignment horizontal="right"/>
    </xf>
    <xf numFmtId="185" fontId="0" fillId="0" borderId="0" xfId="0" applyNumberFormat="1"/>
    <xf numFmtId="0" fontId="16" fillId="13" borderId="3" xfId="0" applyFont="1" applyFill="1" applyBorder="1"/>
    <xf numFmtId="0" fontId="0" fillId="13" borderId="3" xfId="0" applyFill="1" applyBorder="1"/>
    <xf numFmtId="2" fontId="5" fillId="13" borderId="3" xfId="0" applyNumberFormat="1" applyFont="1" applyFill="1" applyBorder="1"/>
    <xf numFmtId="0" fontId="16" fillId="8" borderId="3" xfId="0" applyFont="1" applyFill="1" applyBorder="1"/>
    <xf numFmtId="0" fontId="0" fillId="8" borderId="3" xfId="0" applyFill="1" applyBorder="1"/>
    <xf numFmtId="2" fontId="5" fillId="8" borderId="3" xfId="0" applyNumberFormat="1" applyFont="1" applyFill="1" applyBorder="1"/>
    <xf numFmtId="2" fontId="0" fillId="11" borderId="3" xfId="0" applyNumberFormat="1" applyFill="1" applyBorder="1"/>
    <xf numFmtId="0" fontId="5" fillId="0" borderId="31" xfId="0" applyFont="1" applyFill="1" applyBorder="1"/>
    <xf numFmtId="2" fontId="17" fillId="14" borderId="3" xfId="0" applyNumberFormat="1" applyFont="1" applyFill="1" applyBorder="1"/>
    <xf numFmtId="206" fontId="0" fillId="0" borderId="3" xfId="5" applyNumberFormat="1" applyFont="1" applyBorder="1"/>
    <xf numFmtId="207" fontId="0" fillId="0" borderId="3" xfId="5" applyNumberFormat="1" applyFont="1" applyBorder="1"/>
    <xf numFmtId="208" fontId="0" fillId="0" borderId="0" xfId="5" applyNumberFormat="1" applyFont="1"/>
    <xf numFmtId="191" fontId="0" fillId="0" borderId="3" xfId="0" applyNumberFormat="1" applyBorder="1"/>
    <xf numFmtId="207" fontId="0" fillId="0" borderId="3" xfId="0" applyNumberFormat="1" applyBorder="1"/>
    <xf numFmtId="0" fontId="56" fillId="2" borderId="3" xfId="0" applyFont="1" applyFill="1" applyBorder="1" applyAlignment="1">
      <alignment horizontal="left"/>
    </xf>
    <xf numFmtId="0" fontId="0" fillId="2" borderId="3" xfId="0" applyFill="1" applyBorder="1"/>
    <xf numFmtId="195" fontId="0" fillId="0" borderId="3" xfId="0" applyNumberFormat="1" applyBorder="1"/>
    <xf numFmtId="195" fontId="0" fillId="0" borderId="49" xfId="0" applyNumberFormat="1" applyBorder="1"/>
    <xf numFmtId="0" fontId="0" fillId="5" borderId="3" xfId="0" applyFill="1" applyBorder="1" applyAlignment="1">
      <alignment horizontal="center"/>
    </xf>
    <xf numFmtId="2" fontId="0" fillId="5" borderId="3" xfId="0" applyNumberFormat="1" applyFill="1" applyBorder="1"/>
    <xf numFmtId="0" fontId="0" fillId="5" borderId="3" xfId="0" applyFill="1" applyBorder="1"/>
    <xf numFmtId="0" fontId="1" fillId="0" borderId="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10" fontId="16" fillId="0" borderId="0" xfId="0" applyNumberFormat="1" applyFont="1"/>
    <xf numFmtId="2" fontId="5" fillId="0" borderId="0" xfId="0" applyNumberFormat="1" applyFont="1"/>
    <xf numFmtId="0" fontId="12" fillId="0" borderId="0" xfId="0" applyFont="1" applyAlignment="1">
      <alignment horizontal="center"/>
    </xf>
    <xf numFmtId="209" fontId="0" fillId="0" borderId="3" xfId="3" applyNumberFormat="1" applyFont="1" applyBorder="1"/>
    <xf numFmtId="0" fontId="59" fillId="0" borderId="0" xfId="0" applyFont="1" applyFill="1" applyBorder="1"/>
    <xf numFmtId="0" fontId="59" fillId="0" borderId="0" xfId="0" applyFont="1" applyFill="1" applyBorder="1" applyAlignment="1"/>
    <xf numFmtId="0" fontId="59" fillId="0" borderId="0" xfId="0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right"/>
    </xf>
    <xf numFmtId="1" fontId="60" fillId="0" borderId="0" xfId="0" applyNumberFormat="1" applyFont="1" applyFill="1" applyBorder="1"/>
    <xf numFmtId="1" fontId="59" fillId="0" borderId="0" xfId="0" applyNumberFormat="1" applyFont="1" applyFill="1" applyBorder="1"/>
    <xf numFmtId="0" fontId="0" fillId="0" borderId="0" xfId="0" applyFill="1"/>
    <xf numFmtId="1" fontId="0" fillId="0" borderId="0" xfId="0" applyNumberFormat="1" applyFill="1"/>
    <xf numFmtId="191" fontId="5" fillId="0" borderId="3" xfId="5" applyNumberFormat="1" applyFont="1" applyBorder="1"/>
    <xf numFmtId="202" fontId="5" fillId="0" borderId="3" xfId="5" applyNumberFormat="1" applyFont="1" applyBorder="1"/>
    <xf numFmtId="0" fontId="0" fillId="15" borderId="3" xfId="0" applyFill="1" applyBorder="1" applyAlignment="1">
      <alignment horizontal="center"/>
    </xf>
    <xf numFmtId="2" fontId="0" fillId="15" borderId="3" xfId="0" applyNumberFormat="1" applyFill="1" applyBorder="1"/>
    <xf numFmtId="2" fontId="1" fillId="15" borderId="3" xfId="0" applyNumberFormat="1" applyFont="1" applyFill="1" applyBorder="1"/>
    <xf numFmtId="0" fontId="0" fillId="15" borderId="3" xfId="0" applyFill="1" applyBorder="1"/>
    <xf numFmtId="0" fontId="61" fillId="0" borderId="0" xfId="0" applyFont="1"/>
    <xf numFmtId="0" fontId="62" fillId="0" borderId="23" xfId="0" applyFont="1" applyBorder="1"/>
    <xf numFmtId="0" fontId="63" fillId="0" borderId="0" xfId="0" applyFont="1"/>
    <xf numFmtId="0" fontId="0" fillId="0" borderId="0" xfId="0" applyFill="1" applyAlignment="1"/>
    <xf numFmtId="0" fontId="16" fillId="15" borderId="0" xfId="0" applyFont="1" applyFill="1"/>
    <xf numFmtId="211" fontId="0" fillId="0" borderId="0" xfId="0" applyNumberFormat="1" applyFill="1"/>
    <xf numFmtId="9" fontId="0" fillId="15" borderId="0" xfId="0" applyNumberFormat="1" applyFill="1"/>
    <xf numFmtId="10" fontId="0" fillId="0" borderId="0" xfId="0" applyNumberFormat="1" applyFill="1"/>
    <xf numFmtId="8" fontId="0" fillId="0" borderId="0" xfId="0" applyNumberFormat="1"/>
    <xf numFmtId="211" fontId="0" fillId="0" borderId="3" xfId="0" applyNumberForma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0" fontId="5" fillId="0" borderId="13" xfId="5" applyNumberFormat="1" applyFont="1" applyBorder="1"/>
    <xf numFmtId="2" fontId="17" fillId="14" borderId="10" xfId="0" applyNumberFormat="1" applyFont="1" applyFill="1" applyBorder="1"/>
    <xf numFmtId="0" fontId="16" fillId="11" borderId="30" xfId="0" applyFont="1" applyFill="1" applyBorder="1"/>
    <xf numFmtId="2" fontId="0" fillId="11" borderId="6" xfId="0" applyNumberFormat="1" applyFill="1" applyBorder="1"/>
    <xf numFmtId="2" fontId="5" fillId="0" borderId="0" xfId="0" applyNumberFormat="1" applyFont="1" applyFill="1" applyBorder="1"/>
    <xf numFmtId="10" fontId="5" fillId="0" borderId="0" xfId="5" applyNumberFormat="1" applyFont="1" applyFill="1" applyBorder="1"/>
    <xf numFmtId="191" fontId="5" fillId="0" borderId="0" xfId="5" applyNumberFormat="1" applyFont="1" applyFill="1" applyBorder="1"/>
    <xf numFmtId="205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/>
    <xf numFmtId="9" fontId="0" fillId="0" borderId="0" xfId="0" applyNumberFormat="1" applyFill="1" applyBorder="1"/>
    <xf numFmtId="0" fontId="5" fillId="0" borderId="19" xfId="0" applyFont="1" applyFill="1" applyBorder="1"/>
    <xf numFmtId="0" fontId="5" fillId="0" borderId="8" xfId="0" applyFont="1" applyFill="1" applyBorder="1"/>
    <xf numFmtId="9" fontId="0" fillId="0" borderId="29" xfId="0" applyNumberFormat="1" applyFill="1" applyBorder="1"/>
    <xf numFmtId="9" fontId="0" fillId="0" borderId="30" xfId="0" applyNumberFormat="1" applyFill="1" applyBorder="1"/>
    <xf numFmtId="10" fontId="0" fillId="0" borderId="3" xfId="0" applyNumberFormat="1" applyFill="1" applyBorder="1"/>
    <xf numFmtId="0" fontId="16" fillId="0" borderId="20" xfId="0" applyFont="1" applyBorder="1"/>
    <xf numFmtId="2" fontId="5" fillId="0" borderId="26" xfId="0" applyNumberFormat="1" applyFont="1" applyBorder="1"/>
    <xf numFmtId="2" fontId="5" fillId="0" borderId="2" xfId="0" applyNumberFormat="1" applyFont="1" applyBorder="1"/>
    <xf numFmtId="0" fontId="16" fillId="0" borderId="38" xfId="0" applyFont="1" applyBorder="1"/>
    <xf numFmtId="0" fontId="16" fillId="0" borderId="32" xfId="0" applyFont="1" applyBorder="1"/>
    <xf numFmtId="2" fontId="5" fillId="0" borderId="0" xfId="0" applyNumberFormat="1" applyFont="1" applyBorder="1"/>
    <xf numFmtId="9" fontId="16" fillId="3" borderId="57" xfId="0" applyNumberFormat="1" applyFont="1" applyFill="1" applyBorder="1"/>
    <xf numFmtId="0" fontId="5" fillId="3" borderId="32" xfId="0" applyFont="1" applyFill="1" applyBorder="1"/>
    <xf numFmtId="0" fontId="0" fillId="3" borderId="28" xfId="0" applyFill="1" applyBorder="1"/>
    <xf numFmtId="9" fontId="5" fillId="3" borderId="27" xfId="0" applyNumberFormat="1" applyFont="1" applyFill="1" applyBorder="1"/>
    <xf numFmtId="191" fontId="0" fillId="0" borderId="3" xfId="0" applyNumberFormat="1" applyFill="1" applyBorder="1"/>
    <xf numFmtId="210" fontId="5" fillId="0" borderId="3" xfId="5" applyNumberFormat="1" applyFont="1" applyBorder="1"/>
    <xf numFmtId="10" fontId="0" fillId="0" borderId="6" xfId="0" applyNumberFormat="1" applyFill="1" applyBorder="1"/>
    <xf numFmtId="0" fontId="16" fillId="17" borderId="0" xfId="0" applyFont="1" applyFill="1"/>
    <xf numFmtId="9" fontId="0" fillId="17" borderId="0" xfId="0" applyNumberFormat="1" applyFill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66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38" fillId="0" borderId="0" xfId="2" applyFont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justify" wrapText="1"/>
    </xf>
    <xf numFmtId="0" fontId="64" fillId="0" borderId="3" xfId="0" applyFont="1" applyBorder="1" applyAlignment="1">
      <alignment horizontal="center"/>
    </xf>
    <xf numFmtId="0" fontId="0" fillId="0" borderId="3" xfId="0" applyBorder="1" applyAlignment="1">
      <alignment vertical="justify" wrapText="1"/>
    </xf>
    <xf numFmtId="0" fontId="47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5" fillId="0" borderId="6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0" fillId="17" borderId="0" xfId="0" applyFill="1" applyAlignment="1">
      <alignment horizontal="center" wrapText="1" shrinkToFit="1"/>
    </xf>
    <xf numFmtId="0" fontId="0" fillId="16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29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9" fillId="0" borderId="2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justify" wrapText="1"/>
    </xf>
    <xf numFmtId="0" fontId="5" fillId="0" borderId="17" xfId="0" applyFont="1" applyBorder="1" applyAlignment="1">
      <alignment horizontal="center" vertical="justify" wrapText="1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9" xfId="2" applyFont="1" applyBorder="1" applyAlignment="1" applyProtection="1">
      <alignment horizontal="center"/>
    </xf>
    <xf numFmtId="0" fontId="5" fillId="0" borderId="3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19" fillId="0" borderId="0" xfId="0" applyFont="1" applyAlignment="1">
      <alignment vertical="top" wrapText="1"/>
    </xf>
    <xf numFmtId="0" fontId="6" fillId="0" borderId="26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6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0" fillId="0" borderId="2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49" xfId="0" applyFont="1" applyBorder="1" applyAlignment="1">
      <alignment horizontal="left"/>
    </xf>
    <xf numFmtId="0" fontId="0" fillId="0" borderId="62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7" xfId="0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5" fillId="0" borderId="3" xfId="0" applyFont="1" applyBorder="1" applyAlignment="1"/>
    <xf numFmtId="0" fontId="15" fillId="0" borderId="49" xfId="0" applyFont="1" applyBorder="1" applyAlignment="1"/>
    <xf numFmtId="0" fontId="8" fillId="0" borderId="0" xfId="0" applyFont="1" applyBorder="1"/>
    <xf numFmtId="0" fontId="6" fillId="0" borderId="0" xfId="0" applyFont="1" applyBorder="1"/>
    <xf numFmtId="0" fontId="12" fillId="0" borderId="1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68" xfId="0" applyFont="1" applyBorder="1" applyAlignment="1">
      <alignment horizontal="justify" vertical="top" wrapText="1"/>
    </xf>
    <xf numFmtId="0" fontId="5" fillId="0" borderId="69" xfId="0" applyFont="1" applyBorder="1" applyAlignment="1">
      <alignment horizontal="justify" vertical="top" wrapText="1"/>
    </xf>
    <xf numFmtId="0" fontId="5" fillId="0" borderId="70" xfId="0" applyFont="1" applyBorder="1" applyAlignment="1">
      <alignment horizontal="justify" vertical="top" wrapText="1"/>
    </xf>
  </cellXfs>
  <cellStyles count="6">
    <cellStyle name="Euro" xfId="1"/>
    <cellStyle name="Hipervínculo" xfId="2" builtinId="8"/>
    <cellStyle name="Millares" xfId="3" builtinId="3"/>
    <cellStyle name="Moneda" xfId="4" builtinId="4"/>
    <cellStyle name="Normal" xfId="0" builtinId="0"/>
    <cellStyle name="Porcentual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824175824175818E-2"/>
          <c:y val="4.2229729729729729E-2"/>
          <c:w val="0.80219780219780223"/>
          <c:h val="0.83783783783783783"/>
        </c:manualLayout>
      </c:layout>
      <c:barChart>
        <c:barDir val="col"/>
        <c:grouping val="clustered"/>
        <c:ser>
          <c:idx val="0"/>
          <c:order val="0"/>
          <c:tx>
            <c:strRef>
              <c:f>'Analisis Sensibilidad Ingresos'!$J$4</c:f>
              <c:strCache>
                <c:ptCount val="1"/>
                <c:pt idx="0">
                  <c:v>DIFERENCIA</c:v>
                </c:pt>
              </c:strCache>
            </c:strRef>
          </c:tx>
          <c:cat>
            <c:strRef>
              <c:f>'Analisis Sensibilidad Ingresos'!$J$5:$J$12</c:f>
              <c:strCache>
                <c:ptCount val="8"/>
                <c:pt idx="0">
                  <c:v>PRECIO SENSIBILIZADO</c:v>
                </c:pt>
                <c:pt idx="1">
                  <c:v>0</c:v>
                </c:pt>
                <c:pt idx="2">
                  <c:v>Precio Camaron</c:v>
                </c:pt>
                <c:pt idx="3">
                  <c:v>Demanda Camaron</c:v>
                </c:pt>
                <c:pt idx="4">
                  <c:v>Precio Salmon</c:v>
                </c:pt>
                <c:pt idx="5">
                  <c:v>Demanda Salmon</c:v>
                </c:pt>
                <c:pt idx="6">
                  <c:v>Precio Trucha</c:v>
                </c:pt>
                <c:pt idx="7">
                  <c:v>Demanda Trucha</c:v>
                </c:pt>
              </c:strCache>
            </c:strRef>
          </c:cat>
          <c:val>
            <c:numRef>
              <c:f>'Analisis Sensibilidad Ingresos'!$K$5:$K$12</c:f>
              <c:numCache>
                <c:formatCode>General</c:formatCode>
                <c:ptCount val="8"/>
                <c:pt idx="1">
                  <c:v>1</c:v>
                </c:pt>
                <c:pt idx="2">
                  <c:v>2.5722757183408178</c:v>
                </c:pt>
                <c:pt idx="3">
                  <c:v>97768.283859116884</c:v>
                </c:pt>
                <c:pt idx="4">
                  <c:v>2.5690788158573508</c:v>
                </c:pt>
                <c:pt idx="5">
                  <c:v>65178.855906077915</c:v>
                </c:pt>
                <c:pt idx="6">
                  <c:v>2.2636058900172196</c:v>
                </c:pt>
                <c:pt idx="7">
                  <c:v>54315.713255064933</c:v>
                </c:pt>
              </c:numCache>
            </c:numRef>
          </c:val>
        </c:ser>
        <c:ser>
          <c:idx val="1"/>
          <c:order val="1"/>
          <c:tx>
            <c:strRef>
              <c:f>'Analisis Sensibilidad Ingresos'!$K$4</c:f>
              <c:strCache>
                <c:ptCount val="1"/>
              </c:strCache>
            </c:strRef>
          </c:tx>
          <c:cat>
            <c:strRef>
              <c:f>'Analisis Sensibilidad Ingresos'!$J$5:$J$12</c:f>
              <c:strCache>
                <c:ptCount val="8"/>
                <c:pt idx="0">
                  <c:v>PRECIO SENSIBILIZADO</c:v>
                </c:pt>
                <c:pt idx="1">
                  <c:v>0</c:v>
                </c:pt>
                <c:pt idx="2">
                  <c:v>Precio Camaron</c:v>
                </c:pt>
                <c:pt idx="3">
                  <c:v>Demanda Camaron</c:v>
                </c:pt>
                <c:pt idx="4">
                  <c:v>Precio Salmon</c:v>
                </c:pt>
                <c:pt idx="5">
                  <c:v>Demanda Salmon</c:v>
                </c:pt>
                <c:pt idx="6">
                  <c:v>Precio Trucha</c:v>
                </c:pt>
                <c:pt idx="7">
                  <c:v>Demanda Trucha</c:v>
                </c:pt>
              </c:strCache>
            </c:strRef>
          </c:cat>
          <c:val>
            <c:numRef>
              <c:f>'Analisis Sensibilidad Ingresos'!$L$5:$L$12</c:f>
              <c:numCache>
                <c:formatCode>General</c:formatCode>
                <c:ptCount val="8"/>
                <c:pt idx="1">
                  <c:v>2</c:v>
                </c:pt>
                <c:pt idx="2">
                  <c:v>2.5722757183408178</c:v>
                </c:pt>
                <c:pt idx="3">
                  <c:v>100701.33237489035</c:v>
                </c:pt>
                <c:pt idx="4">
                  <c:v>2.5690788158573508</c:v>
                </c:pt>
                <c:pt idx="5">
                  <c:v>67134.221583260223</c:v>
                </c:pt>
                <c:pt idx="6">
                  <c:v>2.2636058900172196</c:v>
                </c:pt>
                <c:pt idx="7">
                  <c:v>55945.18465271686</c:v>
                </c:pt>
              </c:numCache>
            </c:numRef>
          </c:val>
        </c:ser>
        <c:ser>
          <c:idx val="2"/>
          <c:order val="2"/>
          <c:tx>
            <c:strRef>
              <c:f>'Analisis Sensibilidad Ingresos'!$L$4</c:f>
              <c:strCache>
                <c:ptCount val="1"/>
                <c:pt idx="0">
                  <c:v>-11%</c:v>
                </c:pt>
              </c:strCache>
            </c:strRef>
          </c:tx>
          <c:cat>
            <c:strRef>
              <c:f>'Analisis Sensibilidad Ingresos'!$J$5:$J$12</c:f>
              <c:strCache>
                <c:ptCount val="8"/>
                <c:pt idx="0">
                  <c:v>PRECIO SENSIBILIZADO</c:v>
                </c:pt>
                <c:pt idx="1">
                  <c:v>0</c:v>
                </c:pt>
                <c:pt idx="2">
                  <c:v>Precio Camaron</c:v>
                </c:pt>
                <c:pt idx="3">
                  <c:v>Demanda Camaron</c:v>
                </c:pt>
                <c:pt idx="4">
                  <c:v>Precio Salmon</c:v>
                </c:pt>
                <c:pt idx="5">
                  <c:v>Demanda Salmon</c:v>
                </c:pt>
                <c:pt idx="6">
                  <c:v>Precio Trucha</c:v>
                </c:pt>
                <c:pt idx="7">
                  <c:v>Demanda Trucha</c:v>
                </c:pt>
              </c:strCache>
            </c:strRef>
          </c:cat>
          <c:val>
            <c:numRef>
              <c:f>'Analisis Sensibilidad Ingresos'!$M$5:$M$12</c:f>
              <c:numCache>
                <c:formatCode>General</c:formatCode>
                <c:ptCount val="8"/>
                <c:pt idx="1">
                  <c:v>3</c:v>
                </c:pt>
                <c:pt idx="2">
                  <c:v>2.5722757183408178</c:v>
                </c:pt>
                <c:pt idx="3">
                  <c:v>103722.37234613705</c:v>
                </c:pt>
                <c:pt idx="4">
                  <c:v>2.5690788158573508</c:v>
                </c:pt>
                <c:pt idx="5">
                  <c:v>69148.248230758036</c:v>
                </c:pt>
                <c:pt idx="6">
                  <c:v>2.2636058900172196</c:v>
                </c:pt>
                <c:pt idx="7">
                  <c:v>57623.540192298366</c:v>
                </c:pt>
              </c:numCache>
            </c:numRef>
          </c:val>
        </c:ser>
        <c:ser>
          <c:idx val="3"/>
          <c:order val="3"/>
          <c:tx>
            <c:strRef>
              <c:f>'Analisis Sensibilidad Ingresos'!$N$4</c:f>
              <c:strCache>
                <c:ptCount val="1"/>
              </c:strCache>
            </c:strRef>
          </c:tx>
          <c:cat>
            <c:strRef>
              <c:f>'Analisis Sensibilidad Ingresos'!$J$5:$J$12</c:f>
              <c:strCache>
                <c:ptCount val="8"/>
                <c:pt idx="0">
                  <c:v>PRECIO SENSIBILIZADO</c:v>
                </c:pt>
                <c:pt idx="1">
                  <c:v>0</c:v>
                </c:pt>
                <c:pt idx="2">
                  <c:v>Precio Camaron</c:v>
                </c:pt>
                <c:pt idx="3">
                  <c:v>Demanda Camaron</c:v>
                </c:pt>
                <c:pt idx="4">
                  <c:v>Precio Salmon</c:v>
                </c:pt>
                <c:pt idx="5">
                  <c:v>Demanda Salmon</c:v>
                </c:pt>
                <c:pt idx="6">
                  <c:v>Precio Trucha</c:v>
                </c:pt>
                <c:pt idx="7">
                  <c:v>Demanda Trucha</c:v>
                </c:pt>
              </c:strCache>
            </c:strRef>
          </c:cat>
          <c:val>
            <c:numRef>
              <c:f>'Analisis Sensibilidad Ingresos'!$N$5:$N$12</c:f>
              <c:numCache>
                <c:formatCode>General</c:formatCode>
                <c:ptCount val="8"/>
                <c:pt idx="1">
                  <c:v>4</c:v>
                </c:pt>
                <c:pt idx="2">
                  <c:v>2.5722757183408178</c:v>
                </c:pt>
                <c:pt idx="3">
                  <c:v>106834.04351652117</c:v>
                </c:pt>
                <c:pt idx="4">
                  <c:v>2.5690788158573508</c:v>
                </c:pt>
                <c:pt idx="5">
                  <c:v>71222.695677680778</c:v>
                </c:pt>
                <c:pt idx="6">
                  <c:v>2.2636058900172196</c:v>
                </c:pt>
                <c:pt idx="7">
                  <c:v>59352.246398067313</c:v>
                </c:pt>
              </c:numCache>
            </c:numRef>
          </c:val>
        </c:ser>
        <c:ser>
          <c:idx val="4"/>
          <c:order val="4"/>
          <c:tx>
            <c:strRef>
              <c:f>'Analisis Sensibilidad Ingresos'!$O$4</c:f>
              <c:strCache>
                <c:ptCount val="1"/>
              </c:strCache>
            </c:strRef>
          </c:tx>
          <c:cat>
            <c:strRef>
              <c:f>'Analisis Sensibilidad Ingresos'!$J$5:$J$12</c:f>
              <c:strCache>
                <c:ptCount val="8"/>
                <c:pt idx="0">
                  <c:v>PRECIO SENSIBILIZADO</c:v>
                </c:pt>
                <c:pt idx="1">
                  <c:v>0</c:v>
                </c:pt>
                <c:pt idx="2">
                  <c:v>Precio Camaron</c:v>
                </c:pt>
                <c:pt idx="3">
                  <c:v>Demanda Camaron</c:v>
                </c:pt>
                <c:pt idx="4">
                  <c:v>Precio Salmon</c:v>
                </c:pt>
                <c:pt idx="5">
                  <c:v>Demanda Salmon</c:v>
                </c:pt>
                <c:pt idx="6">
                  <c:v>Precio Trucha</c:v>
                </c:pt>
                <c:pt idx="7">
                  <c:v>Demanda Trucha</c:v>
                </c:pt>
              </c:strCache>
            </c:strRef>
          </c:cat>
          <c:val>
            <c:numRef>
              <c:f>'Analisis Sensibilidad Ingresos'!$O$5:$O$12</c:f>
              <c:numCache>
                <c:formatCode>General</c:formatCode>
                <c:ptCount val="8"/>
                <c:pt idx="1">
                  <c:v>5</c:v>
                </c:pt>
                <c:pt idx="2">
                  <c:v>2.5722757183408178</c:v>
                </c:pt>
                <c:pt idx="3">
                  <c:v>110039.06482201684</c:v>
                </c:pt>
                <c:pt idx="4">
                  <c:v>2.5690788158573508</c:v>
                </c:pt>
                <c:pt idx="5">
                  <c:v>73359.37654801122</c:v>
                </c:pt>
                <c:pt idx="6">
                  <c:v>2.2636058900172196</c:v>
                </c:pt>
                <c:pt idx="7">
                  <c:v>61132.81379000935</c:v>
                </c:pt>
              </c:numCache>
            </c:numRef>
          </c:val>
        </c:ser>
        <c:axId val="101044224"/>
        <c:axId val="101045760"/>
      </c:barChart>
      <c:catAx>
        <c:axId val="101044224"/>
        <c:scaling>
          <c:orientation val="minMax"/>
        </c:scaling>
        <c:axPos val="b"/>
        <c:numFmt formatCode="General" sourceLinked="1"/>
        <c:tickLblPos val="nextTo"/>
        <c:crossAx val="101045760"/>
        <c:crosses val="autoZero"/>
        <c:auto val="1"/>
        <c:lblAlgn val="ctr"/>
        <c:lblOffset val="100"/>
      </c:catAx>
      <c:valAx>
        <c:axId val="101045760"/>
        <c:scaling>
          <c:orientation val="minMax"/>
        </c:scaling>
        <c:axPos val="l"/>
        <c:majorGridlines/>
        <c:numFmt formatCode="General" sourceLinked="1"/>
        <c:tickLblPos val="nextTo"/>
        <c:crossAx val="101044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9890109890109893"/>
          <c:y val="0.39527027027027029"/>
          <c:w val="0.99450549450549453"/>
          <c:h val="0.59797297297297303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7</xdr:row>
      <xdr:rowOff>9525</xdr:rowOff>
    </xdr:from>
    <xdr:to>
      <xdr:col>7</xdr:col>
      <xdr:colOff>276225</xdr:colOff>
      <xdr:row>16</xdr:row>
      <xdr:rowOff>114300</xdr:rowOff>
    </xdr:to>
    <xdr:pic>
      <xdr:nvPicPr>
        <xdr:cNvPr id="23593" name="Imagen 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1181100"/>
          <a:ext cx="490537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18</xdr:row>
      <xdr:rowOff>19050</xdr:rowOff>
    </xdr:from>
    <xdr:to>
      <xdr:col>8</xdr:col>
      <xdr:colOff>400050</xdr:colOff>
      <xdr:row>31</xdr:row>
      <xdr:rowOff>66675</xdr:rowOff>
    </xdr:to>
    <xdr:pic>
      <xdr:nvPicPr>
        <xdr:cNvPr id="235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0575" y="3019425"/>
          <a:ext cx="5705475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742950</xdr:colOff>
      <xdr:row>33</xdr:row>
      <xdr:rowOff>76200</xdr:rowOff>
    </xdr:from>
    <xdr:to>
      <xdr:col>8</xdr:col>
      <xdr:colOff>133350</xdr:colOff>
      <xdr:row>46</xdr:row>
      <xdr:rowOff>133350</xdr:rowOff>
    </xdr:to>
    <xdr:pic>
      <xdr:nvPicPr>
        <xdr:cNvPr id="235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50" y="5543550"/>
          <a:ext cx="5486400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50</xdr:row>
      <xdr:rowOff>28575</xdr:rowOff>
    </xdr:from>
    <xdr:to>
      <xdr:col>8</xdr:col>
      <xdr:colOff>419100</xdr:colOff>
      <xdr:row>61</xdr:row>
      <xdr:rowOff>19050</xdr:rowOff>
    </xdr:to>
    <xdr:pic>
      <xdr:nvPicPr>
        <xdr:cNvPr id="235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00100" y="8286750"/>
          <a:ext cx="57150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685800</xdr:colOff>
      <xdr:row>65</xdr:row>
      <xdr:rowOff>9525</xdr:rowOff>
    </xdr:from>
    <xdr:to>
      <xdr:col>8</xdr:col>
      <xdr:colOff>647700</xdr:colOff>
      <xdr:row>78</xdr:row>
      <xdr:rowOff>66675</xdr:rowOff>
    </xdr:to>
    <xdr:pic>
      <xdr:nvPicPr>
        <xdr:cNvPr id="235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5800" y="10734675"/>
          <a:ext cx="6057900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81</xdr:row>
      <xdr:rowOff>47625</xdr:rowOff>
    </xdr:from>
    <xdr:to>
      <xdr:col>7</xdr:col>
      <xdr:colOff>571500</xdr:colOff>
      <xdr:row>92</xdr:row>
      <xdr:rowOff>0</xdr:rowOff>
    </xdr:to>
    <xdr:pic>
      <xdr:nvPicPr>
        <xdr:cNvPr id="2359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62000" y="13430250"/>
          <a:ext cx="51435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95</xdr:row>
      <xdr:rowOff>38100</xdr:rowOff>
    </xdr:from>
    <xdr:to>
      <xdr:col>8</xdr:col>
      <xdr:colOff>152400</xdr:colOff>
      <xdr:row>109</xdr:row>
      <xdr:rowOff>76200</xdr:rowOff>
    </xdr:to>
    <xdr:pic>
      <xdr:nvPicPr>
        <xdr:cNvPr id="235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66775" y="15725775"/>
          <a:ext cx="5381625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113</xdr:row>
      <xdr:rowOff>28575</xdr:rowOff>
    </xdr:from>
    <xdr:to>
      <xdr:col>7</xdr:col>
      <xdr:colOff>47625</xdr:colOff>
      <xdr:row>124</xdr:row>
      <xdr:rowOff>19050</xdr:rowOff>
    </xdr:to>
    <xdr:pic>
      <xdr:nvPicPr>
        <xdr:cNvPr id="236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95325" y="18669000"/>
          <a:ext cx="46863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126</xdr:row>
      <xdr:rowOff>9525</xdr:rowOff>
    </xdr:from>
    <xdr:to>
      <xdr:col>6</xdr:col>
      <xdr:colOff>685800</xdr:colOff>
      <xdr:row>147</xdr:row>
      <xdr:rowOff>142875</xdr:rowOff>
    </xdr:to>
    <xdr:pic>
      <xdr:nvPicPr>
        <xdr:cNvPr id="236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333500" y="20793075"/>
          <a:ext cx="3924300" cy="353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151</xdr:row>
      <xdr:rowOff>0</xdr:rowOff>
    </xdr:from>
    <xdr:to>
      <xdr:col>7</xdr:col>
      <xdr:colOff>400050</xdr:colOff>
      <xdr:row>174</xdr:row>
      <xdr:rowOff>0</xdr:rowOff>
    </xdr:to>
    <xdr:pic>
      <xdr:nvPicPr>
        <xdr:cNvPr id="23602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19175" y="24869775"/>
          <a:ext cx="4714875" cy="372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7</xdr:col>
      <xdr:colOff>447675</xdr:colOff>
      <xdr:row>208</xdr:row>
      <xdr:rowOff>95250</xdr:rowOff>
    </xdr:to>
    <xdr:pic>
      <xdr:nvPicPr>
        <xdr:cNvPr id="236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62000" y="29117925"/>
          <a:ext cx="5019675" cy="511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215</xdr:row>
      <xdr:rowOff>0</xdr:rowOff>
    </xdr:from>
    <xdr:to>
      <xdr:col>8</xdr:col>
      <xdr:colOff>390525</xdr:colOff>
      <xdr:row>225</xdr:row>
      <xdr:rowOff>28575</xdr:rowOff>
    </xdr:to>
    <xdr:pic>
      <xdr:nvPicPr>
        <xdr:cNvPr id="236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62000" y="35309175"/>
          <a:ext cx="572452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676275</xdr:colOff>
      <xdr:row>282</xdr:row>
      <xdr:rowOff>76200</xdr:rowOff>
    </xdr:from>
    <xdr:to>
      <xdr:col>9</xdr:col>
      <xdr:colOff>180975</xdr:colOff>
      <xdr:row>291</xdr:row>
      <xdr:rowOff>85725</xdr:rowOff>
    </xdr:to>
    <xdr:pic>
      <xdr:nvPicPr>
        <xdr:cNvPr id="236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438275" y="47644050"/>
          <a:ext cx="5600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638175</xdr:colOff>
      <xdr:row>294</xdr:row>
      <xdr:rowOff>114300</xdr:rowOff>
    </xdr:from>
    <xdr:to>
      <xdr:col>8</xdr:col>
      <xdr:colOff>247650</xdr:colOff>
      <xdr:row>314</xdr:row>
      <xdr:rowOff>76200</xdr:rowOff>
    </xdr:to>
    <xdr:pic>
      <xdr:nvPicPr>
        <xdr:cNvPr id="2360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38175" y="49663350"/>
          <a:ext cx="5705475" cy="320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676275</xdr:colOff>
      <xdr:row>318</xdr:row>
      <xdr:rowOff>47625</xdr:rowOff>
    </xdr:from>
    <xdr:to>
      <xdr:col>8</xdr:col>
      <xdr:colOff>552450</xdr:colOff>
      <xdr:row>333</xdr:row>
      <xdr:rowOff>19050</xdr:rowOff>
    </xdr:to>
    <xdr:pic>
      <xdr:nvPicPr>
        <xdr:cNvPr id="23607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438275" y="53520975"/>
          <a:ext cx="5210175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ec.tuaviso.net/subcategoria/terrenoscomprayven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6"/>
  <sheetViews>
    <sheetView topLeftCell="A10" workbookViewId="0">
      <selection activeCell="E18" sqref="E18"/>
    </sheetView>
  </sheetViews>
  <sheetFormatPr baseColWidth="10" defaultRowHeight="12.75"/>
  <cols>
    <col min="1" max="1" width="38.140625" customWidth="1"/>
    <col min="2" max="2" width="12.7109375" customWidth="1"/>
    <col min="3" max="3" width="10.7109375" customWidth="1"/>
    <col min="4" max="4" width="9.42578125" customWidth="1"/>
    <col min="5" max="5" width="12.28515625" customWidth="1"/>
    <col min="6" max="6" width="16.28515625" customWidth="1"/>
    <col min="7" max="7" width="16.140625" customWidth="1"/>
    <col min="8" max="8" width="10" customWidth="1"/>
    <col min="9" max="9" width="16.85546875" customWidth="1"/>
    <col min="10" max="10" width="11.85546875" customWidth="1"/>
    <col min="11" max="11" width="14.42578125" customWidth="1"/>
    <col min="18" max="18" width="15.140625" customWidth="1"/>
  </cols>
  <sheetData>
    <row r="2" spans="1:15">
      <c r="B2" s="520" t="s">
        <v>649</v>
      </c>
      <c r="C2" s="520"/>
      <c r="D2" s="520"/>
      <c r="E2" s="520"/>
      <c r="F2" s="520"/>
      <c r="G2" s="520"/>
      <c r="H2" s="520"/>
    </row>
    <row r="3" spans="1:15">
      <c r="B3" s="520"/>
      <c r="C3" s="520"/>
      <c r="D3" s="520"/>
      <c r="E3" s="520"/>
      <c r="F3" s="520"/>
      <c r="G3" s="520"/>
    </row>
    <row r="4" spans="1:15">
      <c r="I4" s="237"/>
      <c r="K4" s="3"/>
      <c r="M4" s="497"/>
    </row>
    <row r="5" spans="1:15" ht="15.75">
      <c r="B5" s="519" t="s">
        <v>736</v>
      </c>
      <c r="C5" s="519"/>
      <c r="D5" s="519"/>
      <c r="E5" s="519"/>
      <c r="F5" s="519"/>
      <c r="G5" s="519"/>
      <c r="I5" s="237"/>
      <c r="J5" s="519"/>
      <c r="K5" s="519"/>
      <c r="L5" s="519"/>
      <c r="M5" s="519"/>
      <c r="N5" s="519"/>
      <c r="O5" s="519"/>
    </row>
    <row r="6" spans="1:15" ht="13.5" thickBot="1">
      <c r="B6" s="3"/>
      <c r="C6" s="3"/>
      <c r="D6" s="3"/>
      <c r="E6" s="3"/>
      <c r="F6" s="3"/>
      <c r="G6" s="3"/>
      <c r="H6" s="3"/>
      <c r="I6" s="253"/>
      <c r="J6" s="253"/>
    </row>
    <row r="7" spans="1:15">
      <c r="A7" s="504" t="str">
        <f>+'Flujo de caja proyec'!B6</f>
        <v>Detalle</v>
      </c>
      <c r="B7" s="487" t="str">
        <f>+'Flujo de caja proyec'!C6</f>
        <v>Año 0</v>
      </c>
      <c r="C7" s="487" t="str">
        <f>+'Flujo de caja proyec'!D6</f>
        <v>Año 1</v>
      </c>
      <c r="D7" s="487" t="str">
        <f>+'Flujo de caja proyec'!E6</f>
        <v>Año 2</v>
      </c>
      <c r="E7" s="487" t="str">
        <f>+'Flujo de caja proyec'!F6</f>
        <v>Año 3</v>
      </c>
      <c r="F7" s="487" t="str">
        <f>+'Flujo de caja proyec'!G6</f>
        <v>Año 4</v>
      </c>
      <c r="G7" s="488" t="str">
        <f>+'Flujo de caja proyec'!H6</f>
        <v>Año 5</v>
      </c>
      <c r="H7" s="253"/>
      <c r="I7" s="253"/>
      <c r="J7" s="253"/>
    </row>
    <row r="8" spans="1:15" ht="13.5" thickBot="1">
      <c r="A8" s="49" t="str">
        <f>+'Flujo de caja proyec'!B9</f>
        <v>Costos de Venta</v>
      </c>
      <c r="B8" s="50">
        <f>+'Flujo de caja proyec'!C9</f>
        <v>0</v>
      </c>
      <c r="C8" s="50">
        <f>+'Flujo de caja proyec'!D9</f>
        <v>362656.89766382275</v>
      </c>
      <c r="D8" s="50">
        <f>+'Flujo de caja proyec'!E9</f>
        <v>373536.60459373746</v>
      </c>
      <c r="E8" s="50">
        <f>+'Flujo de caja proyec'!F9</f>
        <v>384742.70273154957</v>
      </c>
      <c r="F8" s="505">
        <f>+'Flujo de caja proyec'!G9</f>
        <v>396284.98381349607</v>
      </c>
      <c r="G8" s="506">
        <f>+'Flujo de caja proyec'!H9</f>
        <v>408173.53332790098</v>
      </c>
      <c r="H8" s="253"/>
      <c r="I8" s="253"/>
      <c r="J8" s="253"/>
    </row>
    <row r="9" spans="1:15">
      <c r="A9" s="48"/>
      <c r="B9" s="48"/>
      <c r="C9" s="48"/>
      <c r="D9" s="48"/>
      <c r="E9" s="48"/>
      <c r="F9" s="509"/>
      <c r="G9" s="509"/>
      <c r="H9" s="253"/>
      <c r="I9" s="253"/>
      <c r="J9" s="253"/>
    </row>
    <row r="10" spans="1:15">
      <c r="A10" s="48"/>
      <c r="B10" s="48"/>
      <c r="C10" s="48"/>
      <c r="D10" s="48"/>
      <c r="E10" s="48"/>
      <c r="F10" s="509"/>
      <c r="G10" s="509"/>
      <c r="H10" s="253"/>
      <c r="I10" s="253"/>
      <c r="J10" s="253"/>
    </row>
    <row r="11" spans="1:15" ht="13.5" thickBot="1">
      <c r="A11" s="253"/>
      <c r="B11" s="253"/>
      <c r="C11" s="253"/>
      <c r="D11" s="253"/>
      <c r="E11" s="253"/>
      <c r="F11" s="253"/>
      <c r="G11" s="253"/>
      <c r="H11" s="253"/>
      <c r="I11" s="253"/>
      <c r="J11" s="253"/>
    </row>
    <row r="12" spans="1:15" ht="13.5" thickBot="1">
      <c r="A12" s="153" t="s">
        <v>731</v>
      </c>
      <c r="B12" s="510">
        <v>0.08</v>
      </c>
      <c r="C12" s="253"/>
      <c r="D12" s="253"/>
      <c r="E12" s="253"/>
      <c r="F12" s="253"/>
      <c r="G12" s="253"/>
      <c r="H12" s="253"/>
      <c r="I12" s="253"/>
      <c r="J12" s="253"/>
    </row>
    <row r="13" spans="1:15" ht="15.75">
      <c r="B13" s="519" t="s">
        <v>737</v>
      </c>
      <c r="C13" s="519"/>
      <c r="D13" s="519"/>
      <c r="E13" s="519"/>
      <c r="F13" s="519"/>
      <c r="G13" s="519"/>
      <c r="H13" s="253"/>
      <c r="I13" s="253"/>
      <c r="J13" s="253"/>
    </row>
    <row r="14" spans="1:15" ht="13.5" thickBot="1">
      <c r="B14" s="3"/>
      <c r="C14" s="3"/>
      <c r="D14" s="3"/>
      <c r="E14" s="3"/>
      <c r="F14" s="3"/>
      <c r="G14" s="3"/>
      <c r="H14" s="253"/>
      <c r="I14" s="253"/>
      <c r="J14" s="253"/>
    </row>
    <row r="15" spans="1:15" ht="13.5" thickBot="1">
      <c r="A15" s="504" t="str">
        <f t="shared" ref="A15:G15" si="0">+A7</f>
        <v>Detalle</v>
      </c>
      <c r="B15" s="504" t="str">
        <f t="shared" si="0"/>
        <v>Año 0</v>
      </c>
      <c r="C15" s="504" t="str">
        <f t="shared" si="0"/>
        <v>Año 1</v>
      </c>
      <c r="D15" s="504" t="str">
        <f t="shared" si="0"/>
        <v>Año 2</v>
      </c>
      <c r="E15" s="504" t="str">
        <f t="shared" si="0"/>
        <v>Año 3</v>
      </c>
      <c r="F15" s="504" t="str">
        <f t="shared" si="0"/>
        <v>Año 4</v>
      </c>
      <c r="G15" s="507" t="str">
        <f t="shared" si="0"/>
        <v>Año 5</v>
      </c>
      <c r="H15" s="253"/>
      <c r="I15" s="253"/>
      <c r="J15" s="253"/>
      <c r="L15" s="253"/>
    </row>
    <row r="16" spans="1:15" ht="13.5" thickBot="1">
      <c r="A16" s="508" t="str">
        <f>+A8</f>
        <v>Costos de Venta</v>
      </c>
      <c r="B16" s="508">
        <f>+B8</f>
        <v>0</v>
      </c>
      <c r="C16" s="508">
        <f>+C8*(1+$B$12)</f>
        <v>391669.44947692857</v>
      </c>
      <c r="D16" s="508">
        <f>+D8*(1+$B$12)</f>
        <v>403419.53296123649</v>
      </c>
      <c r="E16" s="508">
        <f>+E8*(1+$B$12)</f>
        <v>415522.11895007355</v>
      </c>
      <c r="F16" s="508">
        <f>+F8*(1+$B$12)</f>
        <v>427987.78251857578</v>
      </c>
      <c r="G16" s="508">
        <f>+G8*(1+$B$12)</f>
        <v>440827.4159941331</v>
      </c>
      <c r="H16" s="253"/>
      <c r="I16" s="253"/>
      <c r="J16" s="253"/>
      <c r="L16" s="253"/>
    </row>
    <row r="17" spans="1:12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L17" s="253"/>
    </row>
    <row r="18" spans="1:12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L18" s="253"/>
    </row>
    <row r="19" spans="1:12">
      <c r="I19" s="237"/>
    </row>
    <row r="20" spans="1:12">
      <c r="I20" s="237"/>
    </row>
    <row r="21" spans="1:12">
      <c r="I21" s="237"/>
    </row>
    <row r="22" spans="1:12">
      <c r="I22" s="237"/>
    </row>
    <row r="23" spans="1:12" ht="13.5" thickBot="1">
      <c r="I23" s="237"/>
    </row>
    <row r="24" spans="1:12">
      <c r="E24" s="38" t="str">
        <f>+'flujo Cja Acc'!B6</f>
        <v>Detalle</v>
      </c>
      <c r="F24" s="39" t="str">
        <f>+'flujo Cja Acc'!C6</f>
        <v>Año 0</v>
      </c>
      <c r="G24" s="39" t="str">
        <f>+'flujo Cja Acc'!D6</f>
        <v>Año 1</v>
      </c>
      <c r="H24" s="39" t="str">
        <f>+'flujo Cja Acc'!E6</f>
        <v>Año 2</v>
      </c>
      <c r="I24" s="39" t="str">
        <f>+'flujo Cja Acc'!F6</f>
        <v>Año 3</v>
      </c>
      <c r="J24" s="39" t="str">
        <f>+'flujo Cja Acc'!G6</f>
        <v>Año 4</v>
      </c>
      <c r="K24" s="113" t="str">
        <f>+'flujo Cja Acc'!H6</f>
        <v>Año 5</v>
      </c>
    </row>
    <row r="25" spans="1:12">
      <c r="E25" s="72" t="str">
        <f>+'flujo Cja Acc'!B7</f>
        <v>Ingresos</v>
      </c>
      <c r="F25" s="8"/>
      <c r="G25" s="57">
        <f>+'Flujo de caja proyec'!D7</f>
        <v>608860.63931397058</v>
      </c>
      <c r="H25" s="57">
        <f>+'Flujo de caja proyec'!E7</f>
        <v>627126.45849338931</v>
      </c>
      <c r="I25" s="57">
        <f>+'Flujo de caja proyec'!F7</f>
        <v>645940.25224819104</v>
      </c>
      <c r="J25" s="57">
        <f>+'Flujo de caja proyec'!G7</f>
        <v>665318.45981563674</v>
      </c>
      <c r="K25" s="57">
        <f>+'Flujo de caja proyec'!H7</f>
        <v>685278.01361010596</v>
      </c>
    </row>
    <row r="26" spans="1:12">
      <c r="E26" s="72" t="str">
        <f>+'flujo Cja Acc'!B8</f>
        <v>Egresos</v>
      </c>
      <c r="F26" s="8"/>
      <c r="G26" s="57">
        <f>+G27+G28</f>
        <v>600269.44947692857</v>
      </c>
      <c r="H26" s="8">
        <f>+H27+H28</f>
        <v>612019.53296123655</v>
      </c>
      <c r="I26" s="8">
        <f>+I27+I28</f>
        <v>624122.11895007361</v>
      </c>
      <c r="J26" s="8">
        <f>+J27+J28</f>
        <v>636587.78251857578</v>
      </c>
      <c r="K26" s="8">
        <f>+K27+K28</f>
        <v>649427.4159941331</v>
      </c>
    </row>
    <row r="27" spans="1:12">
      <c r="B27" s="370"/>
      <c r="C27" s="370"/>
      <c r="D27" s="370"/>
      <c r="E27" s="72" t="str">
        <f>+'flujo Cja Acc'!B9</f>
        <v>Costos de Venta</v>
      </c>
      <c r="F27" s="8"/>
      <c r="G27" s="57">
        <f>+C16</f>
        <v>391669.44947692857</v>
      </c>
      <c r="H27" s="57">
        <f>+D16</f>
        <v>403419.53296123649</v>
      </c>
      <c r="I27" s="57">
        <f>+E16</f>
        <v>415522.11895007355</v>
      </c>
      <c r="J27" s="57">
        <f>+F16</f>
        <v>427987.78251857578</v>
      </c>
      <c r="K27" s="57">
        <f>+G16</f>
        <v>440827.4159941331</v>
      </c>
    </row>
    <row r="28" spans="1:12">
      <c r="B28" s="237"/>
      <c r="C28" s="120"/>
      <c r="D28" s="493"/>
      <c r="E28" s="72" t="str">
        <f>+'flujo Cja Acc'!B10</f>
        <v>Coste de Fabricación</v>
      </c>
      <c r="F28" s="8"/>
      <c r="G28" s="57">
        <f>+SUM(G29:G31)</f>
        <v>208600</v>
      </c>
      <c r="H28" s="57">
        <f>+SUM(H29:H31)</f>
        <v>208600</v>
      </c>
      <c r="I28" s="57">
        <f>+SUM(I29:I31)</f>
        <v>208600</v>
      </c>
      <c r="J28" s="57">
        <f>+SUM(J29:J31)</f>
        <v>208600</v>
      </c>
      <c r="K28" s="57">
        <f>+SUM(K29:K31)</f>
        <v>208600</v>
      </c>
    </row>
    <row r="29" spans="1:12">
      <c r="B29" s="237"/>
      <c r="C29" s="120"/>
      <c r="D29" s="493"/>
      <c r="E29" s="72" t="str">
        <f>+'flujo Cja Acc'!B11</f>
        <v>Gastos de servicio</v>
      </c>
      <c r="F29" s="8"/>
      <c r="G29" s="57">
        <f>+'Flujo de caja proyec'!D12</f>
        <v>41400</v>
      </c>
      <c r="H29" s="57">
        <f>+'Flujo de caja proyec'!E12</f>
        <v>41400</v>
      </c>
      <c r="I29" s="57">
        <f>+'Flujo de caja proyec'!F12</f>
        <v>41400</v>
      </c>
      <c r="J29" s="57">
        <f>+'Flujo de caja proyec'!G12</f>
        <v>41400</v>
      </c>
      <c r="K29" s="57">
        <f>+'Flujo de caja proyec'!H12</f>
        <v>41400</v>
      </c>
    </row>
    <row r="30" spans="1:12">
      <c r="B30" s="315"/>
      <c r="C30" s="315"/>
      <c r="D30" s="330"/>
      <c r="E30" s="72" t="str">
        <f>+'flujo Cja Acc'!B12</f>
        <v>Gasto Administrativo</v>
      </c>
      <c r="F30" s="8"/>
      <c r="G30" s="57">
        <f>+'Flujo de caja proyec'!D11</f>
        <v>43200</v>
      </c>
      <c r="H30" s="57">
        <f>+'Flujo de caja proyec'!E11</f>
        <v>43200</v>
      </c>
      <c r="I30" s="57">
        <f>+'Flujo de caja proyec'!F11</f>
        <v>43200</v>
      </c>
      <c r="J30" s="57">
        <f>+'Flujo de caja proyec'!G11</f>
        <v>43200</v>
      </c>
      <c r="K30" s="57">
        <f>+'Flujo de caja proyec'!H11</f>
        <v>43200</v>
      </c>
    </row>
    <row r="31" spans="1:12">
      <c r="B31" s="237"/>
      <c r="C31" s="237"/>
      <c r="D31" s="493"/>
      <c r="E31" s="72" t="str">
        <f>+'flujo Cja Acc'!B13</f>
        <v>Gasto de Venta y Publicidad</v>
      </c>
      <c r="F31" s="8"/>
      <c r="G31" s="57">
        <f>+'Flujo de caja proyec'!D13</f>
        <v>124000</v>
      </c>
      <c r="H31" s="57">
        <f>+'Flujo de caja proyec'!E13</f>
        <v>124000</v>
      </c>
      <c r="I31" s="57">
        <f>+'Flujo de caja proyec'!F13</f>
        <v>124000</v>
      </c>
      <c r="J31" s="57">
        <f>+'Flujo de caja proyec'!G13</f>
        <v>124000</v>
      </c>
      <c r="K31" s="57">
        <f>+'Flujo de caja proyec'!H13</f>
        <v>124000</v>
      </c>
    </row>
    <row r="32" spans="1:12">
      <c r="B32" s="120"/>
      <c r="C32" s="120"/>
      <c r="D32" s="327"/>
      <c r="E32" s="72" t="str">
        <f>+'flujo Cja Acc'!B14</f>
        <v>Flujo Operacional</v>
      </c>
      <c r="F32" s="8"/>
      <c r="G32" s="57">
        <f>+G25-G26</f>
        <v>8591.1898370420095</v>
      </c>
      <c r="H32" s="57">
        <f>+H25-H26</f>
        <v>15106.92553215276</v>
      </c>
      <c r="I32" s="57">
        <f>+I25-I26</f>
        <v>21818.133298117435</v>
      </c>
      <c r="J32" s="57">
        <f>+J25-J26</f>
        <v>28730.67729706096</v>
      </c>
      <c r="K32" s="57">
        <f>+K25-K26</f>
        <v>35850.59761597286</v>
      </c>
    </row>
    <row r="33" spans="2:11">
      <c r="B33" s="315"/>
      <c r="C33" s="120"/>
      <c r="D33" s="327"/>
      <c r="E33" s="72" t="str">
        <f>+'flujo Cja Acc'!B15</f>
        <v>Amortización Intangible</v>
      </c>
      <c r="F33" s="8"/>
      <c r="G33" s="57">
        <f>+'Flujo de caja proyec'!D15</f>
        <v>3530.6</v>
      </c>
      <c r="H33" s="57">
        <f>+'Flujo de caja proyec'!E15</f>
        <v>3530.6</v>
      </c>
      <c r="I33" s="57">
        <f>+'Flujo de caja proyec'!F15</f>
        <v>3530.6</v>
      </c>
      <c r="J33" s="57">
        <f>+'Flujo de caja proyec'!G15</f>
        <v>3530.6</v>
      </c>
      <c r="K33" s="57">
        <f>+'Flujo de caja proyec'!H15</f>
        <v>3530.6</v>
      </c>
    </row>
    <row r="34" spans="2:11">
      <c r="B34" s="120"/>
      <c r="C34" s="120"/>
      <c r="D34" s="120"/>
      <c r="E34" s="72" t="str">
        <f>+'flujo Cja Acc'!B16</f>
        <v>Depreciación</v>
      </c>
      <c r="F34" s="8"/>
      <c r="G34" s="57">
        <f>+'Flujo de caja proyec'!D16</f>
        <v>7388.0499999999993</v>
      </c>
      <c r="H34" s="57">
        <f>+'Flujo de caja proyec'!E16</f>
        <v>7388.0499999999993</v>
      </c>
      <c r="I34" s="57">
        <f>+'Flujo de caja proyec'!F16</f>
        <v>7388.0499999999993</v>
      </c>
      <c r="J34" s="57">
        <f>+'Flujo de caja proyec'!G16</f>
        <v>7388.0499999999993</v>
      </c>
      <c r="K34" s="57">
        <f>+'Flujo de caja proyec'!H16</f>
        <v>7388.0499999999993</v>
      </c>
    </row>
    <row r="35" spans="2:11">
      <c r="B35" s="237"/>
      <c r="C35" s="120"/>
      <c r="D35" s="493"/>
      <c r="E35" s="72" t="str">
        <f>+'flujo Cja Acc'!B19</f>
        <v>Utilidad antes de Impuesto</v>
      </c>
      <c r="F35" s="8"/>
      <c r="G35" s="57">
        <f>+G32-G33-G34</f>
        <v>-2327.4601629579902</v>
      </c>
      <c r="H35" s="57">
        <f>+H32-H33-H34</f>
        <v>4188.2755321527602</v>
      </c>
      <c r="I35" s="57">
        <f>+I32-I33-I34</f>
        <v>10899.483298117437</v>
      </c>
      <c r="J35" s="57">
        <f>+J32-J33-J34</f>
        <v>17812.027297060962</v>
      </c>
      <c r="K35" s="57">
        <f>+K32-K33-K34</f>
        <v>24931.947615972862</v>
      </c>
    </row>
    <row r="36" spans="2:11">
      <c r="B36" s="315"/>
      <c r="C36" s="120"/>
      <c r="D36" s="327"/>
      <c r="E36" s="72" t="str">
        <f>+'flujo Cja Acc'!B20</f>
        <v>25% Impuesto a la Renta</v>
      </c>
      <c r="F36" s="8"/>
      <c r="G36" s="57">
        <f>+G35*0.25</f>
        <v>-581.86504073949754</v>
      </c>
      <c r="H36" s="57">
        <f>+H35*0.25</f>
        <v>1047.0688830381901</v>
      </c>
      <c r="I36" s="57">
        <f>+I35*0.25</f>
        <v>2724.8708245293592</v>
      </c>
      <c r="J36" s="57">
        <f>+J35*0.25</f>
        <v>4453.0068242652405</v>
      </c>
      <c r="K36" s="57">
        <f>+K35*0.25</f>
        <v>6232.9869039932155</v>
      </c>
    </row>
    <row r="37" spans="2:11">
      <c r="B37" s="315"/>
      <c r="C37" s="120"/>
      <c r="D37" s="327"/>
      <c r="E37" s="72" t="str">
        <f>+'flujo Cja Acc'!B21</f>
        <v>15% Participación de Trabajadores</v>
      </c>
      <c r="F37" s="8"/>
      <c r="G37" s="57">
        <f>+G35*0.15</f>
        <v>-349.11902444369849</v>
      </c>
      <c r="H37" s="57">
        <f>+H35*0.15</f>
        <v>628.24132982291405</v>
      </c>
      <c r="I37" s="57">
        <f>+I35*0.15</f>
        <v>1634.9224947176156</v>
      </c>
      <c r="J37" s="57">
        <f>+J35*0.15</f>
        <v>2671.8040945591442</v>
      </c>
      <c r="K37" s="57">
        <f>+K35*0.15</f>
        <v>3739.7921423959292</v>
      </c>
    </row>
    <row r="38" spans="2:11">
      <c r="B38" s="315"/>
      <c r="C38" s="120"/>
      <c r="D38" s="493"/>
      <c r="E38" s="72" t="str">
        <f>+'flujo Cja Acc'!B22</f>
        <v>Utilidad Neta</v>
      </c>
      <c r="F38" s="8"/>
      <c r="G38" s="57">
        <f>+G35-G36-G37</f>
        <v>-1396.4760977747942</v>
      </c>
      <c r="H38" s="57">
        <f>+H35-H36-H37</f>
        <v>2512.9653192916562</v>
      </c>
      <c r="I38" s="57">
        <f>+I35-I36-I37</f>
        <v>6539.6899788704623</v>
      </c>
      <c r="J38" s="57">
        <f>+J35-J36-J37</f>
        <v>10687.216378236577</v>
      </c>
      <c r="K38" s="57">
        <f>+K35-K36-K37</f>
        <v>14959.168569583717</v>
      </c>
    </row>
    <row r="39" spans="2:11">
      <c r="B39" s="315"/>
      <c r="C39" s="120"/>
      <c r="D39" s="120"/>
      <c r="E39" s="72" t="str">
        <f>+'flujo Cja Acc'!B23</f>
        <v>Depreciación y Amortización Intangible</v>
      </c>
      <c r="F39" s="8"/>
      <c r="G39" s="57">
        <f>+'Flujo de caja proyec'!D21</f>
        <v>10918.65</v>
      </c>
      <c r="H39" s="57">
        <f>+'Flujo de caja proyec'!E21</f>
        <v>10918.65</v>
      </c>
      <c r="I39" s="57">
        <f>+'Flujo de caja proyec'!F21</f>
        <v>10918.65</v>
      </c>
      <c r="J39" s="57">
        <f>+'Flujo de caja proyec'!G21</f>
        <v>10918.65</v>
      </c>
      <c r="K39" s="57">
        <f>+'Flujo de caja proyec'!H21</f>
        <v>10918.65</v>
      </c>
    </row>
    <row r="40" spans="2:11">
      <c r="B40" s="315"/>
      <c r="C40" s="120"/>
      <c r="D40" s="120"/>
      <c r="E40" s="72" t="str">
        <f>+'flujo Cja Acc'!B26</f>
        <v>Inversión Inicial</v>
      </c>
      <c r="F40" s="8">
        <f>+'flujo Cja Acc'!C26</f>
        <v>-62069.52</v>
      </c>
      <c r="G40" s="8"/>
      <c r="H40" s="8"/>
      <c r="I40" s="8"/>
      <c r="J40" s="8"/>
      <c r="K40" s="25"/>
    </row>
    <row r="41" spans="2:11">
      <c r="B41" s="315"/>
      <c r="C41" s="120"/>
      <c r="D41" s="493"/>
      <c r="E41" s="258" t="s">
        <v>609</v>
      </c>
      <c r="F41" s="8"/>
      <c r="G41" s="8"/>
      <c r="H41" s="8"/>
      <c r="I41" s="8"/>
      <c r="J41" s="8"/>
      <c r="K41" s="412">
        <f>+'Flujo de caja proyec'!H23</f>
        <v>15344.25</v>
      </c>
    </row>
    <row r="42" spans="2:11">
      <c r="B42" s="315"/>
      <c r="C42" s="120"/>
      <c r="D42" s="327"/>
      <c r="E42" s="258" t="s">
        <v>141</v>
      </c>
      <c r="F42" s="57">
        <f>+'Flujo de caja proyec'!C24</f>
        <v>-23380.54758680231</v>
      </c>
      <c r="G42" s="8"/>
      <c r="H42" s="8"/>
      <c r="I42" s="8"/>
      <c r="J42" s="8"/>
      <c r="K42" s="25"/>
    </row>
    <row r="43" spans="2:11">
      <c r="B43" s="315"/>
      <c r="C43" s="327"/>
      <c r="D43" s="120"/>
      <c r="E43" s="258" t="s">
        <v>643</v>
      </c>
      <c r="F43" s="8"/>
      <c r="G43" s="8"/>
      <c r="H43" s="8"/>
      <c r="I43" s="8"/>
      <c r="J43" s="8"/>
      <c r="K43" s="490">
        <f>-F42</f>
        <v>23380.54758680231</v>
      </c>
    </row>
    <row r="44" spans="2:11" ht="13.5" thickBot="1">
      <c r="B44" s="315"/>
      <c r="C44" s="120"/>
      <c r="D44" s="120"/>
      <c r="E44" s="491" t="s">
        <v>650</v>
      </c>
      <c r="F44" s="492">
        <f>+SUM(F40:F43)</f>
        <v>-85450.06758680231</v>
      </c>
      <c r="G44" s="492">
        <f>+SUM(G38:G39)</f>
        <v>9522.1739022252059</v>
      </c>
      <c r="H44" s="492">
        <f>+SUM(H38:H39)</f>
        <v>13431.615319291655</v>
      </c>
      <c r="I44" s="492">
        <f>+SUM(I38:I39)</f>
        <v>17458.339978870463</v>
      </c>
      <c r="J44" s="492">
        <f>+SUM(J38:J39)</f>
        <v>21605.866378236577</v>
      </c>
      <c r="K44" s="492">
        <f>+SUM(K38:K43)</f>
        <v>64602.616156386022</v>
      </c>
    </row>
    <row r="45" spans="2:11">
      <c r="B45" s="315"/>
      <c r="C45" s="327"/>
      <c r="D45" s="120"/>
      <c r="E45" s="443" t="s">
        <v>651</v>
      </c>
      <c r="F45" s="489">
        <f>+'Flujo de caja proyec'!C27</f>
        <v>9.3482427648409319E-2</v>
      </c>
    </row>
    <row r="46" spans="2:11">
      <c r="B46" s="315"/>
      <c r="C46" s="120"/>
      <c r="D46" s="120"/>
      <c r="E46" s="67" t="s">
        <v>646</v>
      </c>
      <c r="F46" s="515">
        <f>IRR(F44:K44)</f>
        <v>0.10779444420581707</v>
      </c>
    </row>
    <row r="47" spans="2:11">
      <c r="B47" s="315"/>
      <c r="C47" s="327"/>
      <c r="D47" s="327"/>
      <c r="E47" s="9" t="s">
        <v>647</v>
      </c>
      <c r="F47" s="434">
        <f>NPV(F45,G44:K44)+F44</f>
        <v>4278.9445983810147</v>
      </c>
    </row>
    <row r="48" spans="2:11">
      <c r="B48" s="237"/>
      <c r="C48" s="494"/>
      <c r="D48" s="120"/>
    </row>
    <row r="49" spans="2:9" ht="13.5" thickBot="1">
      <c r="B49" s="237"/>
      <c r="C49" s="495"/>
      <c r="D49" s="120"/>
      <c r="E49" s="120"/>
      <c r="F49" s="120"/>
      <c r="G49" s="120"/>
      <c r="H49" s="120"/>
    </row>
    <row r="50" spans="2:9">
      <c r="B50" s="237"/>
      <c r="C50" s="496"/>
      <c r="D50" s="120"/>
      <c r="E50" s="499" t="s">
        <v>738</v>
      </c>
      <c r="F50" s="500" t="s">
        <v>647</v>
      </c>
      <c r="G50" s="500" t="s">
        <v>646</v>
      </c>
      <c r="H50" s="500" t="s">
        <v>735</v>
      </c>
      <c r="I50" s="45"/>
    </row>
    <row r="51" spans="2:9">
      <c r="B51" s="120"/>
      <c r="C51" s="120"/>
      <c r="D51" s="120"/>
      <c r="E51" s="501">
        <v>0.2</v>
      </c>
      <c r="F51" s="29">
        <v>102034.89</v>
      </c>
      <c r="G51" s="503"/>
      <c r="H51" s="29" t="str">
        <f t="shared" ref="H51:H57" si="1">+IF(G51&gt;$F$45,"FACTIBLE LA INVERSION", "NO FACTIBLE")</f>
        <v>NO FACTIBLE</v>
      </c>
      <c r="I51" s="25"/>
    </row>
    <row r="52" spans="2:9">
      <c r="B52" s="120"/>
      <c r="C52" s="120"/>
      <c r="D52" s="120"/>
      <c r="E52" s="501">
        <v>0.15</v>
      </c>
      <c r="F52" s="29">
        <v>57737.46</v>
      </c>
      <c r="G52" s="514">
        <v>-0.109946</v>
      </c>
      <c r="H52" s="29" t="str">
        <f t="shared" si="1"/>
        <v>NO FACTIBLE</v>
      </c>
      <c r="I52" s="25"/>
    </row>
    <row r="53" spans="2:9">
      <c r="B53" s="120"/>
      <c r="C53" s="120"/>
      <c r="D53" s="120"/>
      <c r="E53" s="501">
        <v>0.1</v>
      </c>
      <c r="F53" s="29">
        <v>13440.03</v>
      </c>
      <c r="G53" s="503">
        <v>4.7955999999999999E-2</v>
      </c>
      <c r="H53" s="29" t="str">
        <f t="shared" si="1"/>
        <v>NO FACTIBLE</v>
      </c>
      <c r="I53" s="25"/>
    </row>
    <row r="54" spans="2:9">
      <c r="B54" s="120"/>
      <c r="C54" s="120"/>
      <c r="D54" s="120"/>
      <c r="E54" s="501">
        <v>0.05</v>
      </c>
      <c r="F54" s="29">
        <v>30857.4</v>
      </c>
      <c r="G54" s="503">
        <v>0.19500700000000001</v>
      </c>
      <c r="H54" s="29" t="str">
        <f>+IF(G54&gt;$F$45,"FACTIBLE LA INVERSION", "NO FACTIBLE")</f>
        <v>FACTIBLE LA INVERSION</v>
      </c>
      <c r="I54" s="25"/>
    </row>
    <row r="55" spans="2:9">
      <c r="B55" s="120"/>
      <c r="C55" s="120"/>
      <c r="D55" s="120"/>
      <c r="E55" s="501">
        <v>0.02</v>
      </c>
      <c r="F55" s="29">
        <v>57435.86</v>
      </c>
      <c r="G55" s="503">
        <v>0.279833</v>
      </c>
      <c r="H55" s="29" t="str">
        <f>+IF(G55&gt;$F$45,"FACTIBLE LA INVERSION", "NO FACTIBLE")</f>
        <v>FACTIBLE LA INVERSION</v>
      </c>
      <c r="I55" s="25"/>
    </row>
    <row r="56" spans="2:9">
      <c r="B56" s="120"/>
      <c r="C56" s="120"/>
      <c r="D56" s="120"/>
      <c r="E56" s="501">
        <v>0</v>
      </c>
      <c r="F56" s="29">
        <v>75154.83</v>
      </c>
      <c r="G56" s="514">
        <v>0.335343</v>
      </c>
      <c r="H56" s="29" t="str">
        <f t="shared" si="1"/>
        <v>FACTIBLE LA INVERSION</v>
      </c>
      <c r="I56" s="25"/>
    </row>
    <row r="57" spans="2:9" ht="13.5" thickBot="1">
      <c r="B57" s="120"/>
      <c r="C57" s="120"/>
      <c r="D57" s="120"/>
      <c r="E57" s="502">
        <v>-0.05</v>
      </c>
      <c r="F57" s="37">
        <v>119452.26</v>
      </c>
      <c r="G57" s="516">
        <v>0.47137099999999998</v>
      </c>
      <c r="H57" s="37" t="str">
        <f t="shared" si="1"/>
        <v>FACTIBLE LA INVERSION</v>
      </c>
      <c r="I57" s="27"/>
    </row>
    <row r="58" spans="2:9">
      <c r="B58" s="120"/>
      <c r="C58" s="120"/>
      <c r="D58" s="120"/>
      <c r="E58" s="120"/>
      <c r="F58" s="120"/>
      <c r="G58" s="120"/>
      <c r="H58" s="120"/>
    </row>
    <row r="59" spans="2:9">
      <c r="B59" s="120"/>
      <c r="C59" s="120"/>
      <c r="D59" s="120"/>
      <c r="E59" s="120"/>
      <c r="F59" s="120"/>
      <c r="G59" s="120"/>
      <c r="H59" s="120"/>
    </row>
    <row r="60" spans="2:9">
      <c r="B60" s="120"/>
      <c r="C60" s="120"/>
      <c r="D60" s="120"/>
      <c r="E60" s="120"/>
      <c r="F60" s="120"/>
      <c r="G60" s="120"/>
      <c r="H60" s="120"/>
    </row>
    <row r="61" spans="2:9">
      <c r="B61" s="120"/>
      <c r="C61" s="120"/>
      <c r="D61" s="120"/>
      <c r="E61" s="120"/>
      <c r="F61" s="120"/>
      <c r="G61" s="120"/>
      <c r="H61" s="120"/>
    </row>
    <row r="62" spans="2:9">
      <c r="B62" s="120"/>
      <c r="C62" s="120"/>
      <c r="D62" s="120"/>
      <c r="E62" s="120"/>
      <c r="F62" s="120"/>
      <c r="G62" s="120"/>
      <c r="H62" s="120"/>
    </row>
    <row r="63" spans="2:9">
      <c r="B63" s="120"/>
      <c r="C63" s="120"/>
      <c r="D63" s="120"/>
      <c r="E63" s="120"/>
      <c r="F63" s="120"/>
      <c r="G63" s="120"/>
      <c r="H63" s="120"/>
    </row>
    <row r="64" spans="2:9">
      <c r="B64" s="120"/>
      <c r="C64" s="120"/>
      <c r="D64" s="120"/>
      <c r="E64" s="120"/>
      <c r="F64" s="120"/>
      <c r="G64" s="120"/>
      <c r="H64" s="120"/>
    </row>
    <row r="65" spans="2:8">
      <c r="B65" s="120"/>
      <c r="C65" s="120"/>
      <c r="D65" s="120"/>
      <c r="E65" s="120"/>
      <c r="F65" s="120"/>
      <c r="G65" s="120"/>
      <c r="H65" s="120"/>
    </row>
    <row r="66" spans="2:8">
      <c r="B66" s="120"/>
      <c r="C66" s="120"/>
      <c r="D66" s="120"/>
      <c r="E66" s="120"/>
      <c r="F66" s="120"/>
      <c r="G66" s="120"/>
      <c r="H66" s="120"/>
    </row>
    <row r="67" spans="2:8">
      <c r="B67" s="120"/>
      <c r="C67" s="120"/>
      <c r="D67" s="120"/>
      <c r="E67" s="120"/>
      <c r="F67" s="120"/>
      <c r="G67" s="120"/>
      <c r="H67" s="120"/>
    </row>
    <row r="68" spans="2:8">
      <c r="B68" s="120"/>
      <c r="C68" s="120"/>
      <c r="D68" s="120"/>
      <c r="E68" s="120"/>
      <c r="F68" s="120"/>
      <c r="G68" s="120"/>
      <c r="H68" s="120"/>
    </row>
    <row r="69" spans="2:8">
      <c r="B69" s="120"/>
      <c r="C69" s="120"/>
      <c r="D69" s="120"/>
      <c r="E69" s="120"/>
      <c r="F69" s="120"/>
      <c r="G69" s="120"/>
      <c r="H69" s="120"/>
    </row>
    <row r="70" spans="2:8">
      <c r="B70" s="120"/>
      <c r="C70" s="120"/>
      <c r="D70" s="120"/>
      <c r="E70" s="120"/>
      <c r="F70" s="120"/>
      <c r="G70" s="120"/>
      <c r="H70" s="120"/>
    </row>
    <row r="71" spans="2:8">
      <c r="B71" s="120"/>
      <c r="C71" s="120"/>
      <c r="D71" s="120"/>
      <c r="E71" s="120"/>
      <c r="F71" s="120"/>
      <c r="G71" s="120"/>
      <c r="H71" s="120"/>
    </row>
    <row r="72" spans="2:8">
      <c r="B72" s="120"/>
      <c r="C72" s="120"/>
      <c r="D72" s="120"/>
      <c r="E72" s="120"/>
      <c r="F72" s="120"/>
      <c r="G72" s="120"/>
      <c r="H72" s="120"/>
    </row>
    <row r="73" spans="2:8">
      <c r="B73" s="120"/>
      <c r="C73" s="120"/>
      <c r="D73" s="120"/>
      <c r="E73" s="120"/>
      <c r="F73" s="120"/>
      <c r="G73" s="120"/>
      <c r="H73" s="120"/>
    </row>
    <row r="74" spans="2:8">
      <c r="B74" s="120"/>
      <c r="C74" s="120"/>
      <c r="D74" s="120"/>
      <c r="E74" s="120"/>
      <c r="F74" s="120"/>
      <c r="G74" s="120"/>
      <c r="H74" s="120"/>
    </row>
    <row r="75" spans="2:8">
      <c r="B75" s="120"/>
      <c r="C75" s="120"/>
      <c r="D75" s="120"/>
      <c r="E75" s="120"/>
      <c r="F75" s="120"/>
      <c r="G75" s="120"/>
      <c r="H75" s="120"/>
    </row>
    <row r="76" spans="2:8">
      <c r="B76" s="120"/>
      <c r="C76" s="120"/>
      <c r="D76" s="120"/>
      <c r="E76" s="120"/>
      <c r="F76" s="120"/>
      <c r="G76" s="120"/>
      <c r="H76" s="120"/>
    </row>
    <row r="77" spans="2:8">
      <c r="B77" s="120"/>
      <c r="C77" s="120"/>
      <c r="D77" s="120"/>
      <c r="E77" s="120"/>
      <c r="F77" s="120"/>
      <c r="G77" s="120"/>
      <c r="H77" s="120"/>
    </row>
    <row r="78" spans="2:8">
      <c r="B78" s="120"/>
      <c r="C78" s="120"/>
      <c r="D78" s="120"/>
      <c r="E78" s="120"/>
      <c r="F78" s="120"/>
      <c r="G78" s="120"/>
      <c r="H78" s="120"/>
    </row>
    <row r="79" spans="2:8">
      <c r="B79" s="120"/>
      <c r="C79" s="120"/>
      <c r="D79" s="120"/>
      <c r="E79" s="120"/>
      <c r="F79" s="120"/>
      <c r="G79" s="120"/>
      <c r="H79" s="120"/>
    </row>
    <row r="80" spans="2:8">
      <c r="B80" s="120"/>
      <c r="C80" s="120"/>
      <c r="D80" s="120"/>
      <c r="E80" s="120"/>
      <c r="F80" s="120"/>
      <c r="G80" s="120"/>
      <c r="H80" s="120"/>
    </row>
    <row r="81" spans="2:8">
      <c r="B81" s="120"/>
      <c r="C81" s="120"/>
      <c r="D81" s="120"/>
      <c r="E81" s="120"/>
      <c r="F81" s="120"/>
      <c r="G81" s="120"/>
      <c r="H81" s="120"/>
    </row>
    <row r="82" spans="2:8">
      <c r="B82" s="120"/>
      <c r="C82" s="120"/>
      <c r="D82" s="120"/>
      <c r="E82" s="120"/>
      <c r="F82" s="120"/>
      <c r="G82" s="120"/>
      <c r="H82" s="120"/>
    </row>
    <row r="83" spans="2:8">
      <c r="B83" s="120"/>
      <c r="C83" s="120"/>
      <c r="D83" s="120"/>
      <c r="E83" s="120"/>
      <c r="F83" s="120"/>
      <c r="G83" s="120"/>
      <c r="H83" s="120"/>
    </row>
    <row r="84" spans="2:8">
      <c r="B84" s="120"/>
      <c r="C84" s="120"/>
      <c r="D84" s="120"/>
      <c r="E84" s="120"/>
      <c r="F84" s="120"/>
      <c r="G84" s="120"/>
      <c r="H84" s="120"/>
    </row>
    <row r="85" spans="2:8">
      <c r="B85" s="120"/>
      <c r="C85" s="120"/>
      <c r="D85" s="120"/>
      <c r="E85" s="120"/>
      <c r="F85" s="120"/>
      <c r="G85" s="120"/>
      <c r="H85" s="120"/>
    </row>
    <row r="86" spans="2:8">
      <c r="B86" s="120"/>
      <c r="C86" s="120"/>
      <c r="D86" s="120"/>
      <c r="E86" s="120"/>
      <c r="F86" s="120"/>
      <c r="G86" s="120"/>
      <c r="H86" s="120"/>
    </row>
  </sheetData>
  <mergeCells count="5">
    <mergeCell ref="J5:O5"/>
    <mergeCell ref="B13:G13"/>
    <mergeCell ref="B3:G3"/>
    <mergeCell ref="B2:H2"/>
    <mergeCell ref="B5:G5"/>
  </mergeCells>
  <phoneticPr fontId="65" type="noConversion"/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4:I30"/>
  <sheetViews>
    <sheetView topLeftCell="A19" workbookViewId="0">
      <selection activeCell="C9" sqref="C9"/>
    </sheetView>
  </sheetViews>
  <sheetFormatPr baseColWidth="10" defaultRowHeight="12.75"/>
  <cols>
    <col min="1" max="1" width="11.42578125" style="15"/>
    <col min="2" max="2" width="17.7109375" style="15" customWidth="1"/>
    <col min="3" max="3" width="15.5703125" style="15" bestFit="1" customWidth="1"/>
    <col min="4" max="4" width="14.7109375" style="15" bestFit="1" customWidth="1"/>
    <col min="5" max="5" width="12.85546875" style="15" bestFit="1" customWidth="1"/>
    <col min="6" max="6" width="13.28515625" style="15" bestFit="1" customWidth="1"/>
    <col min="7" max="7" width="12.7109375" style="15" bestFit="1" customWidth="1"/>
    <col min="8" max="16384" width="11.42578125" style="15"/>
  </cols>
  <sheetData>
    <row r="4" spans="1:9" ht="15.75">
      <c r="B4" s="529" t="s">
        <v>424</v>
      </c>
      <c r="C4" s="529"/>
      <c r="D4" s="529"/>
      <c r="E4" s="529"/>
      <c r="F4" s="529"/>
      <c r="G4" s="529"/>
      <c r="H4" s="529"/>
      <c r="I4" s="529"/>
    </row>
    <row r="6" spans="1:9" s="120" customFormat="1">
      <c r="B6" s="530" t="str">
        <f>+Poblacion!A47</f>
        <v>Consideramos a una tasa de crecimiento del 3% debido a que el crecimiento de la poblacion es de 2,4% y el margen lo consideramos un crecimiento en popularidad</v>
      </c>
      <c r="C6" s="530"/>
      <c r="D6" s="530"/>
      <c r="E6" s="530"/>
      <c r="F6" s="530"/>
      <c r="G6" s="530"/>
      <c r="H6" s="530"/>
    </row>
    <row r="7" spans="1:9" s="120" customFormat="1" ht="13.5" thickBot="1">
      <c r="B7" s="530"/>
      <c r="C7" s="530"/>
      <c r="D7" s="530"/>
      <c r="E7" s="530"/>
      <c r="F7" s="530"/>
      <c r="G7" s="530"/>
      <c r="H7" s="530"/>
    </row>
    <row r="8" spans="1:9" s="120" customFormat="1" ht="16.5">
      <c r="A8" s="394"/>
      <c r="B8" s="400" t="str">
        <f>+Poblacion!B48</f>
        <v xml:space="preserve">Demanda Anual </v>
      </c>
      <c r="C8" s="403" t="str">
        <f>+Poblacion!C48</f>
        <v>PRIMER AÑO</v>
      </c>
      <c r="D8" s="403" t="str">
        <f>+Poblacion!D48</f>
        <v>SEGUNDO AÑO</v>
      </c>
      <c r="E8" s="403" t="str">
        <f>+Poblacion!E48</f>
        <v>TERCER AÑO</v>
      </c>
      <c r="F8" s="403" t="str">
        <f>+Poblacion!F48</f>
        <v>CUARTO AÑO</v>
      </c>
      <c r="G8" s="401" t="str">
        <f>+Poblacion!G48</f>
        <v>QUINTO AÑO</v>
      </c>
    </row>
    <row r="9" spans="1:9" s="120" customFormat="1" ht="15.75">
      <c r="B9" s="404" t="str">
        <f>+Poblacion!B49</f>
        <v>Primer mes</v>
      </c>
      <c r="C9" s="260">
        <f>+Poblacion!C49</f>
        <v>18105.23775168831</v>
      </c>
      <c r="D9" s="260">
        <f>+Poblacion!D49</f>
        <v>18648.394884238958</v>
      </c>
      <c r="E9" s="260">
        <f>+Poblacion!E49</f>
        <v>19207.846730766127</v>
      </c>
      <c r="F9" s="260">
        <f>+Poblacion!F49</f>
        <v>19784.082132689109</v>
      </c>
      <c r="G9" s="398">
        <f>+Poblacion!G49</f>
        <v>20377.604596669782</v>
      </c>
      <c r="H9" s="393"/>
      <c r="I9" s="393"/>
    </row>
    <row r="10" spans="1:9" s="120" customFormat="1" ht="15.75">
      <c r="B10" s="404" t="str">
        <f>+Poblacion!B50</f>
        <v>Segundo mes</v>
      </c>
      <c r="C10" s="260">
        <f>+Poblacion!C50</f>
        <v>18105.23775168831</v>
      </c>
      <c r="D10" s="260">
        <f>+Poblacion!D50</f>
        <v>18648.394884238958</v>
      </c>
      <c r="E10" s="260">
        <f>+Poblacion!E50</f>
        <v>19207.846730766127</v>
      </c>
      <c r="F10" s="260">
        <f>+Poblacion!F50</f>
        <v>19784.082132689109</v>
      </c>
      <c r="G10" s="398">
        <f>+Poblacion!G50</f>
        <v>20377.604596669782</v>
      </c>
      <c r="H10" s="395"/>
      <c r="I10" s="396"/>
    </row>
    <row r="11" spans="1:9" s="120" customFormat="1" ht="15.75">
      <c r="B11" s="404" t="str">
        <f>+Poblacion!B51</f>
        <v>Tercer mes</v>
      </c>
      <c r="C11" s="260">
        <f>+Poblacion!C51</f>
        <v>18105.23775168831</v>
      </c>
      <c r="D11" s="260">
        <f>+Poblacion!D51</f>
        <v>18648.394884238958</v>
      </c>
      <c r="E11" s="260">
        <f>+Poblacion!E51</f>
        <v>19207.846730766127</v>
      </c>
      <c r="F11" s="260">
        <f>+Poblacion!F51</f>
        <v>19784.082132689109</v>
      </c>
      <c r="G11" s="398">
        <f>+Poblacion!G51</f>
        <v>20377.604596669782</v>
      </c>
      <c r="H11" s="395"/>
      <c r="I11" s="396"/>
    </row>
    <row r="12" spans="1:9" s="120" customFormat="1" ht="15.75">
      <c r="B12" s="404" t="str">
        <f>+Poblacion!B52</f>
        <v>Cuarto mes</v>
      </c>
      <c r="C12" s="260">
        <f>+Poblacion!C52</f>
        <v>18105.23775168831</v>
      </c>
      <c r="D12" s="260">
        <f>+Poblacion!D52</f>
        <v>18648.394884238958</v>
      </c>
      <c r="E12" s="260">
        <f>+Poblacion!E52</f>
        <v>19207.846730766127</v>
      </c>
      <c r="F12" s="260">
        <f>+Poblacion!F52</f>
        <v>19784.082132689109</v>
      </c>
      <c r="G12" s="398">
        <f>+Poblacion!G52</f>
        <v>20377.604596669782</v>
      </c>
      <c r="H12" s="395"/>
      <c r="I12" s="396"/>
    </row>
    <row r="13" spans="1:9" s="120" customFormat="1" ht="15.75">
      <c r="B13" s="404" t="str">
        <f>+Poblacion!B53</f>
        <v>Quinto mes</v>
      </c>
      <c r="C13" s="260">
        <f>+Poblacion!C53</f>
        <v>18105.23775168831</v>
      </c>
      <c r="D13" s="260">
        <f>+Poblacion!D53</f>
        <v>18648.394884238958</v>
      </c>
      <c r="E13" s="260">
        <f>+Poblacion!E53</f>
        <v>19207.846730766127</v>
      </c>
      <c r="F13" s="260">
        <f>+Poblacion!F53</f>
        <v>19784.082132689109</v>
      </c>
      <c r="G13" s="398">
        <f>+Poblacion!G53</f>
        <v>20377.604596669782</v>
      </c>
      <c r="H13" s="395"/>
      <c r="I13" s="396"/>
    </row>
    <row r="14" spans="1:9" s="120" customFormat="1" ht="15.75">
      <c r="B14" s="404" t="str">
        <f>+Poblacion!B54</f>
        <v xml:space="preserve">Sexto </v>
      </c>
      <c r="C14" s="260">
        <f>+Poblacion!C54</f>
        <v>18105.23775168831</v>
      </c>
      <c r="D14" s="260">
        <f>+Poblacion!D54</f>
        <v>18648.394884238958</v>
      </c>
      <c r="E14" s="260">
        <f>+Poblacion!E54</f>
        <v>19207.846730766127</v>
      </c>
      <c r="F14" s="260">
        <f>+Poblacion!F54</f>
        <v>19784.082132689109</v>
      </c>
      <c r="G14" s="398">
        <f>+Poblacion!G54</f>
        <v>20377.604596669782</v>
      </c>
      <c r="H14" s="395"/>
      <c r="I14" s="396"/>
    </row>
    <row r="15" spans="1:9" s="120" customFormat="1">
      <c r="B15" s="404" t="str">
        <f>+Poblacion!B55</f>
        <v>Septimo mes</v>
      </c>
      <c r="C15" s="260">
        <f>+Poblacion!C55</f>
        <v>18105.23775168831</v>
      </c>
      <c r="D15" s="260">
        <f>+Poblacion!D55</f>
        <v>18648.394884238958</v>
      </c>
      <c r="E15" s="260">
        <f>+Poblacion!E55</f>
        <v>19207.846730766127</v>
      </c>
      <c r="F15" s="260">
        <f>+Poblacion!F55</f>
        <v>19784.082132689109</v>
      </c>
      <c r="G15" s="398">
        <f>+Poblacion!G55</f>
        <v>20377.604596669782</v>
      </c>
    </row>
    <row r="16" spans="1:9" s="120" customFormat="1">
      <c r="B16" s="404" t="str">
        <f>+Poblacion!B56</f>
        <v>Octevo mes</v>
      </c>
      <c r="C16" s="260">
        <f>+Poblacion!C56</f>
        <v>18105.23775168831</v>
      </c>
      <c r="D16" s="260">
        <f>+Poblacion!D56</f>
        <v>18648.394884238958</v>
      </c>
      <c r="E16" s="260">
        <f>+Poblacion!E56</f>
        <v>19207.846730766127</v>
      </c>
      <c r="F16" s="260">
        <f>+Poblacion!F56</f>
        <v>19784.082132689109</v>
      </c>
      <c r="G16" s="398">
        <f>+Poblacion!G56</f>
        <v>20377.604596669782</v>
      </c>
    </row>
    <row r="17" spans="2:7" s="120" customFormat="1">
      <c r="B17" s="404" t="str">
        <f>+Poblacion!B57</f>
        <v>Noveno mes</v>
      </c>
      <c r="C17" s="260">
        <f>+Poblacion!C57</f>
        <v>18105.23775168831</v>
      </c>
      <c r="D17" s="260">
        <f>+Poblacion!D57</f>
        <v>18648.394884238958</v>
      </c>
      <c r="E17" s="260">
        <f>+Poblacion!E57</f>
        <v>19207.846730766127</v>
      </c>
      <c r="F17" s="260">
        <f>+Poblacion!F57</f>
        <v>19784.082132689109</v>
      </c>
      <c r="G17" s="398">
        <f>+Poblacion!G57</f>
        <v>20377.604596669782</v>
      </c>
    </row>
    <row r="18" spans="2:7" s="120" customFormat="1">
      <c r="B18" s="404" t="str">
        <f>+Poblacion!B58</f>
        <v>Decimo mes</v>
      </c>
      <c r="C18" s="260">
        <f>+Poblacion!C58</f>
        <v>18105.23775168831</v>
      </c>
      <c r="D18" s="260">
        <f>+Poblacion!D58</f>
        <v>18648.394884238958</v>
      </c>
      <c r="E18" s="260">
        <f>+Poblacion!E58</f>
        <v>19207.846730766127</v>
      </c>
      <c r="F18" s="260">
        <f>+Poblacion!F58</f>
        <v>19784.082132689109</v>
      </c>
      <c r="G18" s="398">
        <f>+Poblacion!G58</f>
        <v>20377.604596669782</v>
      </c>
    </row>
    <row r="19" spans="2:7" s="120" customFormat="1">
      <c r="B19" s="404" t="str">
        <f>+Poblacion!B59</f>
        <v>Decimo primero</v>
      </c>
      <c r="C19" s="260">
        <f>+Poblacion!C59</f>
        <v>18105.23775168831</v>
      </c>
      <c r="D19" s="260">
        <f>+Poblacion!D59</f>
        <v>18648.394884238958</v>
      </c>
      <c r="E19" s="260">
        <f>+Poblacion!E59</f>
        <v>19207.846730766127</v>
      </c>
      <c r="F19" s="260">
        <f>+Poblacion!F59</f>
        <v>19784.082132689109</v>
      </c>
      <c r="G19" s="398">
        <f>+Poblacion!G59</f>
        <v>20377.604596669782</v>
      </c>
    </row>
    <row r="20" spans="2:7" s="120" customFormat="1">
      <c r="B20" s="404" t="str">
        <f>+Poblacion!B60</f>
        <v>Decimo segundo</v>
      </c>
      <c r="C20" s="260">
        <f>+Poblacion!C60</f>
        <v>18105.23775168831</v>
      </c>
      <c r="D20" s="260">
        <f>+Poblacion!D60</f>
        <v>18648.394884238958</v>
      </c>
      <c r="E20" s="260">
        <f>+Poblacion!E60</f>
        <v>19207.846730766127</v>
      </c>
      <c r="F20" s="260">
        <f>+Poblacion!F60</f>
        <v>19784.082132689109</v>
      </c>
      <c r="G20" s="398">
        <f>+Poblacion!G60</f>
        <v>20377.604596669782</v>
      </c>
    </row>
    <row r="21" spans="2:7" s="120" customFormat="1" ht="13.5" thickBot="1">
      <c r="B21" s="405" t="str">
        <f>+Poblacion!B61</f>
        <v>DEMANDA TOTAL</v>
      </c>
      <c r="C21" s="402">
        <f>+Poblacion!C61</f>
        <v>217262.85302025973</v>
      </c>
      <c r="D21" s="402">
        <f>+Poblacion!D61</f>
        <v>223780.73861086744</v>
      </c>
      <c r="E21" s="402">
        <f>+Poblacion!E61</f>
        <v>230494.16076919346</v>
      </c>
      <c r="F21" s="402">
        <f>+Poblacion!F61</f>
        <v>237408.98559226925</v>
      </c>
      <c r="G21" s="399">
        <f>+Poblacion!G61</f>
        <v>244531.2551600374</v>
      </c>
    </row>
    <row r="22" spans="2:7" s="120" customFormat="1"/>
    <row r="23" spans="2:7" ht="13.5" thickBot="1">
      <c r="B23" s="120"/>
      <c r="C23" s="120"/>
      <c r="D23" s="120"/>
      <c r="E23" s="120"/>
      <c r="F23" s="120"/>
      <c r="G23" s="120"/>
    </row>
    <row r="24" spans="2:7">
      <c r="B24" s="400" t="str">
        <f>+Poblacion!B65</f>
        <v>Años</v>
      </c>
      <c r="C24" s="401" t="str">
        <f>+Poblacion!C65</f>
        <v>Demanda Anual</v>
      </c>
      <c r="D24" s="120"/>
      <c r="E24" s="120"/>
      <c r="F24" s="120"/>
      <c r="G24" s="120"/>
    </row>
    <row r="25" spans="2:7">
      <c r="B25" s="404">
        <f>+Poblacion!B66</f>
        <v>2010</v>
      </c>
      <c r="C25" s="398">
        <f>+Poblacion!C66</f>
        <v>217262.85302025973</v>
      </c>
      <c r="D25" s="120"/>
      <c r="E25" s="120"/>
      <c r="F25" s="120"/>
      <c r="G25" s="120"/>
    </row>
    <row r="26" spans="2:7">
      <c r="B26" s="404">
        <f>+Poblacion!B67</f>
        <v>2011</v>
      </c>
      <c r="C26" s="398">
        <f>+Poblacion!C67</f>
        <v>223780.73861086744</v>
      </c>
      <c r="D26" s="120"/>
      <c r="E26" s="120"/>
      <c r="F26" s="120"/>
      <c r="G26" s="120"/>
    </row>
    <row r="27" spans="2:7">
      <c r="B27" s="404">
        <f>+Poblacion!B68</f>
        <v>2012</v>
      </c>
      <c r="C27" s="398">
        <f>+Poblacion!C68</f>
        <v>230494.16076919346</v>
      </c>
      <c r="D27" s="120"/>
      <c r="E27" s="120"/>
      <c r="F27" s="120"/>
      <c r="G27" s="120"/>
    </row>
    <row r="28" spans="2:7">
      <c r="B28" s="404">
        <f>+Poblacion!B69</f>
        <v>2013</v>
      </c>
      <c r="C28" s="398">
        <f>+Poblacion!C69</f>
        <v>237408.98559226925</v>
      </c>
    </row>
    <row r="29" spans="2:7" ht="13.5" thickBot="1">
      <c r="B29" s="405">
        <f>+Poblacion!B70</f>
        <v>2014</v>
      </c>
      <c r="C29" s="399">
        <f>+Poblacion!C70</f>
        <v>244531.2551600374</v>
      </c>
    </row>
    <row r="30" spans="2:7">
      <c r="B30" s="120"/>
      <c r="C30" s="120"/>
    </row>
  </sheetData>
  <mergeCells count="2">
    <mergeCell ref="B4:I4"/>
    <mergeCell ref="B6:H7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Q120"/>
  <sheetViews>
    <sheetView tabSelected="1" topLeftCell="D34" zoomScale="89" zoomScaleNormal="89" workbookViewId="0">
      <selection activeCell="K45" sqref="K45"/>
    </sheetView>
  </sheetViews>
  <sheetFormatPr baseColWidth="10" defaultRowHeight="12.75"/>
  <cols>
    <col min="1" max="1" width="24.5703125" customWidth="1"/>
    <col min="2" max="2" width="31.7109375" bestFit="1" customWidth="1"/>
    <col min="3" max="3" width="30.140625" bestFit="1" customWidth="1"/>
    <col min="4" max="4" width="23" bestFit="1" customWidth="1"/>
    <col min="5" max="5" width="25.5703125" bestFit="1" customWidth="1"/>
    <col min="6" max="6" width="17.7109375" bestFit="1" customWidth="1"/>
    <col min="7" max="7" width="14.28515625" customWidth="1"/>
    <col min="10" max="10" width="15.7109375" customWidth="1"/>
    <col min="11" max="11" width="17.42578125" customWidth="1"/>
    <col min="14" max="14" width="12.28515625" bestFit="1" customWidth="1"/>
  </cols>
  <sheetData>
    <row r="2" spans="1:13">
      <c r="C2" s="562" t="s">
        <v>293</v>
      </c>
      <c r="D2" s="562"/>
      <c r="E2" s="562"/>
      <c r="F2" s="562"/>
    </row>
    <row r="3" spans="1:13">
      <c r="C3" s="562" t="s">
        <v>260</v>
      </c>
      <c r="D3" s="562"/>
      <c r="E3" s="562"/>
      <c r="F3" s="562"/>
    </row>
    <row r="4" spans="1:13">
      <c r="B4" s="18"/>
    </row>
    <row r="5" spans="1:13">
      <c r="B5" s="9" t="s">
        <v>488</v>
      </c>
      <c r="C5" s="8"/>
      <c r="D5" s="8"/>
      <c r="E5" s="8">
        <v>2286772</v>
      </c>
      <c r="F5" s="121">
        <f>+E5/E6</f>
        <v>0.6107258641083595</v>
      </c>
    </row>
    <row r="6" spans="1:13">
      <c r="B6" s="9" t="s">
        <v>261</v>
      </c>
      <c r="C6" s="8"/>
      <c r="D6" s="8"/>
      <c r="E6" s="8">
        <v>3744351</v>
      </c>
      <c r="F6" s="122">
        <v>1</v>
      </c>
    </row>
    <row r="7" spans="1:13" ht="16.5">
      <c r="A7" s="2"/>
      <c r="B7" s="253" t="s">
        <v>489</v>
      </c>
      <c r="E7" s="8">
        <v>547721</v>
      </c>
    </row>
    <row r="8" spans="1:13" ht="13.5" thickBot="1"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24" t="s">
        <v>265</v>
      </c>
      <c r="B9" s="41"/>
      <c r="C9" s="41"/>
      <c r="D9" s="41"/>
      <c r="E9" s="42"/>
      <c r="F9" s="15"/>
      <c r="G9" s="251"/>
      <c r="H9" s="15"/>
      <c r="I9" s="15"/>
      <c r="J9" s="15"/>
      <c r="K9" s="15"/>
      <c r="L9" s="15"/>
      <c r="M9" s="15"/>
    </row>
    <row r="10" spans="1:13">
      <c r="A10" s="72" t="s">
        <v>266</v>
      </c>
      <c r="B10" s="8"/>
      <c r="C10" s="8"/>
      <c r="D10" s="8"/>
      <c r="E10" s="125">
        <f>E12-E11</f>
        <v>0.754</v>
      </c>
      <c r="F10" s="15"/>
      <c r="G10" s="15"/>
      <c r="H10" s="15"/>
      <c r="I10" s="15"/>
      <c r="J10" s="15"/>
      <c r="K10" s="15"/>
      <c r="L10" s="15"/>
      <c r="M10" s="15"/>
    </row>
    <row r="11" spans="1:13">
      <c r="A11" s="72" t="s">
        <v>267</v>
      </c>
      <c r="B11" s="8"/>
      <c r="C11" s="8"/>
      <c r="D11" s="8"/>
      <c r="E11" s="125">
        <v>8.7999999999999995E-2</v>
      </c>
      <c r="F11" s="15"/>
      <c r="G11" s="15"/>
      <c r="H11" s="15"/>
      <c r="I11" s="15"/>
      <c r="J11" s="15"/>
      <c r="K11" s="15"/>
      <c r="L11" s="15"/>
      <c r="M11" s="15"/>
    </row>
    <row r="12" spans="1:13" ht="13.5" thickBot="1">
      <c r="A12" s="306" t="s">
        <v>490</v>
      </c>
      <c r="B12" s="26"/>
      <c r="C12" s="26"/>
      <c r="D12" s="26"/>
      <c r="E12" s="126">
        <v>0.84199999999999997</v>
      </c>
      <c r="F12" s="307"/>
      <c r="G12" s="15"/>
      <c r="H12" s="15"/>
      <c r="I12" s="15"/>
      <c r="J12" s="15"/>
      <c r="K12" s="15"/>
      <c r="L12" s="15"/>
      <c r="M12" s="15"/>
    </row>
    <row r="13" spans="1:13"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48" t="s">
        <v>491</v>
      </c>
      <c r="E14" s="15"/>
      <c r="F14" s="147">
        <f>E7*E11</f>
        <v>48199.447999999997</v>
      </c>
      <c r="G14" s="15"/>
      <c r="H14" s="15"/>
      <c r="I14" s="15"/>
      <c r="J14" s="15"/>
      <c r="K14" s="15"/>
      <c r="L14" s="15"/>
      <c r="M14" s="15"/>
    </row>
    <row r="15" spans="1:13"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7" spans="1:9" ht="18">
      <c r="A17" s="136" t="s">
        <v>269</v>
      </c>
    </row>
    <row r="19" spans="1:9" ht="15.75">
      <c r="A19" s="127" t="s">
        <v>283</v>
      </c>
      <c r="B19" s="127"/>
      <c r="C19" s="127"/>
      <c r="D19" s="127"/>
      <c r="E19" s="127"/>
      <c r="F19" s="127"/>
      <c r="G19" s="127"/>
      <c r="H19" s="81"/>
    </row>
    <row r="20" spans="1:9" ht="15.75">
      <c r="A20" s="127"/>
      <c r="B20" s="127"/>
      <c r="C20" s="127"/>
      <c r="D20" s="127"/>
      <c r="E20" s="127"/>
      <c r="F20" s="127"/>
      <c r="G20" s="127"/>
      <c r="H20" s="81"/>
    </row>
    <row r="21" spans="1:9" ht="13.5" thickBot="1">
      <c r="A21" s="563" t="s">
        <v>271</v>
      </c>
      <c r="B21" s="563"/>
      <c r="C21" s="563"/>
      <c r="D21" s="563"/>
      <c r="E21" s="563"/>
      <c r="F21" s="563"/>
      <c r="G21" s="563"/>
      <c r="H21" s="563"/>
    </row>
    <row r="22" spans="1:9" ht="15.75">
      <c r="A22" s="132"/>
      <c r="B22" s="44"/>
      <c r="C22" s="44"/>
      <c r="D22" s="39" t="s">
        <v>274</v>
      </c>
      <c r="E22" s="39" t="s">
        <v>168</v>
      </c>
      <c r="F22" s="39" t="s">
        <v>280</v>
      </c>
      <c r="G22" s="39" t="s">
        <v>281</v>
      </c>
      <c r="H22" s="113"/>
    </row>
    <row r="23" spans="1:9">
      <c r="A23" s="133" t="s">
        <v>272</v>
      </c>
      <c r="B23" s="8" t="s">
        <v>273</v>
      </c>
      <c r="C23" s="8"/>
      <c r="D23" s="8">
        <v>139</v>
      </c>
      <c r="E23" s="131">
        <f>+D23/$D$29</f>
        <v>0.36103896103896105</v>
      </c>
      <c r="F23" s="123">
        <f>D23/$D$27</f>
        <v>0.42507645259938837</v>
      </c>
      <c r="G23" s="123">
        <f>F23</f>
        <v>0.42507645259938837</v>
      </c>
      <c r="H23" s="25"/>
    </row>
    <row r="24" spans="1:9">
      <c r="A24" s="72"/>
      <c r="B24" s="8" t="s">
        <v>275</v>
      </c>
      <c r="C24" s="8"/>
      <c r="D24" s="8">
        <v>148</v>
      </c>
      <c r="E24" s="250">
        <f t="shared" ref="E24:E29" si="0">+D24/$D$29</f>
        <v>0.38441558441558443</v>
      </c>
      <c r="F24" s="123">
        <f>D24/$D$27</f>
        <v>0.45259938837920488</v>
      </c>
      <c r="G24" s="123">
        <f>G23+F24</f>
        <v>0.87767584097859319</v>
      </c>
      <c r="H24" s="25"/>
      <c r="I24" s="249"/>
    </row>
    <row r="25" spans="1:9">
      <c r="A25" s="72"/>
      <c r="B25" s="8" t="s">
        <v>276</v>
      </c>
      <c r="C25" s="8"/>
      <c r="D25" s="8">
        <v>39</v>
      </c>
      <c r="E25" s="131">
        <f t="shared" si="0"/>
        <v>0.1012987012987013</v>
      </c>
      <c r="F25" s="123">
        <f>D25/$D$27</f>
        <v>0.11926605504587157</v>
      </c>
      <c r="G25" s="123">
        <f>G24+F25</f>
        <v>0.9969418960244647</v>
      </c>
      <c r="H25" s="25"/>
      <c r="I25" s="249"/>
    </row>
    <row r="26" spans="1:9">
      <c r="A26" s="72"/>
      <c r="B26" s="8" t="s">
        <v>277</v>
      </c>
      <c r="C26" s="8"/>
      <c r="D26" s="8">
        <v>1</v>
      </c>
      <c r="E26" s="131">
        <f t="shared" si="0"/>
        <v>2.5974025974025974E-3</v>
      </c>
      <c r="F26" s="123">
        <f>D26/$D$27</f>
        <v>3.0581039755351682E-3</v>
      </c>
      <c r="G26" s="123">
        <f>G25+F26</f>
        <v>0.99999999999999989</v>
      </c>
      <c r="H26" s="25"/>
    </row>
    <row r="27" spans="1:9">
      <c r="A27" s="72"/>
      <c r="B27" s="8" t="s">
        <v>262</v>
      </c>
      <c r="C27" s="8"/>
      <c r="D27" s="8">
        <v>327</v>
      </c>
      <c r="E27" s="131">
        <f t="shared" si="0"/>
        <v>0.8493506493506493</v>
      </c>
      <c r="F27" s="123">
        <f>D27/$D$27</f>
        <v>1</v>
      </c>
      <c r="G27" s="8"/>
      <c r="H27" s="25"/>
    </row>
    <row r="28" spans="1:9">
      <c r="A28" s="133" t="s">
        <v>278</v>
      </c>
      <c r="B28" s="8" t="s">
        <v>279</v>
      </c>
      <c r="C28" s="8"/>
      <c r="D28" s="8">
        <v>58</v>
      </c>
      <c r="E28" s="131">
        <f t="shared" si="0"/>
        <v>0.15064935064935064</v>
      </c>
      <c r="F28" s="8"/>
      <c r="G28" s="8"/>
      <c r="H28" s="25"/>
    </row>
    <row r="29" spans="1:9" ht="13.5" thickBot="1">
      <c r="A29" s="134" t="s">
        <v>262</v>
      </c>
      <c r="B29" s="26"/>
      <c r="C29" s="26"/>
      <c r="D29" s="26">
        <f>+D28+D27</f>
        <v>385</v>
      </c>
      <c r="E29" s="135">
        <f t="shared" si="0"/>
        <v>1</v>
      </c>
      <c r="F29" s="26"/>
      <c r="G29" s="26"/>
      <c r="H29" s="27"/>
    </row>
    <row r="31" spans="1:9">
      <c r="D31" s="253" t="s">
        <v>493</v>
      </c>
      <c r="E31" s="309" t="s">
        <v>494</v>
      </c>
      <c r="F31" s="312" t="s">
        <v>508</v>
      </c>
    </row>
    <row r="32" spans="1:9">
      <c r="C32" s="253" t="s">
        <v>492</v>
      </c>
      <c r="D32" s="308">
        <f>E23</f>
        <v>0.36103896103896105</v>
      </c>
      <c r="E32" s="249">
        <f>E23+E24</f>
        <v>0.74545454545454548</v>
      </c>
      <c r="F32" s="313">
        <f>E23+E24+E25</f>
        <v>0.84675324675324681</v>
      </c>
    </row>
    <row r="34" spans="1:17" ht="16.5" thickBot="1">
      <c r="A34" s="519" t="s">
        <v>282</v>
      </c>
      <c r="B34" s="519"/>
      <c r="C34" s="519"/>
      <c r="D34" s="519"/>
      <c r="E34" s="519"/>
      <c r="F34" s="519"/>
      <c r="G34" s="519"/>
    </row>
    <row r="35" spans="1:17" ht="13.5" thickBot="1">
      <c r="C35" s="139"/>
      <c r="D35" s="53"/>
      <c r="E35" s="140" t="s">
        <v>284</v>
      </c>
      <c r="F35" s="141" t="s">
        <v>168</v>
      </c>
    </row>
    <row r="36" spans="1:17">
      <c r="C36" s="43" t="s">
        <v>285</v>
      </c>
      <c r="D36" s="28"/>
      <c r="E36" s="15">
        <v>56</v>
      </c>
      <c r="F36" s="137">
        <f t="shared" ref="F36:F42" si="1">+E36/$E$42</f>
        <v>0.14545454545454545</v>
      </c>
    </row>
    <row r="37" spans="1:17">
      <c r="C37" s="43" t="s">
        <v>286</v>
      </c>
      <c r="D37" s="28"/>
      <c r="E37" s="15">
        <v>194</v>
      </c>
      <c r="F37" s="137">
        <f t="shared" si="1"/>
        <v>0.50389610389610384</v>
      </c>
    </row>
    <row r="38" spans="1:17">
      <c r="C38" s="43" t="s">
        <v>287</v>
      </c>
      <c r="D38" s="28"/>
      <c r="E38" s="15">
        <v>73</v>
      </c>
      <c r="F38" s="137">
        <f t="shared" si="1"/>
        <v>0.18961038961038962</v>
      </c>
      <c r="H38">
        <f>MEDIAN(E36:E39)</f>
        <v>64.5</v>
      </c>
    </row>
    <row r="39" spans="1:17">
      <c r="C39" s="43" t="s">
        <v>288</v>
      </c>
      <c r="D39" s="28"/>
      <c r="E39" s="15">
        <v>4</v>
      </c>
      <c r="F39" s="137">
        <f t="shared" si="1"/>
        <v>1.038961038961039E-2</v>
      </c>
    </row>
    <row r="40" spans="1:17">
      <c r="C40" s="43" t="s">
        <v>262</v>
      </c>
      <c r="D40" s="28"/>
      <c r="E40" s="15">
        <f>+SUM(E36:E39)</f>
        <v>327</v>
      </c>
      <c r="F40" s="137">
        <f t="shared" si="1"/>
        <v>0.8493506493506493</v>
      </c>
    </row>
    <row r="41" spans="1:17">
      <c r="C41" s="43" t="s">
        <v>289</v>
      </c>
      <c r="D41" s="28"/>
      <c r="E41" s="15">
        <v>58</v>
      </c>
      <c r="F41" s="137">
        <f t="shared" si="1"/>
        <v>0.15064935064935064</v>
      </c>
    </row>
    <row r="42" spans="1:17" ht="13.5" thickBot="1">
      <c r="C42" s="128" t="s">
        <v>262</v>
      </c>
      <c r="D42" s="130"/>
      <c r="E42" s="129">
        <f>+E41+E40</f>
        <v>385</v>
      </c>
      <c r="F42" s="138">
        <f t="shared" si="1"/>
        <v>1</v>
      </c>
    </row>
    <row r="44" spans="1:17" ht="13.5" thickBot="1"/>
    <row r="45" spans="1:17" ht="13.5" thickBot="1">
      <c r="C45" s="564" t="s">
        <v>270</v>
      </c>
      <c r="D45" s="565"/>
      <c r="E45" s="253" t="s">
        <v>524</v>
      </c>
      <c r="F45" s="517" t="s">
        <v>514</v>
      </c>
      <c r="G45" s="518">
        <v>0.5</v>
      </c>
    </row>
    <row r="46" spans="1:17" ht="30" customHeight="1" thickBot="1">
      <c r="C46" s="560" t="s">
        <v>292</v>
      </c>
      <c r="D46" s="561"/>
      <c r="E46" s="146">
        <f>F14*F37*2</f>
        <v>48575.028114285706</v>
      </c>
      <c r="F46">
        <f>E46*G45</f>
        <v>24287.514057142853</v>
      </c>
    </row>
    <row r="47" spans="1:17" ht="30" customHeight="1" thickBot="1">
      <c r="A47" s="253" t="s">
        <v>516</v>
      </c>
      <c r="C47" s="279"/>
      <c r="D47" s="279"/>
      <c r="E47" s="310"/>
      <c r="G47">
        <v>0.03</v>
      </c>
      <c r="H47" s="520" t="s">
        <v>532</v>
      </c>
      <c r="I47" s="520"/>
      <c r="J47" s="520"/>
      <c r="K47" s="547" t="s">
        <v>740</v>
      </c>
      <c r="L47" s="547"/>
      <c r="M47" s="548" t="s">
        <v>573</v>
      </c>
      <c r="N47" s="548"/>
      <c r="O47" s="548"/>
      <c r="P47" s="548"/>
      <c r="Q47" s="548"/>
    </row>
    <row r="48" spans="1:17" ht="42" customHeight="1">
      <c r="B48" s="3" t="s">
        <v>495</v>
      </c>
      <c r="C48" s="279" t="s">
        <v>509</v>
      </c>
      <c r="D48" s="279" t="s">
        <v>510</v>
      </c>
      <c r="E48" s="279" t="s">
        <v>511</v>
      </c>
      <c r="F48" s="279" t="s">
        <v>512</v>
      </c>
      <c r="G48" s="279" t="s">
        <v>513</v>
      </c>
      <c r="H48" s="342" t="s">
        <v>569</v>
      </c>
      <c r="I48" s="342" t="s">
        <v>570</v>
      </c>
      <c r="J48" s="342" t="s">
        <v>571</v>
      </c>
      <c r="K48" s="279"/>
      <c r="M48" s="355" t="s">
        <v>572</v>
      </c>
      <c r="N48" s="356" t="s">
        <v>575</v>
      </c>
      <c r="O48" s="356" t="s">
        <v>576</v>
      </c>
      <c r="P48" s="356" t="s">
        <v>577</v>
      </c>
      <c r="Q48" s="357" t="s">
        <v>574</v>
      </c>
    </row>
    <row r="49" spans="2:17" ht="30" customHeight="1">
      <c r="B49" s="253" t="s">
        <v>496</v>
      </c>
      <c r="C49" s="279">
        <f>F46*E32</f>
        <v>18105.23775168831</v>
      </c>
      <c r="D49" s="279">
        <f>(C60*G47)+C60</f>
        <v>18648.394884238958</v>
      </c>
      <c r="E49" s="279">
        <f>(D60*G47)+D60</f>
        <v>19207.846730766127</v>
      </c>
      <c r="F49" s="279">
        <f>(E60*G47)+E60</f>
        <v>19784.082132689109</v>
      </c>
      <c r="G49" s="279">
        <f>(F60*G47)+F60</f>
        <v>20377.604596669782</v>
      </c>
      <c r="H49">
        <f>C49*$C$110</f>
        <v>8147.3569882597394</v>
      </c>
      <c r="I49">
        <f>C49*$C$111</f>
        <v>5431.5713255064929</v>
      </c>
      <c r="J49">
        <f>C49*$C$112</f>
        <v>4526.3094379220774</v>
      </c>
      <c r="K49">
        <v>4</v>
      </c>
      <c r="L49">
        <f>K49/$K$61</f>
        <v>0.04</v>
      </c>
      <c r="M49" s="72">
        <f>$L49*C$61</f>
        <v>8690.5141208103887</v>
      </c>
      <c r="N49" s="8">
        <f t="shared" ref="N49:Q50" si="2">$L49*D$61</f>
        <v>8951.2295444346983</v>
      </c>
      <c r="O49" s="8">
        <f t="shared" si="2"/>
        <v>9219.7664307677387</v>
      </c>
      <c r="P49" s="8">
        <f t="shared" si="2"/>
        <v>9496.3594236907702</v>
      </c>
      <c r="Q49" s="25">
        <f t="shared" si="2"/>
        <v>9781.2502064014971</v>
      </c>
    </row>
    <row r="50" spans="2:17" ht="30" customHeight="1">
      <c r="B50" s="253" t="s">
        <v>497</v>
      </c>
      <c r="C50" s="279">
        <f>C49</f>
        <v>18105.23775168831</v>
      </c>
      <c r="D50" s="279">
        <f>D49</f>
        <v>18648.394884238958</v>
      </c>
      <c r="E50" s="279">
        <f>E49</f>
        <v>19207.846730766127</v>
      </c>
      <c r="F50" s="279">
        <f>F49</f>
        <v>19784.082132689109</v>
      </c>
      <c r="G50" s="279">
        <f>G49</f>
        <v>20377.604596669782</v>
      </c>
      <c r="H50">
        <f t="shared" ref="H50:H61" si="3">C50*$C$110</f>
        <v>8147.3569882597394</v>
      </c>
      <c r="I50">
        <f t="shared" ref="I50:I61" si="4">C50*$C$111</f>
        <v>5431.5713255064929</v>
      </c>
      <c r="J50">
        <f t="shared" ref="J50:J61" si="5">C50*$C$112</f>
        <v>4526.3094379220774</v>
      </c>
      <c r="K50">
        <v>5</v>
      </c>
      <c r="L50">
        <f t="shared" ref="L50:L61" si="6">K50/$K$61</f>
        <v>0.05</v>
      </c>
      <c r="M50" s="72">
        <f>$L50*C$61</f>
        <v>10863.142651012988</v>
      </c>
      <c r="N50" s="8">
        <f t="shared" si="2"/>
        <v>11189.036930543372</v>
      </c>
      <c r="O50" s="8">
        <f t="shared" si="2"/>
        <v>11524.708038459674</v>
      </c>
      <c r="P50" s="8">
        <f t="shared" si="2"/>
        <v>11870.449279613464</v>
      </c>
      <c r="Q50" s="25">
        <f t="shared" si="2"/>
        <v>12226.56275800187</v>
      </c>
    </row>
    <row r="51" spans="2:17" ht="30" customHeight="1">
      <c r="B51" s="253" t="s">
        <v>498</v>
      </c>
      <c r="C51" s="279">
        <f>C50</f>
        <v>18105.23775168831</v>
      </c>
      <c r="D51" s="279">
        <f t="shared" ref="D51:D60" si="7">D50</f>
        <v>18648.394884238958</v>
      </c>
      <c r="E51" s="279">
        <f t="shared" ref="E51:E60" si="8">E50</f>
        <v>19207.846730766127</v>
      </c>
      <c r="F51" s="279">
        <f t="shared" ref="F51:F60" si="9">F50</f>
        <v>19784.082132689109</v>
      </c>
      <c r="G51" s="279">
        <f t="shared" ref="G51:G60" si="10">G50</f>
        <v>20377.604596669782</v>
      </c>
      <c r="H51">
        <f>C51*$C$110</f>
        <v>8147.3569882597394</v>
      </c>
      <c r="I51">
        <f t="shared" si="4"/>
        <v>5431.5713255064929</v>
      </c>
      <c r="J51">
        <f t="shared" si="5"/>
        <v>4526.3094379220774</v>
      </c>
      <c r="K51">
        <v>5</v>
      </c>
      <c r="L51">
        <f t="shared" si="6"/>
        <v>0.05</v>
      </c>
      <c r="M51" s="72">
        <f t="shared" ref="M51:M60" si="11">$L51*C$61</f>
        <v>10863.142651012988</v>
      </c>
      <c r="N51" s="8">
        <f t="shared" ref="N51:N60" si="12">$L51*D$61</f>
        <v>11189.036930543372</v>
      </c>
      <c r="O51" s="8">
        <f t="shared" ref="O51:O60" si="13">$L51*E$61</f>
        <v>11524.708038459674</v>
      </c>
      <c r="P51" s="8">
        <f t="shared" ref="P51:P60" si="14">$L51*F$61</f>
        <v>11870.449279613464</v>
      </c>
      <c r="Q51" s="25">
        <f t="shared" ref="Q51:Q60" si="15">$L51*G$61</f>
        <v>12226.56275800187</v>
      </c>
    </row>
    <row r="52" spans="2:17" ht="30" customHeight="1">
      <c r="B52" s="253" t="s">
        <v>499</v>
      </c>
      <c r="C52" s="279">
        <f>F46*E32</f>
        <v>18105.23775168831</v>
      </c>
      <c r="D52" s="279">
        <f t="shared" si="7"/>
        <v>18648.394884238958</v>
      </c>
      <c r="E52" s="279">
        <f t="shared" si="8"/>
        <v>19207.846730766127</v>
      </c>
      <c r="F52" s="279">
        <f t="shared" si="9"/>
        <v>19784.082132689109</v>
      </c>
      <c r="G52" s="279">
        <f t="shared" si="10"/>
        <v>20377.604596669782</v>
      </c>
      <c r="H52">
        <f t="shared" si="3"/>
        <v>8147.3569882597394</v>
      </c>
      <c r="I52">
        <f t="shared" si="4"/>
        <v>5431.5713255064929</v>
      </c>
      <c r="J52">
        <f t="shared" si="5"/>
        <v>4526.3094379220774</v>
      </c>
      <c r="K52">
        <v>7</v>
      </c>
      <c r="L52">
        <f t="shared" si="6"/>
        <v>7.0000000000000007E-2</v>
      </c>
      <c r="M52" s="72">
        <f t="shared" si="11"/>
        <v>15208.399711418182</v>
      </c>
      <c r="N52" s="8">
        <f t="shared" si="12"/>
        <v>15664.651702760722</v>
      </c>
      <c r="O52" s="8">
        <f t="shared" si="13"/>
        <v>16134.591253843544</v>
      </c>
      <c r="P52" s="8">
        <f t="shared" si="14"/>
        <v>16618.628991458849</v>
      </c>
      <c r="Q52" s="25">
        <f t="shared" si="15"/>
        <v>17117.187861202619</v>
      </c>
    </row>
    <row r="53" spans="2:17" ht="30" customHeight="1">
      <c r="B53" s="253" t="s">
        <v>500</v>
      </c>
      <c r="C53" s="279">
        <f t="shared" ref="C53:C60" si="16">C52</f>
        <v>18105.23775168831</v>
      </c>
      <c r="D53" s="279">
        <f t="shared" si="7"/>
        <v>18648.394884238958</v>
      </c>
      <c r="E53" s="279">
        <f t="shared" si="8"/>
        <v>19207.846730766127</v>
      </c>
      <c r="F53" s="279">
        <f t="shared" si="9"/>
        <v>19784.082132689109</v>
      </c>
      <c r="G53" s="279">
        <f t="shared" si="10"/>
        <v>20377.604596669782</v>
      </c>
      <c r="H53">
        <f t="shared" si="3"/>
        <v>8147.3569882597394</v>
      </c>
      <c r="I53">
        <f t="shared" si="4"/>
        <v>5431.5713255064929</v>
      </c>
      <c r="J53">
        <f t="shared" si="5"/>
        <v>4526.3094379220774</v>
      </c>
      <c r="K53">
        <v>8</v>
      </c>
      <c r="L53">
        <f t="shared" si="6"/>
        <v>0.08</v>
      </c>
      <c r="M53" s="72">
        <f t="shared" si="11"/>
        <v>17381.028241620777</v>
      </c>
      <c r="N53" s="8">
        <f t="shared" si="12"/>
        <v>17902.459088869397</v>
      </c>
      <c r="O53" s="8">
        <f t="shared" si="13"/>
        <v>18439.532861535477</v>
      </c>
      <c r="P53" s="8">
        <f t="shared" si="14"/>
        <v>18992.71884738154</v>
      </c>
      <c r="Q53" s="25">
        <f t="shared" si="15"/>
        <v>19562.500412802994</v>
      </c>
    </row>
    <row r="54" spans="2:17" ht="30" customHeight="1">
      <c r="B54" s="253" t="s">
        <v>501</v>
      </c>
      <c r="C54" s="279">
        <f t="shared" si="16"/>
        <v>18105.23775168831</v>
      </c>
      <c r="D54" s="279">
        <f t="shared" si="7"/>
        <v>18648.394884238958</v>
      </c>
      <c r="E54" s="279">
        <f t="shared" si="8"/>
        <v>19207.846730766127</v>
      </c>
      <c r="F54" s="279">
        <f t="shared" si="9"/>
        <v>19784.082132689109</v>
      </c>
      <c r="G54" s="279">
        <f t="shared" si="10"/>
        <v>20377.604596669782</v>
      </c>
      <c r="H54">
        <f t="shared" si="3"/>
        <v>8147.3569882597394</v>
      </c>
      <c r="I54">
        <f t="shared" si="4"/>
        <v>5431.5713255064929</v>
      </c>
      <c r="J54">
        <f t="shared" si="5"/>
        <v>4526.3094379220774</v>
      </c>
      <c r="K54">
        <v>9</v>
      </c>
      <c r="L54">
        <f t="shared" si="6"/>
        <v>0.09</v>
      </c>
      <c r="M54" s="72">
        <f t="shared" si="11"/>
        <v>19553.656771823375</v>
      </c>
      <c r="N54" s="8">
        <f t="shared" si="12"/>
        <v>20140.266474978071</v>
      </c>
      <c r="O54" s="8">
        <f t="shared" si="13"/>
        <v>20744.474469227411</v>
      </c>
      <c r="P54" s="8">
        <f t="shared" si="14"/>
        <v>21366.808703304232</v>
      </c>
      <c r="Q54" s="25">
        <f t="shared" si="15"/>
        <v>22007.812964403365</v>
      </c>
    </row>
    <row r="55" spans="2:17" ht="30" customHeight="1">
      <c r="B55" s="253" t="s">
        <v>502</v>
      </c>
      <c r="C55" s="279">
        <f t="shared" si="16"/>
        <v>18105.23775168831</v>
      </c>
      <c r="D55" s="279">
        <f t="shared" si="7"/>
        <v>18648.394884238958</v>
      </c>
      <c r="E55" s="279">
        <f t="shared" si="8"/>
        <v>19207.846730766127</v>
      </c>
      <c r="F55" s="279">
        <f t="shared" si="9"/>
        <v>19784.082132689109</v>
      </c>
      <c r="G55" s="279">
        <f t="shared" si="10"/>
        <v>20377.604596669782</v>
      </c>
      <c r="H55">
        <f t="shared" si="3"/>
        <v>8147.3569882597394</v>
      </c>
      <c r="I55">
        <f t="shared" si="4"/>
        <v>5431.5713255064929</v>
      </c>
      <c r="J55">
        <f t="shared" si="5"/>
        <v>4526.3094379220774</v>
      </c>
      <c r="K55">
        <v>9</v>
      </c>
      <c r="L55">
        <f t="shared" si="6"/>
        <v>0.09</v>
      </c>
      <c r="M55" s="72">
        <f t="shared" si="11"/>
        <v>19553.656771823375</v>
      </c>
      <c r="N55" s="8">
        <f t="shared" si="12"/>
        <v>20140.266474978071</v>
      </c>
      <c r="O55" s="8">
        <f t="shared" si="13"/>
        <v>20744.474469227411</v>
      </c>
      <c r="P55" s="8">
        <f t="shared" si="14"/>
        <v>21366.808703304232</v>
      </c>
      <c r="Q55" s="25">
        <f t="shared" si="15"/>
        <v>22007.812964403365</v>
      </c>
    </row>
    <row r="56" spans="2:17" ht="30" customHeight="1">
      <c r="B56" s="253" t="s">
        <v>503</v>
      </c>
      <c r="C56" s="279">
        <f t="shared" si="16"/>
        <v>18105.23775168831</v>
      </c>
      <c r="D56" s="279">
        <f t="shared" si="7"/>
        <v>18648.394884238958</v>
      </c>
      <c r="E56" s="279">
        <f t="shared" si="8"/>
        <v>19207.846730766127</v>
      </c>
      <c r="F56" s="279">
        <f t="shared" si="9"/>
        <v>19784.082132689109</v>
      </c>
      <c r="G56" s="279">
        <f t="shared" si="10"/>
        <v>20377.604596669782</v>
      </c>
      <c r="H56">
        <f t="shared" si="3"/>
        <v>8147.3569882597394</v>
      </c>
      <c r="I56">
        <f t="shared" si="4"/>
        <v>5431.5713255064929</v>
      </c>
      <c r="J56">
        <f t="shared" si="5"/>
        <v>4526.3094379220774</v>
      </c>
      <c r="K56">
        <v>9</v>
      </c>
      <c r="L56">
        <f t="shared" si="6"/>
        <v>0.09</v>
      </c>
      <c r="M56" s="72">
        <f t="shared" si="11"/>
        <v>19553.656771823375</v>
      </c>
      <c r="N56" s="8">
        <f t="shared" si="12"/>
        <v>20140.266474978071</v>
      </c>
      <c r="O56" s="8">
        <f t="shared" si="13"/>
        <v>20744.474469227411</v>
      </c>
      <c r="P56" s="8">
        <f t="shared" si="14"/>
        <v>21366.808703304232</v>
      </c>
      <c r="Q56" s="25">
        <f t="shared" si="15"/>
        <v>22007.812964403365</v>
      </c>
    </row>
    <row r="57" spans="2:17" ht="30" customHeight="1">
      <c r="B57" s="253" t="s">
        <v>504</v>
      </c>
      <c r="C57" s="279">
        <f t="shared" si="16"/>
        <v>18105.23775168831</v>
      </c>
      <c r="D57" s="279">
        <f t="shared" si="7"/>
        <v>18648.394884238958</v>
      </c>
      <c r="E57" s="279">
        <f t="shared" si="8"/>
        <v>19207.846730766127</v>
      </c>
      <c r="F57" s="279">
        <f t="shared" si="9"/>
        <v>19784.082132689109</v>
      </c>
      <c r="G57" s="279">
        <f t="shared" si="10"/>
        <v>20377.604596669782</v>
      </c>
      <c r="H57">
        <f t="shared" si="3"/>
        <v>8147.3569882597394</v>
      </c>
      <c r="I57">
        <f t="shared" si="4"/>
        <v>5431.5713255064929</v>
      </c>
      <c r="J57">
        <f t="shared" si="5"/>
        <v>4526.3094379220774</v>
      </c>
      <c r="K57">
        <v>10</v>
      </c>
      <c r="L57">
        <f t="shared" si="6"/>
        <v>0.1</v>
      </c>
      <c r="M57" s="72">
        <f t="shared" si="11"/>
        <v>21726.285302025975</v>
      </c>
      <c r="N57" s="8">
        <f t="shared" si="12"/>
        <v>22378.073861086745</v>
      </c>
      <c r="O57" s="8">
        <f t="shared" si="13"/>
        <v>23049.416076919348</v>
      </c>
      <c r="P57" s="8">
        <f t="shared" si="14"/>
        <v>23740.898559226927</v>
      </c>
      <c r="Q57" s="25">
        <f t="shared" si="15"/>
        <v>24453.12551600374</v>
      </c>
    </row>
    <row r="58" spans="2:17" ht="30" customHeight="1">
      <c r="B58" s="253" t="s">
        <v>505</v>
      </c>
      <c r="C58" s="279">
        <f t="shared" si="16"/>
        <v>18105.23775168831</v>
      </c>
      <c r="D58" s="279">
        <f t="shared" si="7"/>
        <v>18648.394884238958</v>
      </c>
      <c r="E58" s="279">
        <f t="shared" si="8"/>
        <v>19207.846730766127</v>
      </c>
      <c r="F58" s="279">
        <f t="shared" si="9"/>
        <v>19784.082132689109</v>
      </c>
      <c r="G58" s="279">
        <f t="shared" si="10"/>
        <v>20377.604596669782</v>
      </c>
      <c r="H58">
        <f t="shared" si="3"/>
        <v>8147.3569882597394</v>
      </c>
      <c r="I58">
        <f t="shared" si="4"/>
        <v>5431.5713255064929</v>
      </c>
      <c r="J58">
        <f t="shared" si="5"/>
        <v>4526.3094379220774</v>
      </c>
      <c r="K58">
        <v>11</v>
      </c>
      <c r="L58">
        <f t="shared" si="6"/>
        <v>0.11</v>
      </c>
      <c r="M58" s="72">
        <f t="shared" si="11"/>
        <v>23898.913832228569</v>
      </c>
      <c r="N58" s="8">
        <f t="shared" si="12"/>
        <v>24615.881247195419</v>
      </c>
      <c r="O58" s="8">
        <f t="shared" si="13"/>
        <v>25354.357684611281</v>
      </c>
      <c r="P58" s="8">
        <f t="shared" si="14"/>
        <v>26114.988415149619</v>
      </c>
      <c r="Q58" s="25">
        <f t="shared" si="15"/>
        <v>26898.438067604115</v>
      </c>
    </row>
    <row r="59" spans="2:17" ht="30" customHeight="1">
      <c r="B59" s="253" t="s">
        <v>506</v>
      </c>
      <c r="C59" s="279">
        <f t="shared" si="16"/>
        <v>18105.23775168831</v>
      </c>
      <c r="D59" s="279">
        <f t="shared" si="7"/>
        <v>18648.394884238958</v>
      </c>
      <c r="E59" s="279">
        <f t="shared" si="8"/>
        <v>19207.846730766127</v>
      </c>
      <c r="F59" s="279">
        <f t="shared" si="9"/>
        <v>19784.082132689109</v>
      </c>
      <c r="G59" s="279">
        <f t="shared" si="10"/>
        <v>20377.604596669782</v>
      </c>
      <c r="H59">
        <f t="shared" si="3"/>
        <v>8147.3569882597394</v>
      </c>
      <c r="I59">
        <f t="shared" si="4"/>
        <v>5431.5713255064929</v>
      </c>
      <c r="J59">
        <f t="shared" si="5"/>
        <v>4526.3094379220774</v>
      </c>
      <c r="K59">
        <v>11</v>
      </c>
      <c r="L59">
        <f t="shared" si="6"/>
        <v>0.11</v>
      </c>
      <c r="M59" s="72">
        <f t="shared" si="11"/>
        <v>23898.913832228569</v>
      </c>
      <c r="N59" s="8">
        <f t="shared" si="12"/>
        <v>24615.881247195419</v>
      </c>
      <c r="O59" s="8">
        <f t="shared" si="13"/>
        <v>25354.357684611281</v>
      </c>
      <c r="P59" s="8">
        <f t="shared" si="14"/>
        <v>26114.988415149619</v>
      </c>
      <c r="Q59" s="25">
        <f t="shared" si="15"/>
        <v>26898.438067604115</v>
      </c>
    </row>
    <row r="60" spans="2:17" ht="30" customHeight="1" thickBot="1">
      <c r="B60" s="253" t="s">
        <v>507</v>
      </c>
      <c r="C60" s="279">
        <f t="shared" si="16"/>
        <v>18105.23775168831</v>
      </c>
      <c r="D60" s="279">
        <f t="shared" si="7"/>
        <v>18648.394884238958</v>
      </c>
      <c r="E60" s="279">
        <f t="shared" si="8"/>
        <v>19207.846730766127</v>
      </c>
      <c r="F60" s="279">
        <f t="shared" si="9"/>
        <v>19784.082132689109</v>
      </c>
      <c r="G60" s="279">
        <f t="shared" si="10"/>
        <v>20377.604596669782</v>
      </c>
      <c r="H60">
        <f t="shared" si="3"/>
        <v>8147.3569882597394</v>
      </c>
      <c r="I60">
        <f t="shared" si="4"/>
        <v>5431.5713255064929</v>
      </c>
      <c r="J60">
        <f t="shared" si="5"/>
        <v>4526.3094379220774</v>
      </c>
      <c r="K60">
        <v>12</v>
      </c>
      <c r="L60">
        <f t="shared" si="6"/>
        <v>0.12</v>
      </c>
      <c r="M60" s="74">
        <f t="shared" si="11"/>
        <v>26071.542362431166</v>
      </c>
      <c r="N60" s="26">
        <f t="shared" si="12"/>
        <v>26853.688633304093</v>
      </c>
      <c r="O60" s="26">
        <f t="shared" si="13"/>
        <v>27659.299292303214</v>
      </c>
      <c r="P60" s="26">
        <f t="shared" si="14"/>
        <v>28489.078271072311</v>
      </c>
      <c r="Q60" s="27">
        <f t="shared" si="15"/>
        <v>29343.750619204486</v>
      </c>
    </row>
    <row r="61" spans="2:17">
      <c r="B61" s="253" t="s">
        <v>515</v>
      </c>
      <c r="C61" s="316">
        <f>SUM(C49:C60)</f>
        <v>217262.85302025973</v>
      </c>
      <c r="D61" s="279">
        <f>SUM(D49:D60)</f>
        <v>223780.73861086744</v>
      </c>
      <c r="E61" s="279">
        <f>SUM(E49:E60)</f>
        <v>230494.16076919346</v>
      </c>
      <c r="F61" s="279">
        <f>SUM(F49:F60)</f>
        <v>237408.98559226925</v>
      </c>
      <c r="G61" s="279">
        <f>SUM(G49:G60)</f>
        <v>244531.2551600374</v>
      </c>
      <c r="H61">
        <f t="shared" si="3"/>
        <v>97768.283859116884</v>
      </c>
      <c r="I61">
        <f t="shared" si="4"/>
        <v>65178.855906077915</v>
      </c>
      <c r="J61">
        <f t="shared" si="5"/>
        <v>54315.713255064933</v>
      </c>
      <c r="K61">
        <f>SUM(K49:K60)</f>
        <v>100</v>
      </c>
      <c r="L61">
        <f t="shared" si="6"/>
        <v>1</v>
      </c>
      <c r="M61" s="388"/>
    </row>
    <row r="63" spans="2:17">
      <c r="G63" s="253" t="s">
        <v>449</v>
      </c>
    </row>
    <row r="64" spans="2:17" ht="13.5" thickBot="1">
      <c r="G64" s="252">
        <v>0.45</v>
      </c>
    </row>
    <row r="65" spans="1:9" ht="48.75" customHeight="1">
      <c r="B65" s="144" t="s">
        <v>290</v>
      </c>
      <c r="C65" s="145" t="s">
        <v>291</v>
      </c>
      <c r="D65">
        <v>365</v>
      </c>
      <c r="E65" s="253" t="s">
        <v>517</v>
      </c>
    </row>
    <row r="66" spans="1:9" ht="15.75">
      <c r="B66" s="142">
        <v>2010</v>
      </c>
      <c r="C66" s="148">
        <f>C61</f>
        <v>217262.85302025973</v>
      </c>
      <c r="G66" s="549" t="s">
        <v>532</v>
      </c>
      <c r="H66" s="550"/>
    </row>
    <row r="67" spans="1:9" ht="15.75">
      <c r="B67" s="142">
        <v>2011</v>
      </c>
      <c r="C67" s="148">
        <f>D61</f>
        <v>223780.73861086744</v>
      </c>
      <c r="G67" s="253" t="s">
        <v>519</v>
      </c>
      <c r="H67" s="253" t="s">
        <v>523</v>
      </c>
    </row>
    <row r="68" spans="1:9" ht="15.75">
      <c r="B68" s="142">
        <v>2012</v>
      </c>
      <c r="C68" s="148">
        <f>E61</f>
        <v>230494.16076919346</v>
      </c>
      <c r="E68" s="253" t="s">
        <v>520</v>
      </c>
      <c r="F68" s="101">
        <f>Poblacion!C110</f>
        <v>0.45</v>
      </c>
      <c r="G68">
        <f>G71*F68</f>
        <v>370.33440855726087</v>
      </c>
      <c r="H68">
        <f>H71*F68</f>
        <v>8147.3569882597394</v>
      </c>
    </row>
    <row r="69" spans="1:9" ht="15.75">
      <c r="B69" s="142">
        <v>2013</v>
      </c>
      <c r="C69" s="148">
        <f>F61</f>
        <v>237408.98559226925</v>
      </c>
      <c r="E69" s="253" t="s">
        <v>521</v>
      </c>
      <c r="F69" s="101">
        <f>C111</f>
        <v>0.3</v>
      </c>
      <c r="G69">
        <f>G71*F69</f>
        <v>246.88960570484056</v>
      </c>
      <c r="H69">
        <f>H71*F69</f>
        <v>5431.5713255064929</v>
      </c>
    </row>
    <row r="70" spans="1:9" ht="16.5" thickBot="1">
      <c r="B70" s="143">
        <v>2014</v>
      </c>
      <c r="C70" s="159">
        <f>G61</f>
        <v>244531.2551600374</v>
      </c>
      <c r="E70" s="253" t="s">
        <v>522</v>
      </c>
      <c r="F70" s="101">
        <f>C112</f>
        <v>0.25</v>
      </c>
      <c r="G70">
        <f>G71*F70</f>
        <v>205.74133808736715</v>
      </c>
      <c r="H70">
        <f>H71*F70</f>
        <v>4526.3094379220774</v>
      </c>
    </row>
    <row r="71" spans="1:9">
      <c r="E71" s="253" t="s">
        <v>531</v>
      </c>
      <c r="F71">
        <v>22</v>
      </c>
      <c r="G71">
        <f>C49/F71</f>
        <v>822.96535234946862</v>
      </c>
      <c r="H71">
        <f>C49</f>
        <v>18105.23775168831</v>
      </c>
    </row>
    <row r="73" spans="1:9" ht="13.5" thickBot="1"/>
    <row r="74" spans="1:9">
      <c r="A74" s="556" t="s">
        <v>406</v>
      </c>
      <c r="B74" s="557"/>
      <c r="C74" s="557"/>
      <c r="D74" s="557"/>
      <c r="E74" s="557"/>
      <c r="F74" s="557"/>
      <c r="G74" s="557"/>
      <c r="H74" s="557"/>
      <c r="I74" s="558"/>
    </row>
    <row r="75" spans="1:9">
      <c r="A75" s="43"/>
      <c r="B75" s="551" t="s">
        <v>411</v>
      </c>
      <c r="C75" s="551"/>
      <c r="D75" s="551"/>
      <c r="E75" s="15"/>
      <c r="F75" s="48" t="s">
        <v>412</v>
      </c>
      <c r="G75" s="15"/>
      <c r="H75" s="15"/>
      <c r="I75" s="28"/>
    </row>
    <row r="76" spans="1:9">
      <c r="A76" s="43"/>
      <c r="B76" s="48" t="s">
        <v>414</v>
      </c>
      <c r="C76" s="48" t="s">
        <v>415</v>
      </c>
      <c r="D76" s="48" t="s">
        <v>416</v>
      </c>
      <c r="E76" s="48" t="s">
        <v>413</v>
      </c>
      <c r="F76" s="48" t="s">
        <v>413</v>
      </c>
      <c r="G76" s="15"/>
      <c r="H76" s="15"/>
      <c r="I76" s="28"/>
    </row>
    <row r="77" spans="1:9">
      <c r="A77" s="43" t="s">
        <v>417</v>
      </c>
      <c r="B77" s="15">
        <f>$B$81*0.3</f>
        <v>135</v>
      </c>
      <c r="C77" s="94">
        <f>+B77*2.2*0.3</f>
        <v>89.1</v>
      </c>
      <c r="D77" s="94">
        <f>+C77*453.59237</f>
        <v>40415.080167</v>
      </c>
      <c r="E77" s="15">
        <f>+B77*4*0.3</f>
        <v>162</v>
      </c>
      <c r="F77" s="15">
        <f>+E77*22</f>
        <v>3564</v>
      </c>
      <c r="G77" s="15"/>
      <c r="H77" s="15"/>
      <c r="I77" s="28"/>
    </row>
    <row r="78" spans="1:9">
      <c r="A78" s="43" t="s">
        <v>403</v>
      </c>
      <c r="B78" s="15">
        <f>$B$81*0.25</f>
        <v>112.5</v>
      </c>
      <c r="C78" s="94">
        <f>+B78*2.2*0.25</f>
        <v>61.875000000000007</v>
      </c>
      <c r="D78" s="94">
        <f>+C78*453.59237</f>
        <v>28066.027893750004</v>
      </c>
      <c r="E78" s="15">
        <f>+B78*4*0.25</f>
        <v>112.5</v>
      </c>
      <c r="F78" s="15">
        <f>+E78*22</f>
        <v>2475</v>
      </c>
      <c r="G78" s="15"/>
      <c r="H78" s="15"/>
      <c r="I78" s="28"/>
    </row>
    <row r="79" spans="1:9">
      <c r="A79" s="43" t="s">
        <v>404</v>
      </c>
      <c r="B79" s="15">
        <f>$B$81*0.2</f>
        <v>90</v>
      </c>
      <c r="C79" s="94">
        <f>+B79*2.2*C112</f>
        <v>49.500000000000007</v>
      </c>
      <c r="D79" s="94">
        <f>+C79*453.59237</f>
        <v>22452.822315000005</v>
      </c>
      <c r="E79" s="15">
        <f>+B79*5*0.2</f>
        <v>90</v>
      </c>
      <c r="F79" s="15">
        <f>+E79*22</f>
        <v>1980</v>
      </c>
      <c r="G79" s="15"/>
      <c r="H79" s="15"/>
      <c r="I79" s="28"/>
    </row>
    <row r="80" spans="1:9">
      <c r="A80" s="43" t="s">
        <v>418</v>
      </c>
      <c r="B80" s="15">
        <f>$B$81*0.25</f>
        <v>112.5</v>
      </c>
      <c r="C80" s="94">
        <f>+B80*2.2*C113</f>
        <v>0</v>
      </c>
      <c r="D80" s="94">
        <f>+C80*453.59237</f>
        <v>0</v>
      </c>
      <c r="E80" s="232">
        <f>+B80*3.33*0.25</f>
        <v>93.65625</v>
      </c>
      <c r="F80" s="94">
        <f>+E80*22</f>
        <v>2060.4375</v>
      </c>
      <c r="G80" s="15"/>
      <c r="H80" s="15"/>
      <c r="I80" s="28"/>
    </row>
    <row r="81" spans="1:9">
      <c r="A81" s="43" t="s">
        <v>419</v>
      </c>
      <c r="B81" s="251">
        <v>450</v>
      </c>
      <c r="C81" s="94">
        <f>+SUM(C77:C80)</f>
        <v>200.47499999999999</v>
      </c>
      <c r="D81" s="94">
        <f>+SUM(D77:D80)</f>
        <v>90933.930375750002</v>
      </c>
      <c r="E81" s="94">
        <f>+SUM(E77:E80)</f>
        <v>458.15625</v>
      </c>
      <c r="F81" s="236">
        <f>+SUM(F77:F80)</f>
        <v>10079.4375</v>
      </c>
      <c r="G81" s="15"/>
      <c r="H81" s="15"/>
      <c r="I81" s="28"/>
    </row>
    <row r="82" spans="1:9" ht="13.5" thickBot="1">
      <c r="A82" s="233" t="s">
        <v>421</v>
      </c>
      <c r="B82" s="234" t="e">
        <f>+#REF!/F81</f>
        <v>#REF!</v>
      </c>
      <c r="C82" s="15"/>
      <c r="D82" s="15"/>
      <c r="E82" s="15"/>
      <c r="F82" s="15"/>
      <c r="G82" s="15"/>
      <c r="H82" s="15"/>
      <c r="I82" s="28"/>
    </row>
    <row r="83" spans="1:9" ht="13.5" thickBot="1">
      <c r="A83" s="230" t="s">
        <v>422</v>
      </c>
      <c r="B83" s="231" t="e">
        <f>+F81-#REF!</f>
        <v>#REF!</v>
      </c>
      <c r="C83" s="129"/>
      <c r="D83" s="129"/>
      <c r="E83" s="129"/>
      <c r="F83" s="129"/>
      <c r="G83" s="129"/>
      <c r="H83" s="129"/>
      <c r="I83" s="130"/>
    </row>
    <row r="84" spans="1:9">
      <c r="F84" s="253" t="s">
        <v>528</v>
      </c>
      <c r="G84" s="253" t="s">
        <v>529</v>
      </c>
    </row>
    <row r="85" spans="1:9">
      <c r="C85" t="s">
        <v>420</v>
      </c>
      <c r="D85">
        <v>453.6</v>
      </c>
      <c r="E85">
        <v>1</v>
      </c>
      <c r="F85">
        <v>453.6</v>
      </c>
      <c r="G85">
        <v>1</v>
      </c>
    </row>
    <row r="86" spans="1:9">
      <c r="C86" s="253" t="s">
        <v>518</v>
      </c>
      <c r="D86">
        <v>250</v>
      </c>
      <c r="E86">
        <f>(D86*E85)/D85</f>
        <v>0.55114638447971775</v>
      </c>
      <c r="F86">
        <v>144000</v>
      </c>
      <c r="G86">
        <f>(F86*G85)/F85</f>
        <v>317.46031746031747</v>
      </c>
    </row>
    <row r="87" spans="1:9">
      <c r="D87" s="253" t="s">
        <v>529</v>
      </c>
      <c r="E87" s="253" t="s">
        <v>530</v>
      </c>
    </row>
    <row r="88" spans="1:9">
      <c r="D88">
        <v>2.2000000000000002</v>
      </c>
      <c r="E88">
        <v>1</v>
      </c>
    </row>
    <row r="89" spans="1:9">
      <c r="D89">
        <v>1</v>
      </c>
      <c r="E89">
        <f>(D89*E88)/D88</f>
        <v>0.45454545454545453</v>
      </c>
    </row>
    <row r="102" spans="2:11" hidden="1"/>
    <row r="104" spans="2:11" ht="25.5" customHeight="1">
      <c r="H104" s="253"/>
      <c r="I104" s="315"/>
      <c r="J104" s="315"/>
    </row>
    <row r="107" spans="2:11" ht="13.5" thickBot="1"/>
    <row r="108" spans="2:11" ht="13.5" thickBot="1">
      <c r="B108" s="552" t="s">
        <v>405</v>
      </c>
      <c r="C108" s="553"/>
      <c r="D108" s="552" t="s">
        <v>552</v>
      </c>
      <c r="E108" s="553"/>
      <c r="J108" s="324" t="s">
        <v>354</v>
      </c>
      <c r="K108">
        <v>30</v>
      </c>
    </row>
    <row r="109" spans="2:11" ht="18.75" customHeight="1" thickBot="1">
      <c r="B109" s="554"/>
      <c r="C109" s="555"/>
      <c r="D109" s="554"/>
      <c r="E109" s="559"/>
      <c r="F109" s="354" t="s">
        <v>355</v>
      </c>
      <c r="G109" s="335" t="s">
        <v>356</v>
      </c>
      <c r="H109" s="354" t="s">
        <v>357</v>
      </c>
      <c r="I109" s="336" t="s">
        <v>358</v>
      </c>
      <c r="J109" s="253" t="s">
        <v>481</v>
      </c>
      <c r="K109" s="253" t="s">
        <v>294</v>
      </c>
    </row>
    <row r="110" spans="2:11" ht="13.5" thickBot="1">
      <c r="B110" s="176" t="s">
        <v>378</v>
      </c>
      <c r="C110" s="226">
        <v>0.45</v>
      </c>
      <c r="D110" s="176" t="s">
        <v>378</v>
      </c>
      <c r="E110" s="343">
        <f>+Poblacion!$C$66*C110</f>
        <v>97768.283859116884</v>
      </c>
      <c r="F110" s="351">
        <f>$D$61*C110</f>
        <v>100701.33237489035</v>
      </c>
      <c r="G110" s="352">
        <f>$E$61*C110</f>
        <v>103722.37234613705</v>
      </c>
      <c r="H110" s="351">
        <f>$F$61*C110</f>
        <v>106834.04351652117</v>
      </c>
      <c r="I110" s="353">
        <f>$G$61*C110</f>
        <v>110039.06482201684</v>
      </c>
      <c r="J110" s="92">
        <f>E110/12</f>
        <v>8147.3569882597403</v>
      </c>
      <c r="K110" s="92">
        <f>J110/$K$108</f>
        <v>271.5785662753247</v>
      </c>
    </row>
    <row r="111" spans="2:11" ht="13.5" thickBot="1">
      <c r="B111" s="217" t="s">
        <v>403</v>
      </c>
      <c r="C111" s="227">
        <v>0.3</v>
      </c>
      <c r="D111" s="217" t="s">
        <v>403</v>
      </c>
      <c r="E111" s="343">
        <f>+Poblacion!$C$66*C111</f>
        <v>65178.855906077915</v>
      </c>
      <c r="F111" s="345">
        <f>$D$61*C111</f>
        <v>67134.221583260223</v>
      </c>
      <c r="G111" s="347">
        <f>$E$61*C111</f>
        <v>69148.248230758036</v>
      </c>
      <c r="H111" s="345">
        <f>$F$61*C111</f>
        <v>71222.695677680778</v>
      </c>
      <c r="I111" s="349">
        <f>$G$61*C111</f>
        <v>73359.37654801122</v>
      </c>
      <c r="J111" s="92">
        <f>E111/12</f>
        <v>5431.5713255064929</v>
      </c>
      <c r="K111" s="92">
        <f>J111/$K$108</f>
        <v>181.0523775168831</v>
      </c>
    </row>
    <row r="112" spans="2:11" ht="13.5" thickBot="1">
      <c r="B112" s="217" t="s">
        <v>404</v>
      </c>
      <c r="C112" s="227">
        <v>0.25</v>
      </c>
      <c r="D112" s="217" t="s">
        <v>404</v>
      </c>
      <c r="E112" s="343">
        <f>+Poblacion!$C$66*C112</f>
        <v>54315.713255064933</v>
      </c>
      <c r="F112" s="345">
        <f>$D$61*C112</f>
        <v>55945.18465271686</v>
      </c>
      <c r="G112" s="347">
        <f>$E$61*C112</f>
        <v>57623.540192298366</v>
      </c>
      <c r="H112" s="345">
        <f>$F$61*C112</f>
        <v>59352.246398067313</v>
      </c>
      <c r="I112" s="349">
        <f>$G$61*C112</f>
        <v>61132.81379000935</v>
      </c>
      <c r="J112" s="92">
        <f>E112/12</f>
        <v>4526.3094379220774</v>
      </c>
      <c r="K112" s="92">
        <f>J112/$K$108</f>
        <v>150.87698126406926</v>
      </c>
    </row>
    <row r="113" spans="2:11" ht="13.5" thickBot="1">
      <c r="B113" s="218" t="s">
        <v>407</v>
      </c>
      <c r="C113" s="228">
        <v>0</v>
      </c>
      <c r="D113" s="218" t="s">
        <v>407</v>
      </c>
      <c r="E113" s="343">
        <f>+Poblacion!$C$66*C113</f>
        <v>0</v>
      </c>
      <c r="F113" s="345">
        <f>$D$61*C113</f>
        <v>0</v>
      </c>
      <c r="G113" s="347">
        <f>$E$61*C113</f>
        <v>0</v>
      </c>
      <c r="H113" s="345">
        <f>$F$61*C113</f>
        <v>0</v>
      </c>
      <c r="I113" s="349">
        <f>$G$61*C113</f>
        <v>0</v>
      </c>
      <c r="J113" s="92">
        <f>E113/12</f>
        <v>0</v>
      </c>
      <c r="K113" s="92">
        <f>J113/$K$108</f>
        <v>0</v>
      </c>
    </row>
    <row r="114" spans="2:11" ht="16.5" thickBot="1">
      <c r="B114" s="219" t="s">
        <v>408</v>
      </c>
      <c r="C114" s="229">
        <f>+SUM(C110:C113)</f>
        <v>1</v>
      </c>
      <c r="D114" s="219" t="s">
        <v>408</v>
      </c>
      <c r="E114" s="344">
        <f>SUM(E110:E113)</f>
        <v>217262.85302025973</v>
      </c>
      <c r="F114" s="346">
        <f>$D$61*C114</f>
        <v>223780.73861086744</v>
      </c>
      <c r="G114" s="348">
        <f>$E$61*C114</f>
        <v>230494.16076919346</v>
      </c>
      <c r="H114" s="346">
        <f>$F$61*C114</f>
        <v>237408.98559226925</v>
      </c>
      <c r="I114" s="350">
        <f>$G$61*C114</f>
        <v>244531.2551600374</v>
      </c>
      <c r="J114" s="92">
        <f>SUM(J110:J113)</f>
        <v>18105.23775168831</v>
      </c>
      <c r="K114" s="92">
        <f>J114/$K$108</f>
        <v>603.50792505627703</v>
      </c>
    </row>
    <row r="119" spans="2:11">
      <c r="D119" s="253" t="s">
        <v>524</v>
      </c>
      <c r="E119" s="253" t="s">
        <v>525</v>
      </c>
      <c r="F119" s="253" t="s">
        <v>527</v>
      </c>
      <c r="G119" s="253" t="s">
        <v>526</v>
      </c>
    </row>
    <row r="120" spans="2:11">
      <c r="D120">
        <v>576</v>
      </c>
      <c r="F120">
        <f>D120*250</f>
        <v>144000</v>
      </c>
    </row>
  </sheetData>
  <mergeCells count="14">
    <mergeCell ref="C46:D46"/>
    <mergeCell ref="C2:F2"/>
    <mergeCell ref="C3:F3"/>
    <mergeCell ref="A21:H21"/>
    <mergeCell ref="A34:G34"/>
    <mergeCell ref="C45:D45"/>
    <mergeCell ref="K47:L47"/>
    <mergeCell ref="M47:Q47"/>
    <mergeCell ref="G66:H66"/>
    <mergeCell ref="B75:D75"/>
    <mergeCell ref="B108:C109"/>
    <mergeCell ref="A74:I74"/>
    <mergeCell ref="D108:E109"/>
    <mergeCell ref="H47:J47"/>
  </mergeCells>
  <phoneticPr fontId="2" type="noConversion"/>
  <pageMargins left="0.75" right="0.75" top="1" bottom="1" header="0" footer="0"/>
  <pageSetup paperSize="9" orientation="portrait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16"/>
  <sheetViews>
    <sheetView workbookViewId="0">
      <selection activeCell="C5" sqref="C5"/>
    </sheetView>
  </sheetViews>
  <sheetFormatPr baseColWidth="10" defaultRowHeight="12.75"/>
  <cols>
    <col min="2" max="2" width="18.140625" customWidth="1"/>
  </cols>
  <sheetData>
    <row r="2" spans="2:9">
      <c r="E2" s="3" t="s">
        <v>551</v>
      </c>
    </row>
    <row r="4" spans="2:9"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/>
      <c r="I4" s="3"/>
    </row>
    <row r="5" spans="2:9">
      <c r="B5" s="341" t="s">
        <v>554</v>
      </c>
      <c r="C5" s="339">
        <f>Costos!C68</f>
        <v>2.8901974363379974</v>
      </c>
      <c r="D5" s="339">
        <f>C5</f>
        <v>2.8901974363379974</v>
      </c>
      <c r="E5" s="339">
        <f>D5</f>
        <v>2.8901974363379974</v>
      </c>
      <c r="F5" s="339">
        <f>E5</f>
        <v>2.8901974363379974</v>
      </c>
      <c r="G5" s="339">
        <f>F5</f>
        <v>2.8901974363379974</v>
      </c>
      <c r="H5" s="3"/>
      <c r="I5" s="3"/>
    </row>
    <row r="6" spans="2:9">
      <c r="B6" s="341" t="s">
        <v>555</v>
      </c>
      <c r="C6" s="340">
        <f>Poblacion!E110</f>
        <v>97768.283859116884</v>
      </c>
      <c r="D6" s="253">
        <f>Poblacion!F110</f>
        <v>100701.33237489035</v>
      </c>
      <c r="E6" s="340">
        <f>Poblacion!G110</f>
        <v>103722.37234613705</v>
      </c>
      <c r="F6" s="253">
        <f>Poblacion!H110</f>
        <v>106834.04351652117</v>
      </c>
      <c r="G6" s="340">
        <f>Poblacion!I110</f>
        <v>110039.06482201684</v>
      </c>
      <c r="H6" s="3"/>
      <c r="I6" s="3"/>
    </row>
    <row r="7" spans="2:9">
      <c r="B7" s="341" t="s">
        <v>556</v>
      </c>
      <c r="C7" s="339">
        <f>Costos!F68</f>
        <v>2.8866054110756751</v>
      </c>
      <c r="D7" s="339">
        <f>C7</f>
        <v>2.8866054110756751</v>
      </c>
      <c r="E7" s="339">
        <f>D7</f>
        <v>2.8866054110756751</v>
      </c>
      <c r="F7" s="339">
        <f>E7</f>
        <v>2.8866054110756751</v>
      </c>
      <c r="G7" s="339">
        <f>F7</f>
        <v>2.8866054110756751</v>
      </c>
      <c r="H7" s="3"/>
      <c r="I7" s="3"/>
    </row>
    <row r="8" spans="2:9">
      <c r="B8" s="341" t="s">
        <v>557</v>
      </c>
      <c r="C8" s="340">
        <f>Poblacion!E$111</f>
        <v>65178.855906077915</v>
      </c>
      <c r="D8" s="340">
        <f>Poblacion!F$111</f>
        <v>67134.221583260223</v>
      </c>
      <c r="E8" s="340">
        <f>Poblacion!G$111</f>
        <v>69148.248230758036</v>
      </c>
      <c r="F8" s="340">
        <f>Poblacion!H$111</f>
        <v>71222.695677680778</v>
      </c>
      <c r="G8" s="340">
        <f>Poblacion!I$111</f>
        <v>73359.37654801122</v>
      </c>
      <c r="H8" s="3"/>
      <c r="I8" s="3"/>
    </row>
    <row r="9" spans="2:9">
      <c r="B9" s="341" t="s">
        <v>558</v>
      </c>
      <c r="C9" s="339">
        <f>Costos!J68</f>
        <v>2.5433774045137296</v>
      </c>
      <c r="D9" s="339">
        <f>C9</f>
        <v>2.5433774045137296</v>
      </c>
      <c r="E9" s="339">
        <f>D9</f>
        <v>2.5433774045137296</v>
      </c>
      <c r="F9" s="339">
        <f>E9</f>
        <v>2.5433774045137296</v>
      </c>
      <c r="G9" s="339">
        <f>F9</f>
        <v>2.5433774045137296</v>
      </c>
      <c r="H9" s="3"/>
      <c r="I9" s="3"/>
    </row>
    <row r="10" spans="2:9">
      <c r="B10" s="341" t="s">
        <v>559</v>
      </c>
      <c r="C10" s="340">
        <f>Poblacion!E$112</f>
        <v>54315.713255064933</v>
      </c>
      <c r="D10" s="340">
        <f>Poblacion!F$112</f>
        <v>55945.18465271686</v>
      </c>
      <c r="E10" s="340">
        <f>Poblacion!G$112</f>
        <v>57623.540192298366</v>
      </c>
      <c r="F10" s="340">
        <f>Poblacion!H$112</f>
        <v>59352.246398067313</v>
      </c>
      <c r="G10" s="340">
        <f>Poblacion!I$112</f>
        <v>61132.81379000935</v>
      </c>
      <c r="H10" s="3"/>
      <c r="I10" s="3"/>
    </row>
    <row r="11" spans="2:9">
      <c r="B11" s="341"/>
      <c r="C11" s="3"/>
      <c r="D11" s="253"/>
      <c r="E11" s="3"/>
      <c r="F11" s="3"/>
      <c r="G11" s="3"/>
      <c r="H11" s="3"/>
      <c r="I11" s="3"/>
    </row>
    <row r="12" spans="2:9">
      <c r="B12" s="341" t="s">
        <v>560</v>
      </c>
      <c r="C12" s="253">
        <f>C5*C6</f>
        <v>282569.64336478524</v>
      </c>
      <c r="D12" s="253">
        <f>D5*D6</f>
        <v>291046.73266572866</v>
      </c>
      <c r="E12" s="253">
        <f>E5*E6</f>
        <v>299778.13464570051</v>
      </c>
      <c r="F12" s="253">
        <f>F5*F6</f>
        <v>308771.47868507152</v>
      </c>
      <c r="G12" s="253">
        <f>G5*G6</f>
        <v>318034.62304562377</v>
      </c>
      <c r="H12" s="3"/>
      <c r="I12" s="3"/>
    </row>
    <row r="13" spans="2:9">
      <c r="B13" s="341" t="s">
        <v>561</v>
      </c>
      <c r="C13" s="253">
        <f>C7*C8</f>
        <v>188145.63814620624</v>
      </c>
      <c r="D13" s="253">
        <f>D7*D8</f>
        <v>193790.00729059233</v>
      </c>
      <c r="E13" s="253">
        <f>E7*E8</f>
        <v>199603.70750931013</v>
      </c>
      <c r="F13" s="253">
        <f>F7*F8</f>
        <v>205591.81873458944</v>
      </c>
      <c r="G13" s="253">
        <f>G7*G8</f>
        <v>211759.57329662718</v>
      </c>
      <c r="H13" s="3"/>
      <c r="I13" s="3"/>
    </row>
    <row r="14" spans="2:9">
      <c r="B14" s="341" t="s">
        <v>562</v>
      </c>
      <c r="C14" s="253">
        <f>C9*C10</f>
        <v>138145.35780297904</v>
      </c>
      <c r="D14" s="253">
        <f>D9*D10</f>
        <v>142289.71853706834</v>
      </c>
      <c r="E14" s="253">
        <f>E9*E10</f>
        <v>146558.4100931804</v>
      </c>
      <c r="F14" s="253">
        <f>F9*F10</f>
        <v>150955.16239597581</v>
      </c>
      <c r="G14" s="253">
        <f>G9*G10</f>
        <v>155483.81726785511</v>
      </c>
      <c r="H14" s="3"/>
      <c r="I14" s="3"/>
    </row>
    <row r="15" spans="2:9">
      <c r="B15" s="341"/>
      <c r="C15" s="3"/>
      <c r="D15" s="3"/>
      <c r="E15" s="3"/>
      <c r="F15" s="3"/>
      <c r="G15" s="3"/>
      <c r="H15" s="3"/>
      <c r="I15" s="3"/>
    </row>
    <row r="16" spans="2:9">
      <c r="B16" s="341" t="s">
        <v>553</v>
      </c>
      <c r="C16" s="3">
        <f>SUM(C12:C14)</f>
        <v>608860.63931397058</v>
      </c>
      <c r="D16" s="3">
        <f>SUM(D12:D14)</f>
        <v>627126.45849338931</v>
      </c>
      <c r="E16" s="3">
        <f>SUM(E12:E14)</f>
        <v>645940.25224819104</v>
      </c>
      <c r="F16" s="3">
        <f>SUM(F12:F14)</f>
        <v>665318.45981563674</v>
      </c>
      <c r="G16" s="3">
        <f>SUM(G12:G14)</f>
        <v>685278.01361010596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152"/>
  <sheetViews>
    <sheetView topLeftCell="A37" zoomScale="85" workbookViewId="0">
      <selection activeCell="D74" sqref="D74"/>
    </sheetView>
  </sheetViews>
  <sheetFormatPr baseColWidth="10" defaultRowHeight="12.75"/>
  <cols>
    <col min="2" max="2" width="43.42578125" bestFit="1" customWidth="1"/>
    <col min="3" max="3" width="16.28515625" customWidth="1"/>
    <col min="4" max="4" width="14.140625" customWidth="1"/>
    <col min="5" max="5" width="47.85546875" bestFit="1" customWidth="1"/>
    <col min="6" max="6" width="18.7109375" bestFit="1" customWidth="1"/>
    <col min="9" max="9" width="31" customWidth="1"/>
    <col min="10" max="10" width="29" bestFit="1" customWidth="1"/>
  </cols>
  <sheetData>
    <row r="2" spans="1:7" ht="13.5" thickBot="1"/>
    <row r="3" spans="1:7" ht="15.75">
      <c r="B3" s="542" t="s">
        <v>393</v>
      </c>
      <c r="C3" s="543"/>
      <c r="D3" s="543"/>
      <c r="E3" s="543"/>
      <c r="F3" s="544"/>
      <c r="G3" s="164"/>
    </row>
    <row r="4" spans="1:7">
      <c r="B4" s="566" t="s">
        <v>201</v>
      </c>
      <c r="C4" s="567"/>
      <c r="D4" s="567"/>
      <c r="E4" s="567"/>
      <c r="F4" s="568"/>
      <c r="G4" s="200"/>
    </row>
    <row r="5" spans="1:7">
      <c r="B5" s="167" t="s">
        <v>362</v>
      </c>
      <c r="C5" s="9" t="s">
        <v>8</v>
      </c>
      <c r="D5" s="9" t="s">
        <v>363</v>
      </c>
      <c r="E5" s="9" t="s">
        <v>364</v>
      </c>
      <c r="F5" s="168" t="s">
        <v>365</v>
      </c>
      <c r="G5" s="163"/>
    </row>
    <row r="6" spans="1:7">
      <c r="B6" s="72" t="s">
        <v>366</v>
      </c>
      <c r="C6" s="8">
        <v>1</v>
      </c>
      <c r="D6" s="166">
        <f>+Gastos!I28</f>
        <v>250</v>
      </c>
      <c r="E6" s="8">
        <f>+D6*C6</f>
        <v>250</v>
      </c>
      <c r="F6" s="25">
        <f>+E6*12</f>
        <v>3000</v>
      </c>
      <c r="G6" s="15"/>
    </row>
    <row r="7" spans="1:7" ht="16.5">
      <c r="A7" s="2"/>
      <c r="B7" s="258" t="s">
        <v>454</v>
      </c>
      <c r="C7" s="8">
        <v>1</v>
      </c>
      <c r="D7" s="166">
        <v>200</v>
      </c>
      <c r="E7" s="8">
        <f>+D7*C7</f>
        <v>200</v>
      </c>
      <c r="F7" s="25">
        <f>+E7*12</f>
        <v>2400</v>
      </c>
      <c r="G7" s="15"/>
    </row>
    <row r="8" spans="1:7" ht="17.25" thickBot="1">
      <c r="A8" s="1"/>
      <c r="B8" s="108" t="s">
        <v>262</v>
      </c>
      <c r="C8" s="26">
        <f>+SUM(C6:C7)</f>
        <v>2</v>
      </c>
      <c r="D8" s="26">
        <f>+SUM(D6:D7)</f>
        <v>450</v>
      </c>
      <c r="E8" s="372">
        <f>+SUM(E6:E7)</f>
        <v>450</v>
      </c>
      <c r="F8" s="26">
        <f>+SUM(F6:F7)</f>
        <v>5400</v>
      </c>
      <c r="G8" s="15"/>
    </row>
    <row r="9" spans="1:7">
      <c r="B9" s="237" t="s">
        <v>232</v>
      </c>
    </row>
    <row r="10" spans="1:7" ht="13.5" thickBot="1"/>
    <row r="11" spans="1:7" ht="15.75">
      <c r="B11" s="542" t="s">
        <v>546</v>
      </c>
      <c r="C11" s="543"/>
      <c r="D11" s="543"/>
      <c r="E11" s="543"/>
      <c r="F11" s="544"/>
      <c r="G11" s="164"/>
    </row>
    <row r="12" spans="1:7">
      <c r="B12" s="566" t="s">
        <v>541</v>
      </c>
      <c r="C12" s="567"/>
      <c r="D12" s="567"/>
      <c r="E12" s="567"/>
      <c r="F12" s="568"/>
      <c r="G12" s="200"/>
    </row>
    <row r="13" spans="1:7">
      <c r="B13" s="167" t="s">
        <v>362</v>
      </c>
      <c r="C13" s="9" t="s">
        <v>8</v>
      </c>
      <c r="D13" s="9" t="s">
        <v>363</v>
      </c>
      <c r="E13" s="9" t="s">
        <v>364</v>
      </c>
      <c r="F13" s="168" t="s">
        <v>365</v>
      </c>
      <c r="G13" s="163"/>
    </row>
    <row r="14" spans="1:7">
      <c r="B14" s="72" t="s">
        <v>367</v>
      </c>
      <c r="C14" s="8">
        <v>1</v>
      </c>
      <c r="D14" s="166">
        <v>450</v>
      </c>
      <c r="E14" s="8">
        <f>+D14*C14</f>
        <v>450</v>
      </c>
      <c r="F14" s="25">
        <f>+E14*12</f>
        <v>5400</v>
      </c>
      <c r="G14" s="15"/>
    </row>
    <row r="15" spans="1:7">
      <c r="B15" s="169" t="s">
        <v>368</v>
      </c>
      <c r="C15" s="46">
        <v>1</v>
      </c>
      <c r="D15" s="170">
        <v>450</v>
      </c>
      <c r="E15" s="8">
        <f>+D15*C15</f>
        <v>450</v>
      </c>
      <c r="F15" s="25">
        <f>+E15*12</f>
        <v>5400</v>
      </c>
      <c r="G15" s="15"/>
    </row>
    <row r="16" spans="1:7">
      <c r="B16" s="254" t="s">
        <v>455</v>
      </c>
      <c r="C16" s="46">
        <v>2</v>
      </c>
      <c r="D16" s="170">
        <v>350</v>
      </c>
      <c r="E16" s="8">
        <f>+D16*C16</f>
        <v>700</v>
      </c>
      <c r="F16" s="25">
        <f>+E16*12</f>
        <v>8400</v>
      </c>
      <c r="G16" s="15"/>
    </row>
    <row r="17" spans="2:15">
      <c r="B17" s="254" t="s">
        <v>533</v>
      </c>
      <c r="C17" s="46">
        <v>3</v>
      </c>
      <c r="D17" s="170">
        <v>300</v>
      </c>
      <c r="E17" s="255">
        <f>D17*C17</f>
        <v>900</v>
      </c>
      <c r="F17" s="256">
        <f>E17*12</f>
        <v>10800</v>
      </c>
      <c r="G17" s="15"/>
      <c r="H17" s="253" t="s">
        <v>486</v>
      </c>
      <c r="I17" s="253" t="s">
        <v>483</v>
      </c>
      <c r="K17" s="253" t="s">
        <v>542</v>
      </c>
      <c r="N17" s="253" t="s">
        <v>543</v>
      </c>
    </row>
    <row r="18" spans="2:15">
      <c r="B18" s="254" t="s">
        <v>451</v>
      </c>
      <c r="C18" s="46">
        <v>1</v>
      </c>
      <c r="D18" s="170">
        <v>200</v>
      </c>
      <c r="E18" s="255">
        <f>D18*C18</f>
        <v>200</v>
      </c>
      <c r="F18" s="256">
        <f>E18*12</f>
        <v>2400</v>
      </c>
      <c r="G18" s="15"/>
      <c r="H18">
        <v>1.2</v>
      </c>
      <c r="I18">
        <v>453.6</v>
      </c>
      <c r="K18">
        <v>1.3</v>
      </c>
      <c r="L18">
        <v>453.6</v>
      </c>
      <c r="N18">
        <v>1.7</v>
      </c>
      <c r="O18">
        <v>453.6</v>
      </c>
    </row>
    <row r="19" spans="2:15">
      <c r="B19" s="258" t="s">
        <v>450</v>
      </c>
      <c r="C19" s="8">
        <v>3</v>
      </c>
      <c r="D19" s="166">
        <v>200</v>
      </c>
      <c r="E19" s="8">
        <f>+D19*C19</f>
        <v>600</v>
      </c>
      <c r="F19" s="25">
        <f>+E19*12</f>
        <v>7200</v>
      </c>
      <c r="G19" s="15"/>
      <c r="H19" s="253" t="s">
        <v>484</v>
      </c>
      <c r="I19">
        <v>250</v>
      </c>
      <c r="L19">
        <v>250</v>
      </c>
      <c r="O19">
        <v>250</v>
      </c>
    </row>
    <row r="20" spans="2:15" ht="13.5" thickBot="1">
      <c r="B20" s="108" t="s">
        <v>262</v>
      </c>
      <c r="C20" s="26">
        <f>+SUM(C14:C19)</f>
        <v>11</v>
      </c>
      <c r="D20" s="259">
        <f>+SUM(D14:D19)</f>
        <v>1950</v>
      </c>
      <c r="E20" s="372">
        <f>SUM(E14:E19)</f>
        <v>3300</v>
      </c>
      <c r="F20" s="257">
        <f>+SUM(F14:F19)</f>
        <v>39600</v>
      </c>
      <c r="G20" s="15"/>
    </row>
    <row r="21" spans="2:15">
      <c r="B21" s="237" t="s">
        <v>232</v>
      </c>
      <c r="H21" s="253" t="s">
        <v>485</v>
      </c>
      <c r="I21">
        <f>(I19*H18)/I18</f>
        <v>0.66137566137566139</v>
      </c>
      <c r="K21" s="253" t="s">
        <v>485</v>
      </c>
      <c r="L21">
        <f>+L19*K18/L18</f>
        <v>0.7164902998236331</v>
      </c>
      <c r="N21" s="253" t="s">
        <v>485</v>
      </c>
      <c r="O21">
        <f>+O19*N18/O18</f>
        <v>0.93694885361552027</v>
      </c>
    </row>
    <row r="22" spans="2:15" ht="16.5" customHeight="1"/>
    <row r="24" spans="2:15">
      <c r="B24" s="520" t="s">
        <v>369</v>
      </c>
      <c r="C24" s="520"/>
      <c r="D24" s="520"/>
      <c r="E24" s="520"/>
      <c r="F24" s="520"/>
      <c r="G24" s="520"/>
      <c r="H24" s="520"/>
    </row>
    <row r="25" spans="2:15">
      <c r="B25" s="551" t="s">
        <v>370</v>
      </c>
      <c r="C25" s="551"/>
      <c r="D25" s="551"/>
      <c r="E25" s="551"/>
      <c r="F25" s="551"/>
      <c r="G25" s="551"/>
      <c r="H25" s="551"/>
    </row>
    <row r="26" spans="2:15" ht="16.5" thickBot="1">
      <c r="B26" s="164" t="s">
        <v>397</v>
      </c>
      <c r="C26" s="163"/>
      <c r="D26" s="163"/>
      <c r="E26" s="163"/>
      <c r="F26" s="163"/>
      <c r="G26" s="163"/>
      <c r="H26" s="163"/>
    </row>
    <row r="27" spans="2:15" ht="36">
      <c r="B27" s="181" t="s">
        <v>374</v>
      </c>
      <c r="C27" s="182" t="s">
        <v>375</v>
      </c>
      <c r="D27" s="183" t="s">
        <v>376</v>
      </c>
      <c r="E27" s="183" t="s">
        <v>482</v>
      </c>
      <c r="F27" s="183" t="s">
        <v>423</v>
      </c>
      <c r="G27" s="183" t="s">
        <v>377</v>
      </c>
      <c r="H27" s="183" t="s">
        <v>487</v>
      </c>
      <c r="I27" s="183" t="s">
        <v>386</v>
      </c>
      <c r="K27" s="172"/>
      <c r="L27" s="171"/>
    </row>
    <row r="28" spans="2:15">
      <c r="B28" s="192" t="s">
        <v>49</v>
      </c>
      <c r="C28" s="184" t="s">
        <v>383</v>
      </c>
      <c r="D28" s="185">
        <v>0.2</v>
      </c>
      <c r="E28" s="8"/>
      <c r="F28" s="186">
        <f>Poblacion!J114</f>
        <v>18105.23775168831</v>
      </c>
      <c r="G28" s="187">
        <f>Poblacion!E114</f>
        <v>217262.85302025973</v>
      </c>
      <c r="H28" s="305">
        <f>F28*D28</f>
        <v>3621.047550337662</v>
      </c>
      <c r="I28" s="193">
        <f>+G28*D28</f>
        <v>43452.570604051951</v>
      </c>
      <c r="K28" s="120"/>
      <c r="L28" s="120"/>
    </row>
    <row r="29" spans="2:15" ht="24.75" customHeight="1">
      <c r="B29" s="192" t="s">
        <v>379</v>
      </c>
      <c r="C29" s="188" t="s">
        <v>448</v>
      </c>
      <c r="D29" s="185">
        <f>E29/18</f>
        <v>3.6743092298647854E-2</v>
      </c>
      <c r="E29" s="8">
        <f>I21</f>
        <v>0.66137566137566139</v>
      </c>
      <c r="F29" s="186">
        <f>Poblacion!J110</f>
        <v>8147.3569882597403</v>
      </c>
      <c r="G29" s="187">
        <f>Poblacion!E110</f>
        <v>97768.283859116884</v>
      </c>
      <c r="H29" s="305">
        <f>F29*E29</f>
        <v>5388.4636165739021</v>
      </c>
      <c r="I29" s="193">
        <f>+G29*E29</f>
        <v>64661.563398886829</v>
      </c>
      <c r="K29" s="321"/>
      <c r="L29" s="321"/>
    </row>
    <row r="30" spans="2:15" ht="34.5" customHeight="1">
      <c r="B30" s="192" t="s">
        <v>380</v>
      </c>
      <c r="C30" s="188" t="s">
        <v>384</v>
      </c>
      <c r="D30" s="322"/>
      <c r="E30" s="8">
        <f>+O21</f>
        <v>0.93694885361552027</v>
      </c>
      <c r="F30" s="186">
        <f>Poblacion!J111</f>
        <v>5431.5713255064929</v>
      </c>
      <c r="G30" s="187">
        <f>Poblacion!E111</f>
        <v>65178.855906077915</v>
      </c>
      <c r="H30" s="305">
        <f>F30*E30</f>
        <v>5089.1045267642403</v>
      </c>
      <c r="I30" s="193">
        <f>+G30*E30</f>
        <v>61069.254321170883</v>
      </c>
      <c r="K30" s="321"/>
      <c r="L30" s="321"/>
    </row>
    <row r="31" spans="2:15" ht="24">
      <c r="B31" s="192" t="s">
        <v>381</v>
      </c>
      <c r="C31" s="188" t="s">
        <v>385</v>
      </c>
      <c r="D31" s="322">
        <v>0.65</v>
      </c>
      <c r="E31" s="8">
        <f>+L21</f>
        <v>0.7164902998236331</v>
      </c>
      <c r="F31" s="186">
        <f>Poblacion!J112</f>
        <v>4526.3094379220774</v>
      </c>
      <c r="G31" s="187">
        <f>Poblacion!E112</f>
        <v>54315.713255064933</v>
      </c>
      <c r="H31" s="305">
        <f>F31*E31</f>
        <v>3243.0568062713296</v>
      </c>
      <c r="I31" s="193">
        <f>+G31*E31</f>
        <v>38916.681675255953</v>
      </c>
      <c r="K31" s="317"/>
      <c r="L31" s="318"/>
    </row>
    <row r="32" spans="2:15">
      <c r="B32" s="192" t="s">
        <v>409</v>
      </c>
      <c r="C32" s="188" t="s">
        <v>410</v>
      </c>
      <c r="D32" s="185">
        <v>0.08</v>
      </c>
      <c r="E32" s="160"/>
      <c r="F32" s="186">
        <f>F28</f>
        <v>18105.23775168831</v>
      </c>
      <c r="G32" s="187">
        <f>G28</f>
        <v>217262.85302025973</v>
      </c>
      <c r="H32" s="305">
        <f>F32*D32</f>
        <v>1448.4190201350648</v>
      </c>
      <c r="I32" s="193">
        <f>+G32*D32</f>
        <v>17381.028241620777</v>
      </c>
      <c r="K32" s="317"/>
      <c r="L32" s="318"/>
    </row>
    <row r="33" spans="2:12">
      <c r="B33" s="192" t="s">
        <v>382</v>
      </c>
      <c r="C33" s="188"/>
      <c r="D33" s="189">
        <v>0.08</v>
      </c>
      <c r="E33" s="8"/>
      <c r="F33" s="190">
        <f>F32</f>
        <v>18105.23775168831</v>
      </c>
      <c r="G33" s="187">
        <f>G32</f>
        <v>217262.85302025973</v>
      </c>
      <c r="H33" s="305">
        <f>F33*D33</f>
        <v>1448.4190201350648</v>
      </c>
      <c r="I33" s="193">
        <f>+G33*D33</f>
        <v>17381.028241620777</v>
      </c>
      <c r="K33" s="317"/>
      <c r="L33" s="318"/>
    </row>
    <row r="34" spans="2:12">
      <c r="B34" s="192" t="s">
        <v>308</v>
      </c>
      <c r="C34" s="188"/>
      <c r="D34" s="189">
        <v>0.06</v>
      </c>
      <c r="E34" s="8"/>
      <c r="F34" s="191">
        <f>F33</f>
        <v>18105.23775168831</v>
      </c>
      <c r="G34" s="187">
        <f>G33</f>
        <v>217262.85302025973</v>
      </c>
      <c r="H34" s="305">
        <f>F34*D34</f>
        <v>1086.3142651012986</v>
      </c>
      <c r="I34" s="193">
        <f>+G34*D34</f>
        <v>13035.771181215583</v>
      </c>
      <c r="K34" s="317"/>
      <c r="L34" s="318"/>
    </row>
    <row r="35" spans="2:12" ht="16.5" thickBot="1">
      <c r="B35" s="194" t="s">
        <v>262</v>
      </c>
      <c r="C35" s="195"/>
      <c r="D35" s="196">
        <f>SUM(D28:D34)</f>
        <v>1.1067430922986479</v>
      </c>
      <c r="E35" s="196">
        <f>SUM(E28:E34)</f>
        <v>2.3148148148148149</v>
      </c>
      <c r="F35" s="196">
        <f>SUM(F28:F34)</f>
        <v>90526.188758441553</v>
      </c>
      <c r="G35" s="196">
        <f>SUM(G28:G34)</f>
        <v>1086314.2651012987</v>
      </c>
      <c r="H35" s="358">
        <f>SUM(H28:H34)</f>
        <v>21324.82480531856</v>
      </c>
      <c r="I35" s="373">
        <f>+SUM(I28:I34)</f>
        <v>255897.89766382275</v>
      </c>
      <c r="K35" s="319"/>
      <c r="L35" s="320"/>
    </row>
    <row r="37" spans="2:12" ht="13.5">
      <c r="B37" s="242" t="s">
        <v>425</v>
      </c>
      <c r="C37" s="172"/>
      <c r="D37" s="173"/>
      <c r="E37" s="171"/>
      <c r="F37" s="172"/>
      <c r="G37" s="172"/>
      <c r="H37" s="172"/>
    </row>
    <row r="38" spans="2:12">
      <c r="B38" s="237" t="s">
        <v>232</v>
      </c>
      <c r="C38" s="172"/>
      <c r="D38" s="173"/>
      <c r="E38" s="171"/>
      <c r="F38" s="225"/>
      <c r="G38" s="225"/>
      <c r="H38" s="225"/>
      <c r="I38" s="225"/>
      <c r="J38" s="171"/>
      <c r="K38" s="172"/>
      <c r="L38" s="171"/>
    </row>
    <row r="39" spans="2:12">
      <c r="B39" s="520" t="s">
        <v>393</v>
      </c>
      <c r="C39" s="520"/>
      <c r="D39" s="520"/>
      <c r="E39" s="520"/>
      <c r="F39" s="520"/>
      <c r="G39" s="520"/>
      <c r="H39" s="520"/>
      <c r="I39" s="92"/>
    </row>
    <row r="40" spans="2:12" ht="13.5" thickBot="1">
      <c r="B40" s="520" t="s">
        <v>387</v>
      </c>
      <c r="C40" s="520"/>
      <c r="D40" s="520"/>
      <c r="E40" s="520"/>
      <c r="F40" s="520"/>
      <c r="G40" s="520"/>
      <c r="H40" s="520"/>
      <c r="I40" s="171"/>
      <c r="J40" s="172"/>
      <c r="K40" s="171"/>
    </row>
    <row r="41" spans="2:12">
      <c r="B41" s="176"/>
      <c r="C41" s="177" t="s">
        <v>390</v>
      </c>
      <c r="D41" s="178" t="s">
        <v>389</v>
      </c>
      <c r="E41" s="179" t="s">
        <v>391</v>
      </c>
      <c r="F41" s="180" t="s">
        <v>217</v>
      </c>
      <c r="G41" s="175" t="s">
        <v>363</v>
      </c>
      <c r="H41">
        <v>12</v>
      </c>
      <c r="I41" s="369" t="s">
        <v>597</v>
      </c>
    </row>
    <row r="42" spans="2:12">
      <c r="B42" s="331" t="s">
        <v>14</v>
      </c>
      <c r="C42" s="199">
        <f>+Inversion!G94</f>
        <v>241</v>
      </c>
      <c r="D42" s="198">
        <f>+Inversion!F94</f>
        <v>95.97</v>
      </c>
      <c r="E42" s="8">
        <f>+Inversion!H94</f>
        <v>927.25</v>
      </c>
      <c r="F42" s="199">
        <f>+E42*2</f>
        <v>1854.5</v>
      </c>
      <c r="G42" s="174">
        <f>F42/$H$41</f>
        <v>154.54166666666666</v>
      </c>
      <c r="H42" s="173"/>
      <c r="I42" s="171"/>
      <c r="J42" s="172"/>
      <c r="K42" s="171"/>
    </row>
    <row r="43" spans="2:12">
      <c r="B43" s="331" t="s">
        <v>598</v>
      </c>
      <c r="C43" s="199"/>
      <c r="D43" s="198"/>
      <c r="E43" s="8">
        <f>Inversion!H116</f>
        <v>54.250000000000007</v>
      </c>
      <c r="F43" s="199">
        <f>E43*2</f>
        <v>108.50000000000001</v>
      </c>
      <c r="G43" s="174">
        <f>F43/$H$41</f>
        <v>9.0416666666666679</v>
      </c>
      <c r="H43" s="173"/>
      <c r="I43" s="171"/>
      <c r="J43" s="172"/>
      <c r="K43" s="171"/>
    </row>
    <row r="44" spans="2:12">
      <c r="B44" s="8" t="s">
        <v>392</v>
      </c>
      <c r="C44" s="97">
        <v>12</v>
      </c>
      <c r="D44" s="57">
        <v>50</v>
      </c>
      <c r="E44" s="8">
        <f>+D44*C44</f>
        <v>600</v>
      </c>
      <c r="F44" s="97">
        <f>+E44*2</f>
        <v>1200</v>
      </c>
      <c r="G44" s="174">
        <f>F44/$H$41</f>
        <v>100</v>
      </c>
      <c r="H44" s="172"/>
      <c r="I44" s="171"/>
    </row>
    <row r="45" spans="2:12">
      <c r="B45" s="8" t="s">
        <v>262</v>
      </c>
      <c r="C45" s="199">
        <f>+SUM(C42:C44)</f>
        <v>253</v>
      </c>
      <c r="D45" s="199">
        <f>+SUM(D42:D44)</f>
        <v>145.97</v>
      </c>
      <c r="E45" s="8">
        <f>+SUM(E42:E44)</f>
        <v>1581.5</v>
      </c>
      <c r="F45" s="374">
        <f>+SUM(F42:F44)</f>
        <v>3163</v>
      </c>
      <c r="G45" s="174">
        <f>SUM(G42:G44)</f>
        <v>263.58333333333331</v>
      </c>
      <c r="H45" s="172"/>
      <c r="I45" s="171"/>
    </row>
    <row r="46" spans="2:12">
      <c r="B46" s="237" t="s">
        <v>232</v>
      </c>
    </row>
    <row r="50" spans="1:10">
      <c r="B50" s="520" t="s">
        <v>393</v>
      </c>
      <c r="C50" s="520"/>
      <c r="D50" s="520"/>
      <c r="E50" s="520"/>
      <c r="F50" s="520"/>
      <c r="G50" s="153"/>
    </row>
    <row r="51" spans="1:10" ht="13.5" thickBot="1">
      <c r="B51" s="520" t="s">
        <v>534</v>
      </c>
      <c r="C51" s="520"/>
      <c r="D51" s="520"/>
      <c r="E51" s="520"/>
      <c r="F51" s="520"/>
      <c r="G51" s="153"/>
    </row>
    <row r="52" spans="1:10" ht="42.75" customHeight="1">
      <c r="B52" s="220" t="s">
        <v>373</v>
      </c>
      <c r="C52" s="211" t="s">
        <v>400</v>
      </c>
      <c r="D52" s="221" t="s">
        <v>394</v>
      </c>
      <c r="E52" s="221" t="s">
        <v>371</v>
      </c>
      <c r="F52" s="39" t="s">
        <v>255</v>
      </c>
      <c r="G52" s="113" t="s">
        <v>372</v>
      </c>
    </row>
    <row r="53" spans="1:10">
      <c r="B53" s="197" t="s">
        <v>395</v>
      </c>
      <c r="C53" s="8"/>
      <c r="D53" s="214">
        <v>50</v>
      </c>
      <c r="E53" s="198">
        <f>D53*C59</f>
        <v>74</v>
      </c>
      <c r="F53" s="198">
        <f>+E53*2</f>
        <v>148</v>
      </c>
      <c r="G53" s="212">
        <f>+F53*6</f>
        <v>888</v>
      </c>
    </row>
    <row r="54" spans="1:10" ht="15.75">
      <c r="B54" s="8" t="s">
        <v>535</v>
      </c>
      <c r="C54" s="8"/>
      <c r="D54" s="215"/>
      <c r="E54" s="198">
        <v>4700</v>
      </c>
      <c r="F54" s="198">
        <f>+E54*2</f>
        <v>9400</v>
      </c>
      <c r="G54" s="212">
        <f>+F54*6</f>
        <v>56400</v>
      </c>
    </row>
    <row r="55" spans="1:10">
      <c r="B55" s="8" t="s">
        <v>396</v>
      </c>
      <c r="C55" s="8">
        <v>496.6</v>
      </c>
      <c r="D55" s="216">
        <v>50</v>
      </c>
      <c r="E55" s="57">
        <f>+D55*C58</f>
        <v>109.00000000000001</v>
      </c>
      <c r="F55" s="198">
        <f>+E55*2</f>
        <v>218.00000000000003</v>
      </c>
      <c r="G55" s="212">
        <f>+F55*6</f>
        <v>1308.0000000000002</v>
      </c>
    </row>
    <row r="56" spans="1:10" ht="13.5" thickBot="1">
      <c r="B56" s="222" t="s">
        <v>262</v>
      </c>
      <c r="C56" s="129"/>
      <c r="D56" s="223"/>
      <c r="E56" s="224">
        <f>SUM(E53:E55)</f>
        <v>4883</v>
      </c>
      <c r="F56" s="60">
        <f>SUM(F53:F55)</f>
        <v>9766</v>
      </c>
      <c r="G56" s="380">
        <f>SUM(G53:G55)</f>
        <v>58596</v>
      </c>
    </row>
    <row r="57" spans="1:10" ht="13.5" thickBot="1">
      <c r="A57" s="120"/>
      <c r="B57" s="237" t="s">
        <v>232</v>
      </c>
    </row>
    <row r="58" spans="1:10">
      <c r="A58" s="120"/>
      <c r="B58" s="40" t="s">
        <v>398</v>
      </c>
      <c r="C58" s="213">
        <v>2.1800000000000002</v>
      </c>
    </row>
    <row r="59" spans="1:10" ht="13.5" thickBot="1">
      <c r="A59" s="120"/>
      <c r="B59" s="128" t="s">
        <v>399</v>
      </c>
      <c r="C59" s="130">
        <v>1.48</v>
      </c>
    </row>
    <row r="60" spans="1:10">
      <c r="A60" s="120"/>
      <c r="B60" s="120"/>
      <c r="C60" s="120"/>
      <c r="D60" s="120"/>
      <c r="E60" s="120"/>
      <c r="F60" s="120"/>
      <c r="G60" s="120"/>
    </row>
    <row r="61" spans="1:10">
      <c r="A61" s="120"/>
      <c r="B61" s="120"/>
      <c r="C61" s="120"/>
      <c r="D61" s="120"/>
      <c r="E61" s="120"/>
      <c r="F61" s="120"/>
      <c r="G61" s="120"/>
    </row>
    <row r="62" spans="1:10" ht="15.75">
      <c r="A62" s="120"/>
      <c r="B62" s="326" t="s">
        <v>540</v>
      </c>
      <c r="C62" s="120"/>
      <c r="D62" s="120"/>
      <c r="E62" s="326" t="s">
        <v>544</v>
      </c>
      <c r="F62" s="120"/>
      <c r="G62" s="120"/>
      <c r="I62" s="326" t="s">
        <v>545</v>
      </c>
      <c r="J62" s="120"/>
    </row>
    <row r="63" spans="1:10" ht="15.75">
      <c r="A63" s="120"/>
      <c r="B63" s="326"/>
      <c r="C63" s="120"/>
      <c r="D63" s="120"/>
      <c r="E63" s="326"/>
      <c r="F63" s="120"/>
      <c r="G63" s="120"/>
      <c r="I63" s="326"/>
      <c r="J63" s="120"/>
    </row>
    <row r="64" spans="1:10" ht="15.75">
      <c r="A64" s="120"/>
      <c r="B64" s="326" t="s">
        <v>538</v>
      </c>
      <c r="C64" s="328">
        <f>+E29+D33+D34+D32+D28</f>
        <v>1.0813756613756613</v>
      </c>
      <c r="D64" s="315"/>
      <c r="E64" s="326" t="s">
        <v>538</v>
      </c>
      <c r="F64" s="328">
        <f>+E30+D28+D32+D33+D34</f>
        <v>1.3569488536155205</v>
      </c>
      <c r="G64" s="120"/>
      <c r="I64" s="326" t="s">
        <v>538</v>
      </c>
      <c r="J64" s="328">
        <f>+E31+D28+D32+D33+D34</f>
        <v>1.136490299823633</v>
      </c>
    </row>
    <row r="65" spans="1:11" ht="15.75">
      <c r="A65" s="120"/>
      <c r="B65" s="326" t="s">
        <v>536</v>
      </c>
      <c r="C65" s="337">
        <f>+(F20+G56+F8+F45+Gastos!F10+Gastos!E34+Gastos!C111+Gastos!C43+Gastos!C48)/G28</f>
        <v>0.89821162378735064</v>
      </c>
      <c r="D65" s="120"/>
      <c r="E65" s="326" t="s">
        <v>536</v>
      </c>
      <c r="F65" s="338">
        <f>+(F20+G56+F8+F45+Gastos!F10+Gastos!E34+Gastos!C111+Gastos!C43+Gastos!C48)/G28</f>
        <v>0.89821162378735064</v>
      </c>
      <c r="G65" s="120"/>
      <c r="I65" s="326" t="s">
        <v>536</v>
      </c>
      <c r="J65" s="330">
        <f>+(F20+G56+F8+F45+Gastos!F10+Gastos!E34+Gastos!C111+Gastos!C43+Gastos!C48)/G28</f>
        <v>0.89821162378735064</v>
      </c>
    </row>
    <row r="66" spans="1:11" ht="15.75">
      <c r="A66" s="120"/>
      <c r="B66" s="326" t="s">
        <v>537</v>
      </c>
      <c r="C66" s="333">
        <v>0.46</v>
      </c>
      <c r="D66" s="120"/>
      <c r="E66" s="326" t="s">
        <v>537</v>
      </c>
      <c r="F66" s="329">
        <v>0.28000000000000003</v>
      </c>
      <c r="G66" s="120"/>
      <c r="I66" s="326" t="s">
        <v>537</v>
      </c>
      <c r="J66" s="329">
        <v>0.25</v>
      </c>
    </row>
    <row r="67" spans="1:11" ht="15.75">
      <c r="A67" s="120"/>
      <c r="B67" s="326" t="s">
        <v>539</v>
      </c>
      <c r="C67" s="332">
        <f>+C64+C65+C66*(C64+C65)</f>
        <v>2.8901974363379974</v>
      </c>
      <c r="D67" s="120"/>
      <c r="E67" s="326" t="s">
        <v>539</v>
      </c>
      <c r="F67" s="332">
        <f>+F64+F65+F66*(F64+F65)</f>
        <v>2.8866054110756751</v>
      </c>
      <c r="G67" s="120"/>
      <c r="I67" s="326" t="s">
        <v>539</v>
      </c>
      <c r="J67" s="332">
        <f>+J64+J65+J66*(J64+J65)</f>
        <v>2.5433774045137296</v>
      </c>
      <c r="K67" s="253" t="s">
        <v>547</v>
      </c>
    </row>
    <row r="68" spans="1:11" ht="15.75">
      <c r="A68" s="120"/>
      <c r="B68" s="326" t="s">
        <v>732</v>
      </c>
      <c r="C68" s="327">
        <f>+C67</f>
        <v>2.8901974363379974</v>
      </c>
      <c r="D68" s="120"/>
      <c r="E68" s="326" t="s">
        <v>732</v>
      </c>
      <c r="F68" s="327">
        <f>+F67</f>
        <v>2.8866054110756751</v>
      </c>
      <c r="G68" s="120"/>
      <c r="I68" s="326" t="s">
        <v>548</v>
      </c>
      <c r="J68" s="101">
        <f>+J67</f>
        <v>2.5433774045137296</v>
      </c>
    </row>
    <row r="69" spans="1:11" ht="15.75">
      <c r="A69" s="120"/>
      <c r="B69" s="326"/>
      <c r="C69" s="120"/>
      <c r="D69" s="120"/>
      <c r="E69" s="120"/>
      <c r="F69" s="120"/>
      <c r="G69" s="120"/>
    </row>
    <row r="70" spans="1:11" ht="15.75">
      <c r="A70" s="120"/>
      <c r="B70" s="326" t="s">
        <v>733</v>
      </c>
      <c r="C70" s="498">
        <v>0.1</v>
      </c>
      <c r="D70" s="120">
        <f>+C67*(1+C70)</f>
        <v>3.1792171799717974</v>
      </c>
      <c r="E70" s="326" t="s">
        <v>733</v>
      </c>
      <c r="F70" s="498">
        <v>0.1</v>
      </c>
      <c r="G70" s="120">
        <f>+F67*(1+F70)</f>
        <v>3.1752659521832429</v>
      </c>
      <c r="I70" s="326" t="s">
        <v>733</v>
      </c>
      <c r="J70" s="498">
        <v>0.1</v>
      </c>
      <c r="K70" s="120">
        <f>+J67*(1+J70)</f>
        <v>2.7977151449651028</v>
      </c>
    </row>
    <row r="71" spans="1:11">
      <c r="A71" s="120"/>
      <c r="B71" s="120"/>
      <c r="D71" s="120"/>
      <c r="E71" s="120"/>
      <c r="F71" s="120"/>
      <c r="G71" s="120"/>
    </row>
    <row r="72" spans="1:11">
      <c r="A72" s="120"/>
      <c r="B72" s="201"/>
      <c r="C72" s="201"/>
      <c r="D72" s="208"/>
      <c r="E72" s="209"/>
      <c r="F72" s="120"/>
      <c r="G72" s="120"/>
    </row>
    <row r="73" spans="1:11" ht="15.75">
      <c r="A73" s="120"/>
      <c r="B73" s="201"/>
      <c r="C73" s="325"/>
      <c r="D73" s="202"/>
      <c r="E73" s="203"/>
      <c r="F73" s="120"/>
      <c r="G73" s="120"/>
    </row>
    <row r="74" spans="1:11">
      <c r="A74" s="120"/>
      <c r="B74" s="201"/>
      <c r="C74" s="201"/>
      <c r="D74" s="203"/>
      <c r="E74" s="338"/>
      <c r="F74" s="120"/>
      <c r="G74" s="120"/>
    </row>
    <row r="75" spans="1:11">
      <c r="A75" s="201"/>
      <c r="B75" s="201"/>
      <c r="C75" s="203"/>
      <c r="D75" s="203"/>
      <c r="E75" s="120"/>
      <c r="F75" s="120"/>
    </row>
    <row r="76" spans="1:11">
      <c r="A76" s="204"/>
      <c r="B76" s="201"/>
      <c r="C76" s="203"/>
      <c r="D76" s="203"/>
      <c r="E76" s="120"/>
      <c r="F76" s="120"/>
    </row>
    <row r="77" spans="1:11">
      <c r="A77" s="201"/>
      <c r="B77" s="201"/>
      <c r="C77" s="205"/>
      <c r="D77" s="205"/>
      <c r="E77" s="120"/>
      <c r="F77" s="120"/>
    </row>
    <row r="78" spans="1:11">
      <c r="A78" s="201"/>
      <c r="B78" s="206"/>
      <c r="C78" s="205"/>
      <c r="D78" s="207"/>
      <c r="E78" s="120"/>
      <c r="F78" s="120"/>
    </row>
    <row r="79" spans="1:11">
      <c r="A79" s="201"/>
      <c r="B79" s="206"/>
      <c r="C79" s="205"/>
      <c r="D79" s="205"/>
      <c r="E79" s="120"/>
      <c r="F79" s="120"/>
    </row>
    <row r="80" spans="1:11">
      <c r="A80" s="201"/>
      <c r="B80" s="206"/>
      <c r="C80" s="205"/>
      <c r="D80" s="205"/>
      <c r="E80" s="120"/>
      <c r="F80" s="120"/>
    </row>
    <row r="81" spans="1:6">
      <c r="A81" s="201"/>
      <c r="B81" s="201"/>
      <c r="C81" s="205"/>
      <c r="D81" s="205"/>
      <c r="E81" s="120"/>
      <c r="F81" s="120"/>
    </row>
    <row r="82" spans="1:6">
      <c r="A82" s="201"/>
      <c r="B82" s="201"/>
      <c r="C82" s="205"/>
      <c r="D82" s="205"/>
      <c r="E82" s="120"/>
      <c r="F82" s="120"/>
    </row>
    <row r="83" spans="1:6">
      <c r="A83" s="201"/>
      <c r="B83" s="201"/>
      <c r="C83" s="205"/>
      <c r="D83" s="205"/>
      <c r="E83" s="120"/>
      <c r="F83" s="120"/>
    </row>
    <row r="84" spans="1:6">
      <c r="A84" s="201"/>
      <c r="B84" s="204"/>
      <c r="C84" s="205"/>
      <c r="D84" s="205"/>
      <c r="E84" s="120"/>
      <c r="F84" s="120"/>
    </row>
    <row r="85" spans="1:6">
      <c r="A85" s="201"/>
      <c r="B85" s="120"/>
      <c r="C85" s="120"/>
      <c r="D85" s="210"/>
      <c r="E85" s="120"/>
      <c r="F85" s="120"/>
    </row>
    <row r="86" spans="1:6">
      <c r="A86" s="120"/>
      <c r="B86" s="120"/>
      <c r="C86" s="120"/>
      <c r="D86" s="120"/>
      <c r="E86" s="120"/>
      <c r="F86" s="120"/>
    </row>
    <row r="87" spans="1:6">
      <c r="A87" s="120"/>
      <c r="B87" s="120"/>
      <c r="C87" s="120"/>
      <c r="D87" s="120"/>
      <c r="E87" s="120"/>
      <c r="F87" s="120"/>
    </row>
    <row r="121" spans="5:5">
      <c r="E121" s="323"/>
    </row>
    <row r="138" spans="2:2">
      <c r="B138" s="3"/>
    </row>
    <row r="140" spans="2:2">
      <c r="B140" s="3"/>
    </row>
    <row r="151" spans="2:8">
      <c r="B151" s="3"/>
    </row>
    <row r="152" spans="2:8">
      <c r="C152" s="3"/>
      <c r="D152" s="3"/>
      <c r="E152" s="3"/>
      <c r="F152" s="3"/>
      <c r="G152" s="3"/>
      <c r="H152" s="3"/>
    </row>
  </sheetData>
  <mergeCells count="10">
    <mergeCell ref="B50:F50"/>
    <mergeCell ref="B51:F51"/>
    <mergeCell ref="B40:H40"/>
    <mergeCell ref="B39:H39"/>
    <mergeCell ref="B3:F3"/>
    <mergeCell ref="B4:F4"/>
    <mergeCell ref="B11:F11"/>
    <mergeCell ref="B12:F12"/>
    <mergeCell ref="B25:H25"/>
    <mergeCell ref="B24:H24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O161"/>
  <sheetViews>
    <sheetView topLeftCell="B1" zoomScale="85" workbookViewId="0">
      <selection activeCell="C38" sqref="C38"/>
    </sheetView>
  </sheetViews>
  <sheetFormatPr baseColWidth="10" defaultRowHeight="12.75"/>
  <cols>
    <col min="1" max="1" width="33.42578125" customWidth="1"/>
    <col min="2" max="2" width="54.42578125" customWidth="1"/>
    <col min="3" max="3" width="23.85546875" customWidth="1"/>
    <col min="4" max="4" width="21.5703125" customWidth="1"/>
    <col min="5" max="5" width="18.140625" bestFit="1" customWidth="1"/>
    <col min="6" max="6" width="16.28515625" customWidth="1"/>
    <col min="7" max="7" width="33" bestFit="1" customWidth="1"/>
    <col min="9" max="9" width="33.42578125" customWidth="1"/>
    <col min="12" max="12" width="24.140625" customWidth="1"/>
  </cols>
  <sheetData>
    <row r="2" spans="2:10" ht="20.25">
      <c r="C2" s="314"/>
    </row>
    <row r="3" spans="2:10" ht="16.5" thickBot="1">
      <c r="B3" s="587" t="s">
        <v>79</v>
      </c>
      <c r="C3" s="587"/>
      <c r="D3" s="587"/>
      <c r="E3" s="587"/>
      <c r="F3" s="587"/>
      <c r="G3" s="164"/>
      <c r="H3" s="127"/>
    </row>
    <row r="4" spans="2:10" ht="15.75">
      <c r="B4" s="162" t="s">
        <v>426</v>
      </c>
      <c r="C4" s="39" t="s">
        <v>394</v>
      </c>
      <c r="D4" s="39" t="s">
        <v>371</v>
      </c>
      <c r="E4" s="39" t="s">
        <v>427</v>
      </c>
      <c r="F4" s="113" t="s">
        <v>372</v>
      </c>
      <c r="G4" s="163"/>
    </row>
    <row r="5" spans="2:10">
      <c r="B5" s="258" t="s">
        <v>452</v>
      </c>
      <c r="C5" s="8">
        <v>1</v>
      </c>
      <c r="D5" s="8">
        <v>500</v>
      </c>
      <c r="E5" s="8">
        <f>+D5*C5</f>
        <v>500</v>
      </c>
      <c r="F5" s="25">
        <f>+E5*12</f>
        <v>6000</v>
      </c>
      <c r="G5" s="15"/>
    </row>
    <row r="6" spans="2:10">
      <c r="B6" s="258" t="s">
        <v>453</v>
      </c>
      <c r="C6" s="8">
        <v>1</v>
      </c>
      <c r="D6" s="8">
        <v>500</v>
      </c>
      <c r="E6" s="8">
        <f>+D6*C6</f>
        <v>500</v>
      </c>
      <c r="F6" s="25">
        <f>+E6*12</f>
        <v>6000</v>
      </c>
      <c r="G6" s="15"/>
    </row>
    <row r="7" spans="2:10">
      <c r="B7" s="72" t="s">
        <v>428</v>
      </c>
      <c r="C7" s="8">
        <v>1</v>
      </c>
      <c r="D7" s="8">
        <v>700</v>
      </c>
      <c r="E7" s="8">
        <f>+D7*C7</f>
        <v>700</v>
      </c>
      <c r="F7" s="25">
        <f>+E7*12</f>
        <v>8400</v>
      </c>
      <c r="G7" s="15"/>
    </row>
    <row r="8" spans="2:10">
      <c r="B8" s="72" t="s">
        <v>429</v>
      </c>
      <c r="C8" s="8">
        <v>2</v>
      </c>
      <c r="D8" s="8">
        <v>200</v>
      </c>
      <c r="E8" s="8">
        <f>+D8*C8</f>
        <v>400</v>
      </c>
      <c r="F8" s="25">
        <f>+E8*12</f>
        <v>4800</v>
      </c>
      <c r="G8" s="15"/>
    </row>
    <row r="9" spans="2:10">
      <c r="B9" s="254" t="s">
        <v>467</v>
      </c>
      <c r="C9" s="46">
        <v>1</v>
      </c>
      <c r="D9" s="46">
        <v>1500</v>
      </c>
      <c r="E9" s="46">
        <f>+D9*C9</f>
        <v>1500</v>
      </c>
      <c r="F9" s="47">
        <f>+E9*12</f>
        <v>18000</v>
      </c>
      <c r="G9" s="15"/>
    </row>
    <row r="10" spans="2:10" ht="13.5" thickBot="1">
      <c r="B10" s="108" t="s">
        <v>430</v>
      </c>
      <c r="C10" s="26">
        <f>SUM(C5:C9)</f>
        <v>6</v>
      </c>
      <c r="D10" s="26">
        <f>SUM(D5:D9)</f>
        <v>3400</v>
      </c>
      <c r="E10" s="372">
        <f>SUM(E5:E9)</f>
        <v>3600</v>
      </c>
      <c r="F10" s="26">
        <f>SUM(F5:F9)</f>
        <v>43200</v>
      </c>
      <c r="G10" s="15"/>
    </row>
    <row r="12" spans="2:10" ht="16.5" thickBot="1">
      <c r="B12" s="587" t="s">
        <v>588</v>
      </c>
      <c r="C12" s="587"/>
      <c r="D12" s="587"/>
      <c r="E12" s="587"/>
      <c r="F12" s="587"/>
    </row>
    <row r="13" spans="2:10" ht="13.5" thickBot="1">
      <c r="C13" s="362"/>
      <c r="D13" s="362" t="s">
        <v>594</v>
      </c>
      <c r="E13" s="362" t="s">
        <v>593</v>
      </c>
      <c r="F13" s="281" t="s">
        <v>592</v>
      </c>
      <c r="H13" s="15"/>
      <c r="I13" s="15"/>
      <c r="J13" s="15"/>
    </row>
    <row r="14" spans="2:10" ht="16.5" thickBot="1">
      <c r="B14" s="162" t="s">
        <v>426</v>
      </c>
      <c r="C14" s="39"/>
      <c r="D14" s="39">
        <v>45</v>
      </c>
      <c r="E14" s="365">
        <v>30</v>
      </c>
      <c r="F14" s="368">
        <v>12</v>
      </c>
      <c r="G14" s="48"/>
      <c r="H14" s="48"/>
      <c r="I14" s="15"/>
    </row>
    <row r="15" spans="2:10" s="15" customFormat="1" ht="15">
      <c r="B15" s="359" t="s">
        <v>589</v>
      </c>
      <c r="C15" s="360" t="s">
        <v>595</v>
      </c>
      <c r="D15" s="359">
        <v>15000</v>
      </c>
      <c r="E15" s="366">
        <f>(D15/$D$14)*$E$14</f>
        <v>10000</v>
      </c>
      <c r="F15" s="367">
        <f>E15*$F$14</f>
        <v>120000</v>
      </c>
      <c r="G15" s="16"/>
      <c r="H15" s="16"/>
      <c r="I15" s="16"/>
    </row>
    <row r="16" spans="2:10" s="15" customFormat="1" ht="15.75" thickBot="1">
      <c r="B16" s="359" t="s">
        <v>590</v>
      </c>
      <c r="C16" s="8"/>
      <c r="D16" s="359">
        <v>500</v>
      </c>
      <c r="E16" s="366">
        <f>(D16/$D$14)*$E$14</f>
        <v>333.33333333333331</v>
      </c>
      <c r="F16" s="367">
        <f>E16*$F$14</f>
        <v>4000</v>
      </c>
      <c r="G16" s="16"/>
      <c r="H16" s="16"/>
      <c r="I16" s="16"/>
    </row>
    <row r="17" spans="2:15" s="15" customFormat="1" ht="16.5" thickBot="1">
      <c r="B17" s="361" t="s">
        <v>121</v>
      </c>
      <c r="C17" s="8"/>
      <c r="D17" s="160">
        <f>SUM(D15:D16)</f>
        <v>15500</v>
      </c>
      <c r="E17" s="363">
        <f>SUM(E15:E16)</f>
        <v>10333.333333333334</v>
      </c>
      <c r="F17" s="376">
        <f>SUM(F15:F16)</f>
        <v>124000</v>
      </c>
      <c r="G17" s="364" t="s">
        <v>591</v>
      </c>
      <c r="H17" s="260"/>
      <c r="I17" s="16"/>
    </row>
    <row r="18" spans="2:15" s="15" customFormat="1">
      <c r="B18" s="184"/>
      <c r="C18" s="188"/>
      <c r="D18" s="189"/>
      <c r="F18" s="260"/>
    </row>
    <row r="19" spans="2:15" s="15" customFormat="1">
      <c r="B19" s="184"/>
      <c r="C19" s="188"/>
      <c r="D19" s="189"/>
      <c r="E19" s="184"/>
    </row>
    <row r="20" spans="2:15" s="15" customFormat="1">
      <c r="B20"/>
      <c r="C20"/>
      <c r="D20"/>
      <c r="E20"/>
      <c r="F20"/>
      <c r="G20"/>
    </row>
    <row r="23" spans="2:15" ht="13.5" thickBot="1"/>
    <row r="24" spans="2:15" ht="13.5" thickBot="1">
      <c r="G24" s="245"/>
    </row>
    <row r="25" spans="2:15" ht="16.5" thickBot="1">
      <c r="B25" s="587" t="s">
        <v>431</v>
      </c>
      <c r="C25" s="587"/>
      <c r="D25" s="587"/>
      <c r="E25" s="587"/>
      <c r="F25" s="588"/>
      <c r="G25" s="246"/>
      <c r="H25" s="543" t="s">
        <v>434</v>
      </c>
      <c r="I25" s="543"/>
      <c r="J25" s="543"/>
      <c r="K25" s="543"/>
      <c r="L25" s="543"/>
      <c r="M25" s="543"/>
      <c r="N25" s="543"/>
      <c r="O25" s="544"/>
    </row>
    <row r="26" spans="2:15" ht="15.75">
      <c r="B26" s="162" t="s">
        <v>426</v>
      </c>
      <c r="C26" s="39" t="s">
        <v>371</v>
      </c>
      <c r="D26" s="39" t="s">
        <v>427</v>
      </c>
      <c r="E26" s="113" t="s">
        <v>372</v>
      </c>
      <c r="F26" s="15"/>
      <c r="G26" s="167" t="s">
        <v>440</v>
      </c>
      <c r="H26" s="572" t="s">
        <v>121</v>
      </c>
      <c r="I26" s="572"/>
      <c r="J26" s="572" t="s">
        <v>435</v>
      </c>
      <c r="K26" s="572"/>
      <c r="L26" s="572" t="s">
        <v>436</v>
      </c>
      <c r="M26" s="572"/>
      <c r="N26" s="572" t="s">
        <v>437</v>
      </c>
      <c r="O26" s="575"/>
    </row>
    <row r="27" spans="2:15">
      <c r="B27" s="165" t="s">
        <v>80</v>
      </c>
      <c r="C27" s="15"/>
      <c r="D27" s="15"/>
      <c r="E27" s="28"/>
      <c r="G27" s="72" t="s">
        <v>441</v>
      </c>
      <c r="H27" s="243" t="s">
        <v>438</v>
      </c>
      <c r="I27" s="243" t="s">
        <v>439</v>
      </c>
      <c r="J27" s="8" t="s">
        <v>438</v>
      </c>
      <c r="K27" s="8" t="s">
        <v>439</v>
      </c>
      <c r="L27" s="8" t="s">
        <v>438</v>
      </c>
      <c r="M27" s="8" t="s">
        <v>439</v>
      </c>
      <c r="N27" s="8" t="s">
        <v>438</v>
      </c>
      <c r="O27" s="25" t="s">
        <v>439</v>
      </c>
    </row>
    <row r="28" spans="2:15">
      <c r="B28" s="43" t="s">
        <v>81</v>
      </c>
      <c r="C28" s="15">
        <v>300</v>
      </c>
      <c r="D28" s="15">
        <f>+C28</f>
        <v>300</v>
      </c>
      <c r="E28" s="28">
        <f>+D28*12</f>
        <v>3600</v>
      </c>
      <c r="G28" s="72" t="s">
        <v>446</v>
      </c>
      <c r="H28" s="122">
        <f>+J28+L28+N28</f>
        <v>1</v>
      </c>
      <c r="I28" s="8">
        <v>250</v>
      </c>
      <c r="J28" s="122">
        <v>0.5</v>
      </c>
      <c r="K28" s="8">
        <f>+I28*0.5</f>
        <v>125</v>
      </c>
      <c r="L28" s="122">
        <v>0.2</v>
      </c>
      <c r="M28" s="8">
        <f>+I28*L28</f>
        <v>50</v>
      </c>
      <c r="N28" s="122">
        <v>0.3</v>
      </c>
      <c r="O28" s="25">
        <f>+I28*N28</f>
        <v>75</v>
      </c>
    </row>
    <row r="29" spans="2:15">
      <c r="B29" s="43" t="s">
        <v>82</v>
      </c>
      <c r="C29" s="15">
        <v>2000</v>
      </c>
      <c r="D29" s="15">
        <f>+C29</f>
        <v>2000</v>
      </c>
      <c r="E29" s="28">
        <f>+D29*12</f>
        <v>24000</v>
      </c>
      <c r="G29" s="72"/>
      <c r="H29" s="122">
        <v>1</v>
      </c>
      <c r="I29" s="8">
        <f>+SUM(I28)</f>
        <v>250</v>
      </c>
      <c r="J29" s="122">
        <v>0.5</v>
      </c>
      <c r="K29" s="8">
        <f>+SUM(K28)</f>
        <v>125</v>
      </c>
      <c r="L29" s="8">
        <f>+SUM(L28)</f>
        <v>0.2</v>
      </c>
      <c r="M29" s="8">
        <f>+SUM(M28)</f>
        <v>50</v>
      </c>
      <c r="N29" s="8">
        <f>+SUM(N28)</f>
        <v>0.3</v>
      </c>
      <c r="O29" s="25">
        <f>+SUM(O28)</f>
        <v>75</v>
      </c>
    </row>
    <row r="30" spans="2:15">
      <c r="B30" s="43" t="s">
        <v>83</v>
      </c>
      <c r="C30" s="15">
        <f>+I34</f>
        <v>850</v>
      </c>
      <c r="D30" s="15">
        <f>+C30</f>
        <v>850</v>
      </c>
      <c r="E30" s="28">
        <f>+D30*12</f>
        <v>10200</v>
      </c>
      <c r="G30" s="72"/>
      <c r="H30" s="8"/>
      <c r="I30" s="8"/>
      <c r="J30" s="8"/>
      <c r="K30" s="8"/>
      <c r="L30" s="8"/>
      <c r="M30" s="8"/>
      <c r="N30" s="8"/>
      <c r="O30" s="25"/>
    </row>
    <row r="31" spans="2:15">
      <c r="B31" s="43" t="s">
        <v>84</v>
      </c>
      <c r="C31" s="15">
        <v>50</v>
      </c>
      <c r="D31" s="15">
        <f>+C31</f>
        <v>50</v>
      </c>
      <c r="E31" s="28">
        <f>+D31*12</f>
        <v>600</v>
      </c>
      <c r="G31" s="167" t="s">
        <v>445</v>
      </c>
      <c r="H31" s="8"/>
      <c r="I31" s="8"/>
      <c r="J31" s="8"/>
      <c r="K31" s="8"/>
      <c r="L31" s="8"/>
      <c r="M31" s="8"/>
      <c r="N31" s="8"/>
      <c r="O31" s="25"/>
    </row>
    <row r="32" spans="2:15">
      <c r="B32" s="43" t="s">
        <v>433</v>
      </c>
      <c r="C32" s="120">
        <v>250</v>
      </c>
      <c r="D32" s="120">
        <f>+C32</f>
        <v>250</v>
      </c>
      <c r="E32" s="28">
        <f>+D32*12</f>
        <v>3000</v>
      </c>
      <c r="G32" s="72" t="s">
        <v>442</v>
      </c>
      <c r="H32" s="8"/>
      <c r="I32" s="8"/>
      <c r="J32" s="8"/>
      <c r="K32" s="8"/>
      <c r="L32" s="8"/>
      <c r="M32" s="8"/>
      <c r="N32" s="8"/>
      <c r="O32" s="25"/>
    </row>
    <row r="33" spans="2:15">
      <c r="B33" s="43" t="s">
        <v>78</v>
      </c>
      <c r="C33" s="15"/>
      <c r="D33" s="15"/>
      <c r="E33" s="28"/>
      <c r="G33" s="72" t="s">
        <v>443</v>
      </c>
      <c r="H33" s="122">
        <f>+J33+L33+N33</f>
        <v>1</v>
      </c>
      <c r="I33" s="8">
        <v>4000</v>
      </c>
      <c r="J33" s="122">
        <v>0.6</v>
      </c>
      <c r="K33" s="8">
        <f>+I33*J33</f>
        <v>2400</v>
      </c>
      <c r="L33" s="122">
        <v>0.2</v>
      </c>
      <c r="M33" s="8">
        <f>+I33*L33</f>
        <v>800</v>
      </c>
      <c r="N33" s="122">
        <v>0.2</v>
      </c>
      <c r="O33" s="25">
        <f>+I33*N33</f>
        <v>800</v>
      </c>
    </row>
    <row r="34" spans="2:15">
      <c r="B34" s="165" t="s">
        <v>432</v>
      </c>
      <c r="C34" s="15">
        <f>+SUM(C28:C32)</f>
        <v>3450</v>
      </c>
      <c r="D34" s="375">
        <f>+SUM(D28:D32)</f>
        <v>3450</v>
      </c>
      <c r="E34" s="28">
        <f>+SUM(E28:E32)</f>
        <v>41400</v>
      </c>
      <c r="G34" s="72" t="s">
        <v>22</v>
      </c>
      <c r="H34" s="122">
        <f>+J34+L34+N34</f>
        <v>1</v>
      </c>
      <c r="I34" s="8">
        <v>850</v>
      </c>
      <c r="J34" s="122">
        <v>0.6</v>
      </c>
      <c r="K34" s="8">
        <f>+I34*J34</f>
        <v>510</v>
      </c>
      <c r="L34" s="122">
        <v>0.2</v>
      </c>
      <c r="M34" s="8">
        <f>+I34*L34</f>
        <v>170</v>
      </c>
      <c r="N34" s="122">
        <v>0.2</v>
      </c>
      <c r="O34" s="25">
        <f>+I34*N34</f>
        <v>170</v>
      </c>
    </row>
    <row r="35" spans="2:15" ht="13.5" thickBot="1">
      <c r="B35" s="128"/>
      <c r="C35" s="129"/>
      <c r="D35" s="129"/>
      <c r="E35" s="130"/>
      <c r="G35" s="72" t="s">
        <v>444</v>
      </c>
      <c r="H35" s="122">
        <f>+J35+L35+N35</f>
        <v>1</v>
      </c>
      <c r="I35" s="8">
        <v>1000</v>
      </c>
      <c r="J35" s="122">
        <v>0.3</v>
      </c>
      <c r="K35" s="8">
        <f>+I35*J35</f>
        <v>300</v>
      </c>
      <c r="L35" s="122">
        <v>0.2</v>
      </c>
      <c r="M35" s="8">
        <f>+I35*L35</f>
        <v>200</v>
      </c>
      <c r="N35" s="122">
        <v>0.5</v>
      </c>
      <c r="O35" s="25">
        <f>+I35*N35</f>
        <v>500</v>
      </c>
    </row>
    <row r="36" spans="2:15">
      <c r="G36" s="167" t="s">
        <v>447</v>
      </c>
      <c r="H36" s="122">
        <f>+J36+L36+N36</f>
        <v>1</v>
      </c>
      <c r="I36" s="57">
        <f>+Costos!E56</f>
        <v>4883</v>
      </c>
      <c r="J36" s="122">
        <v>0.2</v>
      </c>
      <c r="K36" s="8">
        <f>+I36*J36</f>
        <v>976.6</v>
      </c>
      <c r="L36" s="122">
        <v>0.8</v>
      </c>
      <c r="M36" s="8">
        <f>+I36*L36</f>
        <v>3906.4</v>
      </c>
      <c r="N36" s="122">
        <v>0</v>
      </c>
      <c r="O36" s="25">
        <f>+I36*N36</f>
        <v>0</v>
      </c>
    </row>
    <row r="37" spans="2:15" ht="15">
      <c r="B37" s="3"/>
      <c r="D37" s="239"/>
      <c r="E37" s="240"/>
      <c r="G37" s="72"/>
      <c r="H37" s="122">
        <v>1</v>
      </c>
      <c r="I37" s="8">
        <f>+SUM(I33:I36)</f>
        <v>10733</v>
      </c>
      <c r="J37" s="244">
        <v>1</v>
      </c>
      <c r="K37" s="8">
        <f>+SUM(K33:K36)</f>
        <v>4186.6000000000004</v>
      </c>
      <c r="L37" s="122">
        <v>1</v>
      </c>
      <c r="M37" s="8">
        <f>+SUM(M33:M36)</f>
        <v>5076.3999999999996</v>
      </c>
      <c r="N37" s="122">
        <v>1</v>
      </c>
      <c r="O37" s="25">
        <f>+SUM(O33:O36)</f>
        <v>1470</v>
      </c>
    </row>
    <row r="38" spans="2:15" ht="15.75" thickBot="1">
      <c r="B38" s="3"/>
      <c r="D38" s="239"/>
      <c r="E38" s="240"/>
      <c r="G38" s="74" t="s">
        <v>121</v>
      </c>
      <c r="H38" s="8"/>
      <c r="I38" s="8"/>
      <c r="J38" s="8"/>
      <c r="K38" s="8"/>
      <c r="L38" s="8"/>
      <c r="M38" s="8"/>
      <c r="N38" s="8"/>
      <c r="O38" s="25"/>
    </row>
    <row r="39" spans="2:15" ht="15.75" thickBot="1">
      <c r="B39" s="3"/>
      <c r="D39" s="239"/>
      <c r="E39" s="240"/>
      <c r="H39" s="247">
        <v>1</v>
      </c>
      <c r="I39" s="26">
        <f>+I29+I37</f>
        <v>10983</v>
      </c>
      <c r="J39" s="247">
        <v>1</v>
      </c>
      <c r="K39" s="26">
        <f>+K29+K37</f>
        <v>4311.6000000000004</v>
      </c>
      <c r="L39" s="247">
        <v>1</v>
      </c>
      <c r="M39" s="26">
        <f>+M29+M37</f>
        <v>5126.3999999999996</v>
      </c>
      <c r="N39" s="247">
        <v>1</v>
      </c>
      <c r="O39" s="27">
        <f>+O29+O37</f>
        <v>1545</v>
      </c>
    </row>
    <row r="40" spans="2:15" ht="15.75" thickBot="1">
      <c r="D40" s="239"/>
      <c r="E40" s="240"/>
    </row>
    <row r="41" spans="2:15" ht="16.5" thickBot="1">
      <c r="B41" s="589" t="s">
        <v>351</v>
      </c>
      <c r="C41" s="590"/>
      <c r="D41" s="241"/>
      <c r="E41" s="238"/>
    </row>
    <row r="42" spans="2:15" ht="15.75">
      <c r="B42" s="43" t="s">
        <v>352</v>
      </c>
      <c r="C42" s="28">
        <v>500</v>
      </c>
      <c r="D42" s="238"/>
      <c r="E42" s="238"/>
    </row>
    <row r="43" spans="2:15" ht="13.5" thickBot="1">
      <c r="B43" s="128" t="s">
        <v>353</v>
      </c>
      <c r="C43" s="130">
        <f>+C42</f>
        <v>500</v>
      </c>
    </row>
    <row r="45" spans="2:15" ht="13.5" thickBot="1"/>
    <row r="46" spans="2:15" ht="15.75">
      <c r="B46" s="591" t="s">
        <v>157</v>
      </c>
      <c r="C46" s="592"/>
    </row>
    <row r="47" spans="2:15">
      <c r="B47" s="43" t="s">
        <v>361</v>
      </c>
      <c r="C47" s="28">
        <v>1500</v>
      </c>
    </row>
    <row r="48" spans="2:15" ht="13.5" thickBot="1">
      <c r="B48" s="128" t="s">
        <v>262</v>
      </c>
      <c r="C48" s="130">
        <f>+C47</f>
        <v>1500</v>
      </c>
    </row>
    <row r="53" spans="2:11" ht="23.25">
      <c r="B53" s="116" t="s">
        <v>348</v>
      </c>
      <c r="C53" s="117"/>
      <c r="D53" s="117"/>
    </row>
    <row r="54" spans="2:11">
      <c r="B54" s="12"/>
      <c r="C54" s="10"/>
    </row>
    <row r="55" spans="2:11">
      <c r="B55" s="112" t="s">
        <v>240</v>
      </c>
      <c r="C55" s="77"/>
    </row>
    <row r="56" spans="2:11" ht="16.5" thickBot="1">
      <c r="B56" s="520" t="s">
        <v>92</v>
      </c>
      <c r="C56" s="520"/>
      <c r="D56" s="520"/>
      <c r="H56" s="576"/>
      <c r="I56" s="576"/>
    </row>
    <row r="57" spans="2:11" ht="23.25" customHeight="1">
      <c r="B57" s="38" t="s">
        <v>243</v>
      </c>
      <c r="C57" s="39" t="s">
        <v>244</v>
      </c>
      <c r="D57" s="113" t="s">
        <v>242</v>
      </c>
      <c r="F57" s="12"/>
      <c r="G57" s="12"/>
      <c r="H57" s="577" t="s">
        <v>235</v>
      </c>
      <c r="I57" s="577"/>
      <c r="J57" s="577"/>
      <c r="K57" s="107"/>
    </row>
    <row r="58" spans="2:11" ht="13.5" thickBot="1">
      <c r="B58" s="271" t="s">
        <v>52</v>
      </c>
      <c r="C58" s="272" t="s">
        <v>241</v>
      </c>
      <c r="D58" s="273">
        <v>700</v>
      </c>
      <c r="H58" s="578" t="s">
        <v>92</v>
      </c>
      <c r="I58" s="578"/>
      <c r="J58" s="578"/>
    </row>
    <row r="59" spans="2:11" ht="13.5" customHeight="1">
      <c r="B59" s="270" t="s">
        <v>470</v>
      </c>
      <c r="C59" s="267" t="s">
        <v>246</v>
      </c>
      <c r="D59" s="261">
        <v>0</v>
      </c>
      <c r="H59" s="593" t="s">
        <v>237</v>
      </c>
      <c r="I59" s="594"/>
      <c r="J59" s="595"/>
    </row>
    <row r="60" spans="2:11" ht="13.5" customHeight="1">
      <c r="B60" s="270" t="s">
        <v>457</v>
      </c>
      <c r="C60" s="19">
        <v>1</v>
      </c>
      <c r="D60" s="261">
        <v>200</v>
      </c>
      <c r="H60" s="264"/>
      <c r="I60" s="265"/>
      <c r="J60" s="266"/>
    </row>
    <row r="61" spans="2:11">
      <c r="B61" s="270" t="s">
        <v>464</v>
      </c>
      <c r="C61" s="267" t="s">
        <v>465</v>
      </c>
      <c r="D61" s="261">
        <v>200</v>
      </c>
      <c r="H61" s="579" t="s">
        <v>222</v>
      </c>
      <c r="I61" s="580"/>
      <c r="J61" s="105">
        <v>3</v>
      </c>
    </row>
    <row r="62" spans="2:11" ht="13.5" customHeight="1">
      <c r="B62" s="270" t="s">
        <v>460</v>
      </c>
      <c r="C62" s="267" t="s">
        <v>468</v>
      </c>
      <c r="D62" s="261">
        <v>0</v>
      </c>
      <c r="H62" s="573" t="s">
        <v>223</v>
      </c>
      <c r="I62" s="574"/>
      <c r="J62" s="105">
        <v>2</v>
      </c>
    </row>
    <row r="63" spans="2:11" ht="27.75" customHeight="1">
      <c r="B63" s="269" t="s">
        <v>245</v>
      </c>
      <c r="C63" s="267" t="s">
        <v>466</v>
      </c>
      <c r="D63" s="261">
        <v>30</v>
      </c>
      <c r="H63" s="573" t="s">
        <v>230</v>
      </c>
      <c r="I63" s="574"/>
      <c r="J63" s="105">
        <f>+J61+J62+J64</f>
        <v>10</v>
      </c>
    </row>
    <row r="64" spans="2:11" ht="13.5" customHeight="1">
      <c r="B64" s="269" t="s">
        <v>458</v>
      </c>
      <c r="C64" s="267" t="s">
        <v>469</v>
      </c>
      <c r="D64" s="261">
        <v>12</v>
      </c>
      <c r="H64" s="573" t="s">
        <v>224</v>
      </c>
      <c r="I64" s="574"/>
      <c r="J64" s="105">
        <v>5</v>
      </c>
    </row>
    <row r="65" spans="2:10" ht="16.5" customHeight="1" thickBot="1">
      <c r="B65" s="269" t="s">
        <v>53</v>
      </c>
      <c r="C65" s="19" t="s">
        <v>246</v>
      </c>
      <c r="D65" s="261">
        <v>0</v>
      </c>
      <c r="H65" s="108" t="s">
        <v>231</v>
      </c>
      <c r="I65" s="26"/>
      <c r="J65" s="106">
        <f>+J63</f>
        <v>10</v>
      </c>
    </row>
    <row r="66" spans="2:10">
      <c r="B66" s="269" t="s">
        <v>54</v>
      </c>
      <c r="C66" s="19" t="s">
        <v>246</v>
      </c>
      <c r="D66" s="261">
        <v>63</v>
      </c>
      <c r="H66" s="3" t="s">
        <v>233</v>
      </c>
    </row>
    <row r="67" spans="2:10" ht="12.75" customHeight="1">
      <c r="B67" s="270" t="s">
        <v>459</v>
      </c>
      <c r="C67" s="267" t="s">
        <v>246</v>
      </c>
      <c r="D67" s="261">
        <v>0</v>
      </c>
      <c r="H67" t="s">
        <v>234</v>
      </c>
    </row>
    <row r="68" spans="2:10" ht="12.75" customHeight="1">
      <c r="B68" s="269" t="s">
        <v>55</v>
      </c>
      <c r="C68" s="19" t="s">
        <v>247</v>
      </c>
      <c r="D68" s="261">
        <v>61.82</v>
      </c>
      <c r="H68" s="569" t="s">
        <v>225</v>
      </c>
      <c r="I68" s="569"/>
    </row>
    <row r="69" spans="2:10" ht="12.75" customHeight="1">
      <c r="B69" s="269" t="s">
        <v>56</v>
      </c>
      <c r="C69" s="19" t="s">
        <v>246</v>
      </c>
      <c r="D69" s="268">
        <v>11.2</v>
      </c>
      <c r="H69" s="104"/>
      <c r="I69" s="104"/>
    </row>
    <row r="70" spans="2:10" ht="12.75" customHeight="1">
      <c r="B70" s="269" t="s">
        <v>248</v>
      </c>
      <c r="C70" s="19" t="s">
        <v>249</v>
      </c>
      <c r="D70" s="261">
        <v>0</v>
      </c>
      <c r="H70" s="571" t="s">
        <v>226</v>
      </c>
      <c r="I70" s="571"/>
    </row>
    <row r="71" spans="2:10" ht="12.75" customHeight="1">
      <c r="B71" s="269" t="s">
        <v>250</v>
      </c>
      <c r="C71" s="19" t="s">
        <v>246</v>
      </c>
      <c r="D71" s="261">
        <v>0</v>
      </c>
      <c r="H71" s="103"/>
      <c r="I71" s="103"/>
    </row>
    <row r="72" spans="2:10" ht="12.75" customHeight="1">
      <c r="B72" s="269" t="s">
        <v>258</v>
      </c>
      <c r="C72" s="119" t="s">
        <v>259</v>
      </c>
      <c r="D72" s="99">
        <v>50</v>
      </c>
      <c r="H72" s="103"/>
      <c r="I72" s="103"/>
    </row>
    <row r="73" spans="2:10" ht="12.75" customHeight="1">
      <c r="B73" s="72" t="s">
        <v>256</v>
      </c>
      <c r="C73" s="20" t="s">
        <v>257</v>
      </c>
      <c r="D73" s="262">
        <v>80</v>
      </c>
      <c r="H73" s="103"/>
      <c r="I73" s="103"/>
    </row>
    <row r="74" spans="2:10" ht="12.75" customHeight="1" thickBot="1">
      <c r="B74" s="114" t="s">
        <v>57</v>
      </c>
      <c r="C74" s="21" t="s">
        <v>251</v>
      </c>
      <c r="D74" s="263">
        <f>SUM(D58:D73)</f>
        <v>1408.02</v>
      </c>
      <c r="H74" s="103"/>
      <c r="I74" s="103"/>
    </row>
    <row r="75" spans="2:10" ht="12.75" customHeight="1" thickBot="1">
      <c r="B75" s="254" t="s">
        <v>461</v>
      </c>
      <c r="C75" s="297" t="s">
        <v>468</v>
      </c>
      <c r="D75" s="262">
        <v>200</v>
      </c>
      <c r="H75" s="103"/>
      <c r="I75" s="103"/>
    </row>
    <row r="76" spans="2:10" ht="12.75" customHeight="1" thickBot="1">
      <c r="B76" s="295" t="s">
        <v>262</v>
      </c>
      <c r="C76" s="140"/>
      <c r="D76" s="296">
        <f>D74-D75</f>
        <v>1208.02</v>
      </c>
      <c r="H76" s="103"/>
      <c r="I76" s="103"/>
    </row>
    <row r="77" spans="2:10" ht="12.75" customHeight="1">
      <c r="H77" s="103"/>
      <c r="I77" s="103"/>
    </row>
    <row r="78" spans="2:10">
      <c r="B78" s="3" t="s">
        <v>252</v>
      </c>
      <c r="H78" s="571"/>
      <c r="I78" s="571"/>
    </row>
    <row r="79" spans="2:10">
      <c r="B79" t="s">
        <v>234</v>
      </c>
      <c r="H79" s="596" t="s">
        <v>238</v>
      </c>
      <c r="I79" s="596"/>
      <c r="J79" s="596"/>
    </row>
    <row r="80" spans="2:10" ht="14.25" customHeight="1" thickBot="1">
      <c r="B80" t="s">
        <v>253</v>
      </c>
      <c r="H80" s="578" t="s">
        <v>92</v>
      </c>
      <c r="I80" s="578"/>
      <c r="J80" s="578"/>
    </row>
    <row r="81" spans="2:13" ht="18" customHeight="1" thickBot="1">
      <c r="D81" s="7"/>
      <c r="H81" s="583" t="s">
        <v>236</v>
      </c>
      <c r="I81" s="584"/>
      <c r="J81" s="109"/>
      <c r="L81" s="570" t="s">
        <v>66</v>
      </c>
      <c r="M81" s="570"/>
    </row>
    <row r="82" spans="2:13" ht="39.75" customHeight="1" thickBot="1">
      <c r="B82" s="304" t="s">
        <v>471</v>
      </c>
      <c r="C82" s="112"/>
      <c r="H82" s="599" t="s">
        <v>227</v>
      </c>
      <c r="I82" s="572"/>
      <c r="J82" s="25"/>
      <c r="L82" s="274" t="s">
        <v>67</v>
      </c>
      <c r="M82" s="111">
        <f>+J65</f>
        <v>10</v>
      </c>
    </row>
    <row r="83" spans="2:13" ht="39" customHeight="1" thickBot="1">
      <c r="B83" s="112" t="s">
        <v>58</v>
      </c>
      <c r="C83" s="153"/>
      <c r="H83" s="597" t="s">
        <v>228</v>
      </c>
      <c r="I83" s="598"/>
      <c r="J83" s="110">
        <v>40</v>
      </c>
      <c r="L83" s="274" t="s">
        <v>68</v>
      </c>
      <c r="M83" s="111">
        <f>+J84</f>
        <v>40</v>
      </c>
    </row>
    <row r="84" spans="2:13" ht="13.5" thickBot="1">
      <c r="B84" s="153" t="s">
        <v>92</v>
      </c>
      <c r="H84" s="581" t="s">
        <v>239</v>
      </c>
      <c r="I84" s="582"/>
      <c r="J84" s="106">
        <f>+SUM(J83)</f>
        <v>40</v>
      </c>
      <c r="L84" s="5" t="s">
        <v>57</v>
      </c>
      <c r="M84" s="6">
        <f>+SUM(M82:M83)</f>
        <v>50</v>
      </c>
    </row>
    <row r="85" spans="2:13">
      <c r="B85" s="585" t="s">
        <v>51</v>
      </c>
      <c r="C85" s="283" t="s">
        <v>59</v>
      </c>
      <c r="H85" s="3" t="s">
        <v>233</v>
      </c>
    </row>
    <row r="86" spans="2:13" ht="13.5" customHeight="1" thickBot="1">
      <c r="B86" s="586"/>
      <c r="C86" s="290" t="s">
        <v>60</v>
      </c>
      <c r="I86" s="3" t="s">
        <v>232</v>
      </c>
    </row>
    <row r="87" spans="2:13" ht="14.25" customHeight="1">
      <c r="B87" s="288" t="s">
        <v>472</v>
      </c>
      <c r="C87" s="289">
        <v>0</v>
      </c>
      <c r="I87" s="569" t="s">
        <v>225</v>
      </c>
      <c r="J87" s="569"/>
    </row>
    <row r="88" spans="2:13" ht="17.25" customHeight="1">
      <c r="B88" s="284" t="s">
        <v>473</v>
      </c>
      <c r="C88" s="285">
        <v>150</v>
      </c>
      <c r="G88" s="103"/>
      <c r="I88" s="571" t="s">
        <v>229</v>
      </c>
      <c r="J88" s="571"/>
    </row>
    <row r="89" spans="2:13" ht="25.5" customHeight="1">
      <c r="B89" s="284" t="s">
        <v>474</v>
      </c>
      <c r="C89" s="285">
        <v>150</v>
      </c>
      <c r="H89" s="103"/>
    </row>
    <row r="90" spans="2:13">
      <c r="B90" s="284" t="s">
        <v>462</v>
      </c>
      <c r="C90" s="285">
        <v>20</v>
      </c>
    </row>
    <row r="91" spans="2:13">
      <c r="B91" s="284" t="s">
        <v>61</v>
      </c>
      <c r="C91" s="286">
        <v>54</v>
      </c>
    </row>
    <row r="92" spans="2:13" ht="25.5" customHeight="1">
      <c r="B92" s="284" t="s">
        <v>476</v>
      </c>
      <c r="C92" s="286">
        <f>M82</f>
        <v>10</v>
      </c>
      <c r="G92" s="104"/>
    </row>
    <row r="93" spans="2:13">
      <c r="B93" s="284" t="s">
        <v>475</v>
      </c>
      <c r="C93" s="286">
        <f>M83</f>
        <v>40</v>
      </c>
      <c r="G93" s="103"/>
      <c r="H93" s="104"/>
    </row>
    <row r="94" spans="2:13" ht="25.5" customHeight="1">
      <c r="B94" s="284" t="s">
        <v>62</v>
      </c>
      <c r="C94" s="286">
        <v>28</v>
      </c>
      <c r="D94" s="11"/>
      <c r="G94" s="103"/>
      <c r="H94" s="103"/>
    </row>
    <row r="95" spans="2:13">
      <c r="B95" s="284" t="s">
        <v>63</v>
      </c>
      <c r="C95" s="286">
        <v>28</v>
      </c>
      <c r="D95" s="11"/>
      <c r="H95" s="103"/>
    </row>
    <row r="96" spans="2:13" ht="25.5" customHeight="1">
      <c r="B96" s="284" t="s">
        <v>64</v>
      </c>
      <c r="C96" s="286">
        <v>4</v>
      </c>
      <c r="D96" s="11"/>
    </row>
    <row r="97" spans="2:9" ht="13.5" customHeight="1">
      <c r="B97" s="284" t="s">
        <v>65</v>
      </c>
      <c r="C97" s="286">
        <v>4</v>
      </c>
      <c r="D97" s="11"/>
      <c r="H97" s="118"/>
    </row>
    <row r="98" spans="2:9">
      <c r="B98" s="284" t="s">
        <v>477</v>
      </c>
      <c r="C98" s="287">
        <v>80</v>
      </c>
      <c r="H98" s="571"/>
      <c r="I98" s="571"/>
    </row>
    <row r="99" spans="2:9" ht="12.75" customHeight="1" thickBot="1">
      <c r="B99" s="291" t="s">
        <v>463</v>
      </c>
      <c r="C99" s="292">
        <v>13</v>
      </c>
      <c r="H99" s="569"/>
      <c r="I99" s="569"/>
    </row>
    <row r="100" spans="2:9" ht="25.5" customHeight="1" thickBot="1">
      <c r="B100" s="294" t="s">
        <v>121</v>
      </c>
      <c r="C100" s="293">
        <f>SUM(C87:C99)</f>
        <v>581</v>
      </c>
      <c r="D100" s="115"/>
      <c r="H100" s="571"/>
      <c r="I100" s="571"/>
    </row>
    <row r="101" spans="2:9">
      <c r="C101" s="11"/>
      <c r="H101" s="571"/>
      <c r="I101" s="571"/>
    </row>
    <row r="102" spans="2:9" ht="13.5" customHeight="1">
      <c r="B102" s="3" t="s">
        <v>254</v>
      </c>
    </row>
    <row r="103" spans="2:9" ht="15.75">
      <c r="B103" s="3" t="s">
        <v>232</v>
      </c>
      <c r="C103" s="248"/>
      <c r="H103" s="571"/>
      <c r="I103" s="571"/>
    </row>
    <row r="104" spans="2:9" ht="16.5" customHeight="1">
      <c r="B104" s="3"/>
      <c r="C104" s="248"/>
      <c r="H104" s="571"/>
      <c r="I104" s="571"/>
    </row>
    <row r="105" spans="2:9" ht="15.75">
      <c r="B105" s="3"/>
      <c r="C105" s="248"/>
      <c r="H105" s="571"/>
      <c r="I105" s="571"/>
    </row>
    <row r="106" spans="2:9" ht="12.75" customHeight="1">
      <c r="B106" s="248" t="s">
        <v>456</v>
      </c>
      <c r="H106" s="569"/>
      <c r="I106" s="569"/>
    </row>
    <row r="107" spans="2:9" ht="16.5" customHeight="1" thickBot="1">
      <c r="B107" s="163" t="s">
        <v>92</v>
      </c>
      <c r="H107" s="571"/>
      <c r="I107" s="571"/>
    </row>
    <row r="108" spans="2:9" ht="18.75" customHeight="1">
      <c r="B108" s="302" t="s">
        <v>478</v>
      </c>
      <c r="C108" s="299" t="s">
        <v>479</v>
      </c>
      <c r="H108" s="571"/>
      <c r="I108" s="571"/>
    </row>
    <row r="109" spans="2:9" ht="19.5" customHeight="1">
      <c r="B109" s="303" t="s">
        <v>348</v>
      </c>
      <c r="C109" s="300">
        <f>D76</f>
        <v>1208.02</v>
      </c>
      <c r="H109" s="571"/>
      <c r="I109" s="571"/>
    </row>
    <row r="110" spans="2:9">
      <c r="B110" s="303" t="s">
        <v>480</v>
      </c>
      <c r="C110" s="301">
        <f>C100</f>
        <v>581</v>
      </c>
      <c r="H110" s="571"/>
      <c r="I110" s="571"/>
    </row>
    <row r="111" spans="2:9" ht="13.5" thickBot="1">
      <c r="B111" s="4" t="s">
        <v>121</v>
      </c>
      <c r="C111" s="298">
        <f>SUM(C109:C110)</f>
        <v>1789.02</v>
      </c>
      <c r="D111" s="163"/>
    </row>
    <row r="112" spans="2:9" ht="38.25" customHeight="1">
      <c r="B112" s="3" t="s">
        <v>232</v>
      </c>
      <c r="D112" s="281"/>
    </row>
    <row r="113" spans="1:4" ht="18" customHeight="1">
      <c r="D113" s="15"/>
    </row>
    <row r="114" spans="1:4" ht="38.25" customHeight="1">
      <c r="C114" s="253"/>
      <c r="D114" s="15"/>
    </row>
    <row r="115" spans="1:4">
      <c r="B115" s="15"/>
      <c r="C115" s="163"/>
      <c r="D115" s="15"/>
    </row>
    <row r="116" spans="1:4">
      <c r="A116" s="280"/>
      <c r="B116" s="163"/>
      <c r="C116" s="281"/>
      <c r="D116" s="15"/>
    </row>
    <row r="117" spans="1:4" ht="12.75" customHeight="1">
      <c r="A117" s="275"/>
      <c r="B117" s="15"/>
      <c r="C117" s="15"/>
      <c r="D117" s="15"/>
    </row>
    <row r="118" spans="1:4" ht="25.5" customHeight="1">
      <c r="A118" s="275"/>
      <c r="B118" s="15"/>
      <c r="C118" s="15"/>
      <c r="D118" s="15"/>
    </row>
    <row r="119" spans="1:4">
      <c r="A119" s="15"/>
      <c r="B119" s="15"/>
      <c r="C119" s="15"/>
      <c r="D119" s="282"/>
    </row>
    <row r="120" spans="1:4" ht="25.5" customHeight="1">
      <c r="A120" s="15"/>
      <c r="B120" s="15"/>
      <c r="C120" s="15"/>
      <c r="D120" s="276"/>
    </row>
    <row r="121" spans="1:4">
      <c r="A121" s="15"/>
      <c r="B121" s="15"/>
      <c r="C121" s="15"/>
      <c r="D121" s="276"/>
    </row>
    <row r="122" spans="1:4" ht="25.5" customHeight="1">
      <c r="A122" s="15"/>
      <c r="B122" s="15"/>
      <c r="C122" s="15"/>
      <c r="D122" s="276"/>
    </row>
    <row r="123" spans="1:4" ht="38.25" customHeight="1">
      <c r="A123" s="163"/>
      <c r="B123" s="15"/>
      <c r="C123" s="163"/>
      <c r="D123" s="276"/>
    </row>
    <row r="124" spans="1:4" ht="12.75" customHeight="1">
      <c r="A124" s="48"/>
      <c r="B124" s="281"/>
      <c r="C124" s="278"/>
      <c r="D124" s="276"/>
    </row>
    <row r="125" spans="1:4" ht="12.75" customHeight="1">
      <c r="A125" s="279"/>
      <c r="B125" s="276"/>
    </row>
    <row r="126" spans="1:4" ht="25.5" customHeight="1">
      <c r="A126" s="275"/>
      <c r="B126" s="276"/>
    </row>
    <row r="127" spans="1:4">
      <c r="A127" s="277"/>
      <c r="B127" s="276"/>
    </row>
    <row r="128" spans="1:4" ht="12.75" customHeight="1">
      <c r="A128" s="275"/>
      <c r="B128" s="275"/>
      <c r="C128" s="278"/>
      <c r="D128" s="276"/>
    </row>
    <row r="129" spans="1:4">
      <c r="A129" s="275"/>
      <c r="B129" s="280"/>
      <c r="C129" s="278"/>
      <c r="D129" s="276"/>
    </row>
    <row r="130" spans="1:4" ht="12.75" customHeight="1">
      <c r="A130" s="280"/>
      <c r="B130" s="275"/>
      <c r="C130" s="278"/>
      <c r="D130" s="15"/>
    </row>
    <row r="131" spans="1:4" ht="12.75" customHeight="1">
      <c r="A131" s="275"/>
      <c r="B131" s="280"/>
      <c r="C131" s="278"/>
      <c r="D131" s="15"/>
    </row>
    <row r="132" spans="1:4">
      <c r="A132" s="280"/>
      <c r="B132" s="280"/>
      <c r="C132" s="278"/>
      <c r="D132" s="15"/>
    </row>
    <row r="133" spans="1:4" ht="12.75" customHeight="1">
      <c r="A133" s="280"/>
      <c r="B133" s="275"/>
      <c r="C133" s="278"/>
    </row>
    <row r="134" spans="1:4">
      <c r="A134" s="275"/>
      <c r="B134" s="275"/>
      <c r="C134" s="15"/>
    </row>
    <row r="135" spans="1:4" ht="12.75" customHeight="1">
      <c r="A135" s="275"/>
      <c r="B135" s="15"/>
      <c r="C135" s="15"/>
    </row>
    <row r="136" spans="1:4" ht="12.75" customHeight="1">
      <c r="A136" s="15"/>
      <c r="B136" s="15"/>
      <c r="C136" s="15"/>
    </row>
    <row r="137" spans="1:4" ht="12.75" customHeight="1">
      <c r="A137" s="15"/>
    </row>
    <row r="138" spans="1:4" ht="12.75" customHeight="1"/>
    <row r="140" spans="1:4" ht="12.75" customHeight="1"/>
    <row r="141" spans="1:4" ht="12.75" customHeight="1"/>
    <row r="142" spans="1:4" ht="12.75" customHeight="1"/>
    <row r="143" spans="1:4" ht="12.75" customHeight="1"/>
    <row r="146" ht="12.75" customHeight="1"/>
    <row r="147" ht="12.75" customHeight="1"/>
    <row r="154" ht="12.75" customHeight="1"/>
    <row r="155" ht="12.75" customHeight="1"/>
    <row r="156" ht="25.5" customHeight="1"/>
    <row r="157" ht="12.75" customHeight="1"/>
    <row r="158" ht="12.75" customHeight="1"/>
    <row r="159" ht="12.75" customHeight="1"/>
    <row r="160" ht="12.75" customHeight="1"/>
    <row r="161" ht="12.75" customHeight="1"/>
  </sheetData>
  <mergeCells count="44">
    <mergeCell ref="B25:F25"/>
    <mergeCell ref="B3:F3"/>
    <mergeCell ref="B41:C41"/>
    <mergeCell ref="B46:C46"/>
    <mergeCell ref="B12:F12"/>
    <mergeCell ref="H110:I110"/>
    <mergeCell ref="H59:J59"/>
    <mergeCell ref="H79:J79"/>
    <mergeCell ref="H83:I83"/>
    <mergeCell ref="H82:I82"/>
    <mergeCell ref="H109:I109"/>
    <mergeCell ref="H105:I105"/>
    <mergeCell ref="H98:I98"/>
    <mergeCell ref="H107:I107"/>
    <mergeCell ref="H100:I100"/>
    <mergeCell ref="H101:I101"/>
    <mergeCell ref="H99:I99"/>
    <mergeCell ref="H81:I81"/>
    <mergeCell ref="H108:I108"/>
    <mergeCell ref="B56:D56"/>
    <mergeCell ref="B85:B86"/>
    <mergeCell ref="H58:J58"/>
    <mergeCell ref="I87:J87"/>
    <mergeCell ref="H62:I62"/>
    <mergeCell ref="J26:K26"/>
    <mergeCell ref="H56:I56"/>
    <mergeCell ref="H104:I104"/>
    <mergeCell ref="H57:J57"/>
    <mergeCell ref="H80:J80"/>
    <mergeCell ref="H63:I63"/>
    <mergeCell ref="H78:I78"/>
    <mergeCell ref="H70:I70"/>
    <mergeCell ref="H61:I61"/>
    <mergeCell ref="H84:I84"/>
    <mergeCell ref="H25:O25"/>
    <mergeCell ref="H106:I106"/>
    <mergeCell ref="L81:M81"/>
    <mergeCell ref="I88:J88"/>
    <mergeCell ref="H103:I103"/>
    <mergeCell ref="H26:I26"/>
    <mergeCell ref="L26:M26"/>
    <mergeCell ref="H64:I64"/>
    <mergeCell ref="H68:I68"/>
    <mergeCell ref="N26:O26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3:Z143"/>
  <sheetViews>
    <sheetView topLeftCell="A4" zoomScale="85" workbookViewId="0">
      <selection activeCell="H32" sqref="H32"/>
    </sheetView>
  </sheetViews>
  <sheetFormatPr baseColWidth="10" defaultRowHeight="12.75"/>
  <cols>
    <col min="4" max="4" width="11.85546875" bestFit="1" customWidth="1"/>
    <col min="5" max="5" width="13.7109375" customWidth="1"/>
    <col min="6" max="6" width="15.28515625" customWidth="1"/>
    <col min="7" max="7" width="15.42578125" customWidth="1"/>
    <col min="8" max="8" width="22.42578125" bestFit="1" customWidth="1"/>
    <col min="9" max="9" width="21.28515625" bestFit="1" customWidth="1"/>
    <col min="10" max="10" width="33.42578125" customWidth="1"/>
    <col min="11" max="11" width="13.5703125" bestFit="1" customWidth="1"/>
    <col min="17" max="17" width="17.42578125" bestFit="1" customWidth="1"/>
    <col min="19" max="21" width="17.42578125" bestFit="1" customWidth="1"/>
  </cols>
  <sheetData>
    <row r="3" spans="1:26" ht="18">
      <c r="A3" s="520" t="s">
        <v>93</v>
      </c>
      <c r="B3" s="520"/>
      <c r="C3" s="520"/>
      <c r="D3" s="520"/>
      <c r="I3" s="608" t="s">
        <v>115</v>
      </c>
      <c r="J3" s="608"/>
      <c r="K3" s="608"/>
      <c r="L3" s="608"/>
      <c r="M3" s="71"/>
      <c r="N3" s="71"/>
      <c r="O3" s="15"/>
      <c r="P3" s="15"/>
    </row>
    <row r="4" spans="1:26" ht="13.5" thickBot="1">
      <c r="A4" s="550" t="s">
        <v>92</v>
      </c>
      <c r="B4" s="550"/>
      <c r="C4" s="550"/>
      <c r="D4" s="550"/>
      <c r="N4" s="10"/>
      <c r="O4" s="10"/>
      <c r="P4" s="15"/>
    </row>
    <row r="5" spans="1:26">
      <c r="A5" s="556" t="s">
        <v>0</v>
      </c>
      <c r="B5" s="557"/>
      <c r="C5" s="557"/>
      <c r="D5" s="41"/>
      <c r="E5" s="42"/>
      <c r="I5" s="381" t="s">
        <v>137</v>
      </c>
      <c r="J5" s="382"/>
      <c r="K5" s="383" t="s">
        <v>138</v>
      </c>
      <c r="L5" s="384"/>
      <c r="N5" s="76"/>
      <c r="O5" s="77"/>
      <c r="P5" s="15"/>
    </row>
    <row r="6" spans="1:26">
      <c r="A6" s="43"/>
      <c r="B6" s="15"/>
      <c r="C6" s="15"/>
      <c r="D6" s="15"/>
      <c r="E6" s="28"/>
      <c r="I6" s="167" t="s">
        <v>139</v>
      </c>
      <c r="J6" s="8"/>
      <c r="K6" s="9" t="s">
        <v>140</v>
      </c>
      <c r="L6" s="385">
        <f>+J20-L11</f>
        <v>64087.550690101736</v>
      </c>
      <c r="N6" s="76"/>
      <c r="O6" s="77"/>
      <c r="P6" s="15"/>
    </row>
    <row r="7" spans="1:26">
      <c r="A7" s="43" t="s">
        <v>1</v>
      </c>
      <c r="B7" s="15"/>
      <c r="C7" s="15"/>
      <c r="D7" s="90">
        <f>+H59</f>
        <v>15653</v>
      </c>
      <c r="E7" s="28"/>
      <c r="I7" s="269" t="s">
        <v>141</v>
      </c>
      <c r="J7" s="91">
        <f>+-'Capital de Trabajo'!B80</f>
        <v>23380.54758680231</v>
      </c>
      <c r="K7" s="8"/>
      <c r="L7" s="386"/>
      <c r="N7" s="76"/>
      <c r="O7" s="77"/>
      <c r="P7" s="15"/>
    </row>
    <row r="8" spans="1:26">
      <c r="A8" s="43" t="s">
        <v>2</v>
      </c>
      <c r="B8" s="15"/>
      <c r="C8" s="15"/>
      <c r="D8" s="68">
        <f>+H70</f>
        <v>16000</v>
      </c>
      <c r="E8" s="28"/>
      <c r="I8" s="167" t="s">
        <v>142</v>
      </c>
      <c r="J8" s="70">
        <f>+SUM(J9:J15)</f>
        <v>58280.5</v>
      </c>
      <c r="K8" s="8"/>
      <c r="L8" s="386"/>
      <c r="N8" s="76"/>
      <c r="O8" s="77"/>
      <c r="P8" s="15"/>
    </row>
    <row r="9" spans="1:26">
      <c r="A9" s="43" t="s">
        <v>3</v>
      </c>
      <c r="B9" s="15"/>
      <c r="C9" s="48"/>
      <c r="D9" s="68">
        <f>+SUM(D10:D15)</f>
        <v>20056.5</v>
      </c>
      <c r="E9" s="28"/>
      <c r="I9" s="72" t="s">
        <v>143</v>
      </c>
      <c r="J9" s="66">
        <f>+D9</f>
        <v>20056.5</v>
      </c>
      <c r="K9" s="8"/>
      <c r="L9" s="386"/>
      <c r="N9" s="76"/>
      <c r="O9" s="77"/>
      <c r="P9" s="15"/>
    </row>
    <row r="10" spans="1:26">
      <c r="A10" s="43"/>
      <c r="B10" s="15" t="s">
        <v>4</v>
      </c>
      <c r="C10" s="15"/>
      <c r="D10" s="68">
        <f>+H65</f>
        <v>11137.5</v>
      </c>
      <c r="E10" s="28"/>
      <c r="I10" s="72" t="s">
        <v>144</v>
      </c>
      <c r="J10" s="66">
        <f>+D17</f>
        <v>3126</v>
      </c>
      <c r="K10" s="64" t="s">
        <v>145</v>
      </c>
      <c r="L10" s="386"/>
      <c r="N10" s="76"/>
      <c r="O10" s="77"/>
      <c r="P10" s="15"/>
    </row>
    <row r="11" spans="1:26">
      <c r="A11" s="43"/>
      <c r="B11" s="15" t="s">
        <v>5</v>
      </c>
      <c r="C11" s="15"/>
      <c r="D11" s="68">
        <f>+H66</f>
        <v>2600</v>
      </c>
      <c r="E11" s="28"/>
      <c r="I11" s="72" t="s">
        <v>146</v>
      </c>
      <c r="J11" s="66">
        <f>+D19</f>
        <v>1482</v>
      </c>
      <c r="K11" s="9" t="s">
        <v>170</v>
      </c>
      <c r="L11" s="387">
        <f>+J20*0.25</f>
        <v>21362.516896700577</v>
      </c>
      <c r="N11" s="76"/>
      <c r="O11" s="77"/>
      <c r="P11" s="15"/>
    </row>
    <row r="12" spans="1:26">
      <c r="A12" s="43"/>
      <c r="B12" s="15" t="s">
        <v>6</v>
      </c>
      <c r="C12" s="15"/>
      <c r="D12" s="68">
        <f>+H67</f>
        <v>1500</v>
      </c>
      <c r="E12" s="28"/>
      <c r="I12" s="72" t="s">
        <v>117</v>
      </c>
      <c r="J12" s="66">
        <f>+D18</f>
        <v>108.50000000000001</v>
      </c>
      <c r="K12" s="8"/>
      <c r="L12" s="386"/>
      <c r="N12" s="10"/>
      <c r="O12" s="11"/>
      <c r="P12" s="15"/>
    </row>
    <row r="13" spans="1:26">
      <c r="A13" s="43"/>
      <c r="B13" s="15" t="s">
        <v>10</v>
      </c>
      <c r="C13" s="15"/>
      <c r="D13" s="68">
        <f>+H68</f>
        <v>119</v>
      </c>
      <c r="E13" s="28"/>
      <c r="I13" s="388" t="s">
        <v>148</v>
      </c>
      <c r="J13" s="15">
        <f>+D8</f>
        <v>16000</v>
      </c>
      <c r="K13" s="8"/>
      <c r="L13" s="386"/>
    </row>
    <row r="14" spans="1:26">
      <c r="A14" s="43"/>
      <c r="B14" s="15" t="s">
        <v>105</v>
      </c>
      <c r="C14" s="15"/>
      <c r="D14" s="68">
        <f>+H71</f>
        <v>200</v>
      </c>
      <c r="E14" s="28"/>
      <c r="I14" s="72" t="s">
        <v>1</v>
      </c>
      <c r="J14" s="66">
        <f>+D7</f>
        <v>15653</v>
      </c>
      <c r="K14" s="8"/>
      <c r="L14" s="386"/>
      <c r="X14" s="15"/>
      <c r="Y14" s="15"/>
      <c r="Z14" s="15"/>
    </row>
    <row r="15" spans="1:26" ht="18">
      <c r="A15" s="43"/>
      <c r="B15" s="15" t="s">
        <v>34</v>
      </c>
      <c r="C15" s="15"/>
      <c r="D15" s="68">
        <f>+H69</f>
        <v>4500</v>
      </c>
      <c r="E15" s="28"/>
      <c r="I15" s="72" t="s">
        <v>149</v>
      </c>
      <c r="J15" s="66">
        <f>+D16</f>
        <v>1854.5</v>
      </c>
      <c r="K15" s="8"/>
      <c r="L15" s="386"/>
      <c r="S15" s="13"/>
      <c r="X15" s="48"/>
      <c r="Y15" s="48"/>
      <c r="Z15" s="48"/>
    </row>
    <row r="16" spans="1:26">
      <c r="A16" s="43" t="s">
        <v>14</v>
      </c>
      <c r="B16" s="15"/>
      <c r="C16" s="15"/>
      <c r="D16" s="68">
        <f>I94</f>
        <v>1854.5</v>
      </c>
      <c r="E16" s="28"/>
      <c r="I16" s="389" t="s">
        <v>147</v>
      </c>
      <c r="J16" s="65">
        <f>SUM(J17:J19)</f>
        <v>3789.02</v>
      </c>
      <c r="K16" s="8"/>
      <c r="L16" s="386"/>
      <c r="N16" s="639"/>
      <c r="O16" s="639"/>
      <c r="P16" s="76"/>
      <c r="X16" s="15"/>
      <c r="Y16" s="15"/>
      <c r="Z16" s="15"/>
    </row>
    <row r="17" spans="1:21">
      <c r="A17" s="43" t="s">
        <v>15</v>
      </c>
      <c r="B17" s="15"/>
      <c r="C17" s="15"/>
      <c r="D17" s="68">
        <f>+H43</f>
        <v>3126</v>
      </c>
      <c r="E17" s="28"/>
      <c r="I17" s="390" t="s">
        <v>153</v>
      </c>
      <c r="J17" s="66">
        <f>+F126</f>
        <v>1789.02</v>
      </c>
      <c r="K17" s="8"/>
      <c r="L17" s="386"/>
      <c r="N17" s="640"/>
      <c r="O17" s="636"/>
      <c r="P17" s="636"/>
    </row>
    <row r="18" spans="1:21">
      <c r="A18" s="43" t="s">
        <v>117</v>
      </c>
      <c r="B18" s="15"/>
      <c r="C18" s="15"/>
      <c r="D18" s="68">
        <f>I116</f>
        <v>108.50000000000001</v>
      </c>
      <c r="E18" s="28"/>
      <c r="I18" s="390" t="s">
        <v>349</v>
      </c>
      <c r="J18" s="66">
        <f>+F127</f>
        <v>1500</v>
      </c>
      <c r="K18" s="8"/>
      <c r="L18" s="386"/>
      <c r="N18" s="640"/>
      <c r="O18" s="78"/>
      <c r="P18" s="78"/>
    </row>
    <row r="19" spans="1:21">
      <c r="A19" s="43" t="s">
        <v>19</v>
      </c>
      <c r="B19" s="15"/>
      <c r="C19" s="15"/>
      <c r="D19" s="68">
        <f>+H31</f>
        <v>1482</v>
      </c>
      <c r="E19" s="28"/>
      <c r="I19" s="390" t="s">
        <v>350</v>
      </c>
      <c r="J19" s="66">
        <f>+F128</f>
        <v>500</v>
      </c>
      <c r="K19" s="8"/>
      <c r="L19" s="386"/>
      <c r="N19" s="640"/>
      <c r="O19" s="10"/>
      <c r="P19" s="10"/>
    </row>
    <row r="20" spans="1:21" ht="13.5" thickBot="1">
      <c r="A20" s="49" t="s">
        <v>114</v>
      </c>
      <c r="B20" s="50"/>
      <c r="C20" s="50"/>
      <c r="D20" s="50"/>
      <c r="E20" s="69">
        <f>+D6+D7+D8+D9+D16+D17+D19+D18</f>
        <v>58280.5</v>
      </c>
      <c r="I20" s="108" t="s">
        <v>150</v>
      </c>
      <c r="J20" s="391">
        <f>J7+J8+J16</f>
        <v>85450.06758680231</v>
      </c>
      <c r="K20" s="26"/>
      <c r="L20" s="392">
        <f>SUM(L6:L18)</f>
        <v>85450.06758680231</v>
      </c>
      <c r="N20" s="76"/>
      <c r="O20" s="77"/>
      <c r="P20" s="77"/>
    </row>
    <row r="21" spans="1:21" ht="13.5" thickBot="1">
      <c r="A21" s="63" t="s">
        <v>116</v>
      </c>
      <c r="N21" s="76"/>
      <c r="O21" s="77"/>
      <c r="P21" s="76"/>
    </row>
    <row r="22" spans="1:21" ht="15.75">
      <c r="I22" t="s">
        <v>648</v>
      </c>
      <c r="J22" s="435">
        <f>+J16+J8</f>
        <v>62069.52</v>
      </c>
      <c r="N22" s="76"/>
      <c r="O22" s="77"/>
      <c r="P22" s="641" t="s">
        <v>158</v>
      </c>
      <c r="Q22" s="642"/>
      <c r="R22" s="87">
        <f>+U33</f>
        <v>64087.550690101736</v>
      </c>
    </row>
    <row r="23" spans="1:21">
      <c r="N23" s="76"/>
      <c r="O23" s="77"/>
      <c r="P23" s="643" t="s">
        <v>690</v>
      </c>
      <c r="Q23" s="644"/>
      <c r="R23" s="25">
        <v>5</v>
      </c>
    </row>
    <row r="24" spans="1:21" ht="18">
      <c r="C24" s="608" t="s">
        <v>87</v>
      </c>
      <c r="D24" s="608"/>
      <c r="E24" s="608"/>
      <c r="F24" s="608"/>
      <c r="G24" s="608"/>
      <c r="H24" s="608"/>
      <c r="N24" s="76"/>
      <c r="O24" s="77"/>
      <c r="P24" s="645" t="s">
        <v>159</v>
      </c>
      <c r="Q24" s="646"/>
      <c r="R24" s="88">
        <f>+R23</f>
        <v>5</v>
      </c>
    </row>
    <row r="25" spans="1:21" ht="13.5" thickBot="1">
      <c r="C25" s="551" t="s">
        <v>92</v>
      </c>
      <c r="D25" s="551"/>
      <c r="E25" s="551"/>
      <c r="F25" s="551"/>
      <c r="G25" s="551"/>
      <c r="H25" s="551"/>
      <c r="N25" s="76"/>
      <c r="O25" s="77"/>
      <c r="P25" s="645" t="s">
        <v>171</v>
      </c>
      <c r="Q25" s="646"/>
      <c r="R25" s="459">
        <v>0.105</v>
      </c>
    </row>
    <row r="26" spans="1:21" ht="13.5" thickBot="1">
      <c r="C26" s="615"/>
      <c r="D26" s="616"/>
      <c r="E26" s="617"/>
      <c r="F26" s="22" t="s">
        <v>7</v>
      </c>
      <c r="G26" s="23" t="s">
        <v>8</v>
      </c>
      <c r="H26" s="24" t="s">
        <v>9</v>
      </c>
      <c r="N26" s="76"/>
      <c r="O26" s="77"/>
      <c r="P26" s="89"/>
      <c r="Q26" s="26"/>
      <c r="R26" s="27"/>
    </row>
    <row r="27" spans="1:21">
      <c r="C27" s="621" t="s">
        <v>19</v>
      </c>
      <c r="D27" s="551"/>
      <c r="E27" s="622"/>
      <c r="F27" s="14"/>
      <c r="G27" s="8"/>
      <c r="H27" s="25"/>
      <c r="N27" s="76"/>
      <c r="O27" s="77"/>
      <c r="P27" s="85"/>
      <c r="Q27" s="15"/>
      <c r="R27" s="15"/>
    </row>
    <row r="28" spans="1:21">
      <c r="C28" s="618" t="s">
        <v>20</v>
      </c>
      <c r="D28" s="619"/>
      <c r="E28" s="620"/>
      <c r="F28" s="14">
        <v>659</v>
      </c>
      <c r="G28" s="8">
        <v>2</v>
      </c>
      <c r="H28" s="25">
        <f>+G28*F28</f>
        <v>1318</v>
      </c>
      <c r="N28" s="76"/>
      <c r="O28" s="76"/>
      <c r="P28" s="635"/>
      <c r="Q28" s="635"/>
      <c r="R28" s="86"/>
    </row>
    <row r="29" spans="1:21">
      <c r="C29" s="618" t="s">
        <v>21</v>
      </c>
      <c r="D29" s="619"/>
      <c r="E29" s="620"/>
      <c r="F29" s="14">
        <v>130</v>
      </c>
      <c r="G29" s="8">
        <v>1</v>
      </c>
      <c r="H29" s="25">
        <f>+G29*F29</f>
        <v>130</v>
      </c>
      <c r="N29" s="76"/>
      <c r="O29" s="76"/>
    </row>
    <row r="30" spans="1:21">
      <c r="C30" s="629" t="s">
        <v>22</v>
      </c>
      <c r="D30" s="630"/>
      <c r="E30" s="631"/>
      <c r="F30" s="14">
        <v>17</v>
      </c>
      <c r="G30" s="8">
        <v>2</v>
      </c>
      <c r="H30" s="25">
        <f>+G30*F30</f>
        <v>34</v>
      </c>
      <c r="N30" s="76"/>
      <c r="O30" s="76"/>
      <c r="P30" s="520" t="s">
        <v>160</v>
      </c>
      <c r="Q30" s="520"/>
      <c r="R30" s="520"/>
      <c r="S30" s="520"/>
      <c r="T30" s="520"/>
      <c r="U30" s="520"/>
    </row>
    <row r="31" spans="1:21">
      <c r="C31" s="632" t="s">
        <v>42</v>
      </c>
      <c r="D31" s="633"/>
      <c r="E31" s="634"/>
      <c r="F31" s="8">
        <f>+SUM(F28:F30)</f>
        <v>806</v>
      </c>
      <c r="G31" s="8">
        <f>+SUM(G28:G30)</f>
        <v>5</v>
      </c>
      <c r="H31" s="25">
        <f>+SUM(H28:H30)</f>
        <v>1482</v>
      </c>
      <c r="N31" s="76"/>
      <c r="O31" s="76"/>
    </row>
    <row r="32" spans="1:21">
      <c r="C32" s="551" t="s">
        <v>86</v>
      </c>
      <c r="D32" s="551"/>
      <c r="E32" s="551"/>
      <c r="N32" s="76"/>
      <c r="O32" s="76"/>
      <c r="P32" s="17" t="s">
        <v>161</v>
      </c>
      <c r="Q32" s="17" t="s">
        <v>162</v>
      </c>
      <c r="R32" s="17" t="s">
        <v>163</v>
      </c>
      <c r="S32" s="17" t="s">
        <v>164</v>
      </c>
      <c r="T32" s="17" t="s">
        <v>165</v>
      </c>
      <c r="U32" s="17" t="s">
        <v>166</v>
      </c>
    </row>
    <row r="33" spans="3:21" ht="18">
      <c r="C33" s="608" t="s">
        <v>101</v>
      </c>
      <c r="D33" s="608"/>
      <c r="E33" s="608"/>
      <c r="F33" s="608"/>
      <c r="G33" s="608"/>
      <c r="H33" s="608"/>
      <c r="N33" s="76"/>
      <c r="O33" s="76"/>
      <c r="P33" s="8"/>
      <c r="Q33" s="8"/>
      <c r="R33" s="8"/>
      <c r="S33" s="8"/>
      <c r="T33" s="8"/>
      <c r="U33" s="79">
        <f>+L6</f>
        <v>64087.550690101736</v>
      </c>
    </row>
    <row r="34" spans="3:21" ht="13.5" thickBot="1">
      <c r="C34" s="551" t="s">
        <v>92</v>
      </c>
      <c r="D34" s="551"/>
      <c r="E34" s="551"/>
      <c r="F34" s="551"/>
      <c r="G34" s="551"/>
      <c r="H34" s="551"/>
      <c r="N34" s="10"/>
      <c r="O34" s="11"/>
      <c r="P34" s="8">
        <v>1</v>
      </c>
      <c r="Q34" s="79">
        <f>+PMT(R25,R24,-R22)</f>
        <v>17122.62310345739</v>
      </c>
      <c r="R34" s="57">
        <f>+U33*$R$25</f>
        <v>6729.1928224606818</v>
      </c>
      <c r="S34" s="79">
        <f t="shared" ref="S34:S39" si="0">+Q34-R34</f>
        <v>10393.430280996708</v>
      </c>
      <c r="T34" s="79">
        <f>+S34</f>
        <v>10393.430280996708</v>
      </c>
      <c r="U34" s="79">
        <f>+U33-S34</f>
        <v>53694.120409105031</v>
      </c>
    </row>
    <row r="35" spans="3:21">
      <c r="C35" s="615"/>
      <c r="D35" s="616"/>
      <c r="E35" s="617"/>
      <c r="F35" s="22" t="s">
        <v>7</v>
      </c>
      <c r="G35" s="23" t="s">
        <v>8</v>
      </c>
      <c r="H35" s="24" t="s">
        <v>9</v>
      </c>
      <c r="N35" s="10"/>
      <c r="O35" s="11"/>
      <c r="P35" s="8">
        <v>2</v>
      </c>
      <c r="Q35" s="79">
        <f>+Q34</f>
        <v>17122.62310345739</v>
      </c>
      <c r="R35" s="57">
        <f>+U34*$R$25</f>
        <v>5637.8826429560277</v>
      </c>
      <c r="S35" s="79">
        <f t="shared" si="0"/>
        <v>11484.740460501362</v>
      </c>
      <c r="T35" s="79">
        <f>+S35+T34</f>
        <v>21878.17074149807</v>
      </c>
      <c r="U35" s="79">
        <f>+U34-S35</f>
        <v>42209.379948603673</v>
      </c>
    </row>
    <row r="36" spans="3:21">
      <c r="C36" s="618" t="s">
        <v>26</v>
      </c>
      <c r="D36" s="619"/>
      <c r="E36" s="620"/>
      <c r="F36" s="8">
        <v>120</v>
      </c>
      <c r="G36" s="8">
        <v>3</v>
      </c>
      <c r="H36" s="25">
        <f t="shared" ref="H36:H42" si="1">+G36*F36</f>
        <v>360</v>
      </c>
      <c r="N36" s="10"/>
      <c r="O36" s="11"/>
      <c r="P36" s="8">
        <v>3</v>
      </c>
      <c r="Q36" s="79">
        <f>+Q35</f>
        <v>17122.62310345739</v>
      </c>
      <c r="R36" s="57">
        <f>+U35*$R$25</f>
        <v>4431.9848946033853</v>
      </c>
      <c r="S36" s="79">
        <f t="shared" si="0"/>
        <v>12690.638208854005</v>
      </c>
      <c r="T36" s="79">
        <f>+S36+T35</f>
        <v>34568.808950352075</v>
      </c>
      <c r="U36" s="79">
        <f>+U35-S36</f>
        <v>29518.741739749668</v>
      </c>
    </row>
    <row r="37" spans="3:21">
      <c r="C37" s="599" t="s">
        <v>76</v>
      </c>
      <c r="D37" s="572"/>
      <c r="E37" s="572"/>
      <c r="F37" s="8">
        <v>120</v>
      </c>
      <c r="G37" s="8">
        <v>2</v>
      </c>
      <c r="H37" s="25">
        <f t="shared" si="1"/>
        <v>240</v>
      </c>
      <c r="N37" s="10"/>
      <c r="O37" s="11"/>
      <c r="P37" s="8">
        <v>4</v>
      </c>
      <c r="Q37" s="79">
        <f>+Q36</f>
        <v>17122.62310345739</v>
      </c>
      <c r="R37" s="57">
        <f>+U36*$R$25</f>
        <v>3099.4678826737149</v>
      </c>
      <c r="S37" s="79">
        <f t="shared" si="0"/>
        <v>14023.155220783676</v>
      </c>
      <c r="T37" s="79">
        <f>+S37+T36</f>
        <v>48591.964171135754</v>
      </c>
      <c r="U37" s="79">
        <f>+U36-S37</f>
        <v>15495.586518965993</v>
      </c>
    </row>
    <row r="38" spans="3:21">
      <c r="C38" s="599" t="s">
        <v>100</v>
      </c>
      <c r="D38" s="572"/>
      <c r="E38" s="572"/>
      <c r="F38" s="8">
        <v>150</v>
      </c>
      <c r="G38" s="8">
        <v>3</v>
      </c>
      <c r="H38" s="25">
        <f t="shared" si="1"/>
        <v>450</v>
      </c>
      <c r="N38" s="15"/>
      <c r="O38" s="15"/>
      <c r="P38" s="8">
        <v>5</v>
      </c>
      <c r="Q38" s="79">
        <f>+Q37</f>
        <v>17122.62310345739</v>
      </c>
      <c r="R38" s="57">
        <f>+U37*$R$25</f>
        <v>1627.0365844914293</v>
      </c>
      <c r="S38" s="79">
        <f t="shared" si="0"/>
        <v>15495.586518965962</v>
      </c>
      <c r="T38" s="79">
        <f>+S38+T37</f>
        <v>64087.550690101714</v>
      </c>
      <c r="U38" s="79">
        <f>+U37-S38</f>
        <v>3.092281986027956E-11</v>
      </c>
    </row>
    <row r="39" spans="3:21">
      <c r="C39" s="599" t="s">
        <v>27</v>
      </c>
      <c r="D39" s="572"/>
      <c r="E39" s="572"/>
      <c r="F39" s="8">
        <v>7</v>
      </c>
      <c r="G39" s="8">
        <v>13</v>
      </c>
      <c r="H39" s="25">
        <f t="shared" si="1"/>
        <v>91</v>
      </c>
      <c r="N39" s="15"/>
      <c r="O39" s="15"/>
      <c r="P39" s="8"/>
      <c r="Q39" s="79">
        <f>SUM(Q34:Q38)</f>
        <v>85613.115517286948</v>
      </c>
      <c r="R39" s="79">
        <f>SUM(R34:R38)</f>
        <v>21525.564827185241</v>
      </c>
      <c r="S39" s="79">
        <f t="shared" si="0"/>
        <v>64087.550690101707</v>
      </c>
      <c r="T39" s="79"/>
      <c r="U39" s="79"/>
    </row>
    <row r="40" spans="3:21">
      <c r="C40" s="599" t="s">
        <v>28</v>
      </c>
      <c r="D40" s="572"/>
      <c r="E40" s="572"/>
      <c r="F40" s="8">
        <v>465</v>
      </c>
      <c r="G40" s="8">
        <v>2</v>
      </c>
      <c r="H40" s="25">
        <f t="shared" si="1"/>
        <v>930</v>
      </c>
      <c r="N40" s="15"/>
      <c r="O40" s="15"/>
      <c r="P40" s="15"/>
      <c r="Q40" s="80"/>
      <c r="R40" s="56"/>
      <c r="S40" s="80"/>
      <c r="T40" s="80"/>
      <c r="U40" s="80"/>
    </row>
    <row r="41" spans="3:21">
      <c r="C41" s="599" t="s">
        <v>99</v>
      </c>
      <c r="D41" s="572"/>
      <c r="E41" s="572"/>
      <c r="F41" s="8">
        <v>15</v>
      </c>
      <c r="G41" s="8">
        <v>13</v>
      </c>
      <c r="H41" s="25">
        <f t="shared" si="1"/>
        <v>195</v>
      </c>
      <c r="N41" s="636"/>
      <c r="O41" s="636"/>
      <c r="P41" s="15"/>
      <c r="Q41" s="80"/>
      <c r="R41" s="56"/>
      <c r="S41" s="80"/>
      <c r="T41" s="80"/>
      <c r="U41" s="80"/>
    </row>
    <row r="42" spans="3:21" ht="13.5" thickBot="1">
      <c r="C42" s="647" t="s">
        <v>50</v>
      </c>
      <c r="D42" s="648"/>
      <c r="E42" s="648"/>
      <c r="F42" s="8">
        <v>430</v>
      </c>
      <c r="G42" s="8">
        <v>2</v>
      </c>
      <c r="H42" s="25">
        <f t="shared" si="1"/>
        <v>860</v>
      </c>
      <c r="N42" s="76"/>
      <c r="O42" s="77"/>
      <c r="P42" s="15"/>
      <c r="Q42" s="80"/>
      <c r="R42" s="56"/>
      <c r="S42" s="80"/>
      <c r="T42" s="80"/>
      <c r="U42" s="80"/>
    </row>
    <row r="43" spans="3:21" ht="15.75" thickBot="1">
      <c r="C43" s="602" t="s">
        <v>40</v>
      </c>
      <c r="D43" s="603"/>
      <c r="E43" s="649"/>
      <c r="F43" s="34">
        <f>+SUM(F36:F42)</f>
        <v>1307</v>
      </c>
      <c r="G43" s="34">
        <f>+SUM(G36:G42)</f>
        <v>38</v>
      </c>
      <c r="H43" s="34">
        <f>+SUM(H36:H42)</f>
        <v>3126</v>
      </c>
      <c r="N43" s="76"/>
      <c r="O43" s="77"/>
      <c r="P43" s="81"/>
      <c r="Q43" s="81"/>
      <c r="R43" s="82" t="s">
        <v>167</v>
      </c>
      <c r="S43" s="82" t="s">
        <v>168</v>
      </c>
      <c r="T43" s="80"/>
      <c r="U43" s="80"/>
    </row>
    <row r="44" spans="3:21" ht="15">
      <c r="C44" s="551" t="s">
        <v>86</v>
      </c>
      <c r="D44" s="551"/>
      <c r="E44" s="551"/>
      <c r="N44" s="76"/>
      <c r="O44" s="77"/>
      <c r="P44" s="613" t="s">
        <v>169</v>
      </c>
      <c r="Q44" s="614"/>
      <c r="R44" s="83">
        <f>+SUM(R45:R46)</f>
        <v>85450.06758680231</v>
      </c>
      <c r="S44" s="84">
        <f>+SUM(S45:S46)</f>
        <v>1</v>
      </c>
      <c r="T44" s="80"/>
      <c r="U44" s="80"/>
    </row>
    <row r="45" spans="3:21" ht="15">
      <c r="N45" s="10"/>
      <c r="O45" s="11"/>
      <c r="P45" s="613" t="s">
        <v>170</v>
      </c>
      <c r="Q45" s="614"/>
      <c r="R45" s="83">
        <f>+L11</f>
        <v>21362.516896700577</v>
      </c>
      <c r="S45" s="84">
        <f>+(R45/R44)*100%</f>
        <v>0.25</v>
      </c>
      <c r="T45" s="80"/>
      <c r="U45" s="80"/>
    </row>
    <row r="46" spans="3:21" ht="15">
      <c r="N46" s="15"/>
      <c r="O46" s="15"/>
      <c r="P46" s="637" t="s">
        <v>140</v>
      </c>
      <c r="Q46" s="638"/>
      <c r="R46" s="83">
        <f>+U33</f>
        <v>64087.550690101736</v>
      </c>
      <c r="S46" s="84">
        <f>+(R46/R44)*100%</f>
        <v>0.75</v>
      </c>
      <c r="T46" s="80"/>
      <c r="U46" s="80"/>
    </row>
    <row r="47" spans="3:21">
      <c r="N47" s="636"/>
      <c r="O47" s="636"/>
      <c r="P47" s="15"/>
      <c r="Q47" s="80"/>
      <c r="R47" s="56"/>
      <c r="S47" s="80"/>
      <c r="T47" s="80"/>
      <c r="U47" s="80"/>
    </row>
    <row r="48" spans="3:21">
      <c r="N48" s="76"/>
      <c r="O48" s="77"/>
      <c r="P48" s="15"/>
    </row>
    <row r="49" spans="3:19" ht="18">
      <c r="C49" s="605" t="s">
        <v>1</v>
      </c>
      <c r="D49" s="605"/>
      <c r="E49" s="605"/>
      <c r="F49" s="605"/>
      <c r="G49" s="605"/>
      <c r="H49" s="605"/>
      <c r="N49" s="76"/>
      <c r="O49" s="77"/>
      <c r="P49" s="15"/>
    </row>
    <row r="50" spans="3:19" ht="13.5" thickBot="1">
      <c r="C50" s="623" t="s">
        <v>92</v>
      </c>
      <c r="D50" s="623"/>
      <c r="E50" s="623"/>
      <c r="F50" s="623"/>
      <c r="G50" s="623"/>
      <c r="H50" s="623"/>
      <c r="N50" s="76"/>
      <c r="O50" s="77"/>
      <c r="P50" s="15"/>
    </row>
    <row r="51" spans="3:19" ht="13.5" thickBot="1">
      <c r="C51" s="624"/>
      <c r="D51" s="625"/>
      <c r="E51" s="626"/>
      <c r="F51" s="31" t="s">
        <v>7</v>
      </c>
      <c r="G51" s="32" t="s">
        <v>8</v>
      </c>
      <c r="H51" s="33" t="s">
        <v>9</v>
      </c>
      <c r="I51" s="237"/>
      <c r="N51" s="76"/>
      <c r="O51" s="77"/>
      <c r="P51" s="15"/>
    </row>
    <row r="52" spans="3:19">
      <c r="C52" s="627" t="s">
        <v>32</v>
      </c>
      <c r="D52" s="628"/>
      <c r="E52" s="628"/>
      <c r="F52" s="30">
        <v>140</v>
      </c>
      <c r="G52" s="30">
        <v>4</v>
      </c>
      <c r="H52" s="35">
        <f>+G52*F52</f>
        <v>560</v>
      </c>
      <c r="J52" s="551"/>
      <c r="K52" s="551"/>
      <c r="N52" s="10"/>
      <c r="O52" s="11"/>
      <c r="P52" s="15"/>
      <c r="S52" s="3"/>
    </row>
    <row r="53" spans="3:19">
      <c r="C53" s="599" t="s">
        <v>33</v>
      </c>
      <c r="D53" s="572"/>
      <c r="E53" s="572"/>
      <c r="F53" s="29">
        <v>1000</v>
      </c>
      <c r="G53" s="29">
        <v>1</v>
      </c>
      <c r="H53" s="36">
        <f>+G53*F53</f>
        <v>1000</v>
      </c>
      <c r="J53" s="15"/>
      <c r="K53" s="16"/>
      <c r="N53" s="15"/>
      <c r="O53" s="15"/>
      <c r="P53" s="15"/>
    </row>
    <row r="54" spans="3:19">
      <c r="C54" s="599" t="s">
        <v>38</v>
      </c>
      <c r="D54" s="572"/>
      <c r="E54" s="572"/>
      <c r="F54" s="29">
        <v>4500</v>
      </c>
      <c r="G54" s="29">
        <v>2</v>
      </c>
      <c r="H54" s="36">
        <f>+G54*F54</f>
        <v>9000</v>
      </c>
      <c r="J54" s="16"/>
      <c r="K54" s="16"/>
      <c r="N54" s="636"/>
      <c r="O54" s="636"/>
      <c r="P54" s="15"/>
    </row>
    <row r="55" spans="3:19">
      <c r="C55" s="599" t="s">
        <v>39</v>
      </c>
      <c r="D55" s="572"/>
      <c r="E55" s="572"/>
      <c r="F55" s="29">
        <v>18</v>
      </c>
      <c r="G55" s="29">
        <v>4</v>
      </c>
      <c r="H55" s="36">
        <f>+F55*G55</f>
        <v>72</v>
      </c>
      <c r="J55" s="15"/>
      <c r="K55" s="371"/>
      <c r="N55" s="76"/>
      <c r="O55" s="77"/>
      <c r="P55" s="15"/>
      <c r="S55" s="3"/>
    </row>
    <row r="56" spans="3:19">
      <c r="C56" s="599" t="s">
        <v>41</v>
      </c>
      <c r="D56" s="572"/>
      <c r="E56" s="572"/>
      <c r="F56" s="29">
        <v>2.1</v>
      </c>
      <c r="G56" s="29">
        <v>10</v>
      </c>
      <c r="H56" s="36">
        <f>+G56*F56</f>
        <v>21</v>
      </c>
      <c r="J56" s="120"/>
      <c r="K56" s="371"/>
      <c r="N56" s="76"/>
      <c r="O56" s="77"/>
      <c r="P56" s="15"/>
    </row>
    <row r="57" spans="3:19">
      <c r="C57" s="599" t="s">
        <v>43</v>
      </c>
      <c r="D57" s="572"/>
      <c r="E57" s="572"/>
      <c r="F57" s="29">
        <v>2000</v>
      </c>
      <c r="G57" s="29"/>
      <c r="H57" s="36">
        <f>+F57</f>
        <v>2000</v>
      </c>
      <c r="J57" s="15"/>
      <c r="K57" s="15"/>
      <c r="N57" s="10"/>
      <c r="O57" s="11"/>
      <c r="P57" s="15"/>
    </row>
    <row r="58" spans="3:19">
      <c r="C58" s="599" t="s">
        <v>102</v>
      </c>
      <c r="D58" s="572"/>
      <c r="E58" s="572"/>
      <c r="F58" s="29">
        <v>3000</v>
      </c>
      <c r="G58" s="29"/>
      <c r="H58" s="36">
        <f>+F58</f>
        <v>3000</v>
      </c>
      <c r="N58" s="15"/>
      <c r="O58" s="15"/>
      <c r="P58" s="15"/>
    </row>
    <row r="59" spans="3:19" ht="13.5" thickBot="1">
      <c r="C59" s="611" t="s">
        <v>600</v>
      </c>
      <c r="D59" s="612"/>
      <c r="E59" s="612"/>
      <c r="F59" s="37">
        <f>+SUM(F52:F58)</f>
        <v>10660.1</v>
      </c>
      <c r="G59" s="37">
        <f>+SUM(G52:G58)</f>
        <v>21</v>
      </c>
      <c r="H59" s="37">
        <f>+SUM(H52:H58)</f>
        <v>15653</v>
      </c>
      <c r="N59" s="15"/>
      <c r="O59" s="15"/>
      <c r="P59" s="15"/>
    </row>
    <row r="60" spans="3:19">
      <c r="C60" s="551" t="s">
        <v>86</v>
      </c>
      <c r="D60" s="551"/>
      <c r="E60" s="551"/>
      <c r="N60" s="15"/>
      <c r="O60" s="15"/>
      <c r="P60" s="15"/>
    </row>
    <row r="61" spans="3:19">
      <c r="N61" s="619"/>
      <c r="O61" s="619"/>
      <c r="P61" s="15"/>
    </row>
    <row r="62" spans="3:19" ht="18">
      <c r="C62" s="605" t="s">
        <v>89</v>
      </c>
      <c r="D62" s="605"/>
      <c r="E62" s="605"/>
      <c r="F62" s="605"/>
      <c r="G62" s="605"/>
      <c r="H62" s="605"/>
      <c r="N62" s="619"/>
      <c r="O62" s="619"/>
      <c r="P62" s="15"/>
      <c r="S62" s="3"/>
    </row>
    <row r="63" spans="3:19" ht="13.5" thickBot="1">
      <c r="C63" s="551" t="s">
        <v>92</v>
      </c>
      <c r="D63" s="551"/>
      <c r="E63" s="551"/>
      <c r="F63" s="551"/>
      <c r="G63" s="551"/>
      <c r="H63" s="551"/>
      <c r="N63" s="16"/>
      <c r="O63" s="16"/>
      <c r="P63" s="15"/>
      <c r="S63" s="3"/>
    </row>
    <row r="64" spans="3:19">
      <c r="C64" s="600" t="s">
        <v>44</v>
      </c>
      <c r="D64" s="601"/>
      <c r="E64" s="601"/>
      <c r="F64" s="23" t="s">
        <v>7</v>
      </c>
      <c r="G64" s="23" t="s">
        <v>8</v>
      </c>
      <c r="H64" s="24" t="s">
        <v>9</v>
      </c>
      <c r="N64" s="16"/>
      <c r="O64" s="16"/>
      <c r="P64" s="15"/>
      <c r="S64" s="3"/>
    </row>
    <row r="65" spans="3:19">
      <c r="C65" s="599" t="str">
        <f>+B10</f>
        <v>Hornos Ahumadores</v>
      </c>
      <c r="D65" s="572"/>
      <c r="E65" s="572"/>
      <c r="F65" s="8">
        <f>8250*1.35</f>
        <v>11137.5</v>
      </c>
      <c r="G65" s="8">
        <v>1</v>
      </c>
      <c r="H65" s="25">
        <f>+F65*G65</f>
        <v>11137.5</v>
      </c>
      <c r="N65" s="16"/>
      <c r="O65" s="16"/>
      <c r="P65" s="15"/>
      <c r="S65" s="3"/>
    </row>
    <row r="66" spans="3:19">
      <c r="C66" s="599" t="str">
        <f>+B11</f>
        <v>Empacadoras</v>
      </c>
      <c r="D66" s="572"/>
      <c r="E66" s="572"/>
      <c r="F66" s="8">
        <v>2600</v>
      </c>
      <c r="G66" s="8">
        <v>1</v>
      </c>
      <c r="H66" s="25">
        <f t="shared" ref="H66:H71" si="2">+G66*F66</f>
        <v>2600</v>
      </c>
      <c r="N66" s="16"/>
      <c r="O66" s="16"/>
      <c r="P66" s="15"/>
      <c r="S66" s="3"/>
    </row>
    <row r="67" spans="3:19">
      <c r="C67" s="599" t="str">
        <f>+B12</f>
        <v>Selladoras</v>
      </c>
      <c r="D67" s="572"/>
      <c r="E67" s="572"/>
      <c r="F67" s="8">
        <v>1500</v>
      </c>
      <c r="G67" s="8">
        <v>1</v>
      </c>
      <c r="H67" s="25">
        <f t="shared" si="2"/>
        <v>1500</v>
      </c>
      <c r="N67" s="15"/>
      <c r="O67" s="15"/>
      <c r="P67" s="15"/>
    </row>
    <row r="68" spans="3:19">
      <c r="C68" s="599" t="str">
        <f>+B13</f>
        <v>Balanzas electronicas</v>
      </c>
      <c r="D68" s="572"/>
      <c r="E68" s="572"/>
      <c r="F68" s="8">
        <v>119</v>
      </c>
      <c r="G68" s="8">
        <v>1</v>
      </c>
      <c r="H68" s="25">
        <f t="shared" si="2"/>
        <v>119</v>
      </c>
      <c r="N68" s="15"/>
      <c r="O68" s="15"/>
      <c r="P68" s="15"/>
    </row>
    <row r="69" spans="3:19">
      <c r="C69" s="599" t="str">
        <f>+B15</f>
        <v>Equipos de Refrigeracion</v>
      </c>
      <c r="D69" s="572"/>
      <c r="E69" s="572"/>
      <c r="F69" s="8">
        <v>4500</v>
      </c>
      <c r="G69" s="8">
        <v>1</v>
      </c>
      <c r="H69" s="25">
        <f t="shared" si="2"/>
        <v>4500</v>
      </c>
      <c r="N69" s="15"/>
      <c r="O69" s="15"/>
      <c r="P69" s="15"/>
    </row>
    <row r="70" spans="3:19">
      <c r="C70" s="599" t="s">
        <v>2</v>
      </c>
      <c r="D70" s="572"/>
      <c r="E70" s="572"/>
      <c r="F70" s="8">
        <v>16000</v>
      </c>
      <c r="G70" s="8">
        <v>1</v>
      </c>
      <c r="H70" s="25">
        <f t="shared" si="2"/>
        <v>16000</v>
      </c>
      <c r="N70" s="15"/>
      <c r="O70" s="15"/>
      <c r="P70" s="15"/>
    </row>
    <row r="71" spans="3:19">
      <c r="C71" s="599" t="s">
        <v>105</v>
      </c>
      <c r="D71" s="572"/>
      <c r="E71" s="572"/>
      <c r="F71" s="8">
        <v>100</v>
      </c>
      <c r="G71" s="8">
        <v>2</v>
      </c>
      <c r="H71" s="25">
        <f t="shared" si="2"/>
        <v>200</v>
      </c>
      <c r="N71" s="15"/>
      <c r="O71" s="15"/>
      <c r="P71" s="15"/>
    </row>
    <row r="72" spans="3:19" ht="13.5" thickBot="1">
      <c r="C72" s="606" t="s">
        <v>103</v>
      </c>
      <c r="D72" s="607"/>
      <c r="E72" s="607"/>
      <c r="F72" s="26">
        <f>+SUM(F65:F71)</f>
        <v>35956.5</v>
      </c>
      <c r="G72" s="26">
        <f>+SUM(G65:G71)</f>
        <v>8</v>
      </c>
      <c r="H72" s="26">
        <f>+SUM(H65:H71)</f>
        <v>36056.5</v>
      </c>
      <c r="N72" s="15"/>
      <c r="O72" s="15"/>
      <c r="P72" s="15"/>
    </row>
    <row r="73" spans="3:19">
      <c r="C73" s="551" t="s">
        <v>90</v>
      </c>
      <c r="D73" s="551"/>
      <c r="E73" s="551"/>
      <c r="N73" s="15"/>
      <c r="O73" s="15"/>
      <c r="P73" s="15"/>
    </row>
    <row r="74" spans="3:19">
      <c r="N74" s="15"/>
      <c r="O74" s="15"/>
      <c r="P74" s="15"/>
    </row>
    <row r="75" spans="3:19" ht="18">
      <c r="C75" s="605" t="s">
        <v>14</v>
      </c>
      <c r="D75" s="605"/>
      <c r="E75" s="605"/>
      <c r="F75" s="605"/>
      <c r="G75" s="605"/>
      <c r="H75" s="605"/>
      <c r="N75" s="15"/>
      <c r="O75" s="15"/>
      <c r="P75" s="15"/>
    </row>
    <row r="76" spans="3:19" ht="13.5" thickBot="1">
      <c r="C76" s="551" t="s">
        <v>92</v>
      </c>
      <c r="D76" s="551"/>
      <c r="E76" s="551"/>
      <c r="F76" s="551"/>
      <c r="G76" s="551"/>
      <c r="H76" s="551"/>
      <c r="N76" s="15"/>
      <c r="O76" s="15"/>
      <c r="P76" s="15"/>
    </row>
    <row r="77" spans="3:19">
      <c r="C77" s="600" t="s">
        <v>104</v>
      </c>
      <c r="D77" s="601"/>
      <c r="E77" s="601"/>
      <c r="F77" s="23" t="s">
        <v>7</v>
      </c>
      <c r="G77" s="23" t="s">
        <v>550</v>
      </c>
      <c r="H77" s="23" t="s">
        <v>388</v>
      </c>
      <c r="I77" s="334" t="s">
        <v>549</v>
      </c>
      <c r="N77" s="15"/>
      <c r="O77" s="15"/>
      <c r="P77" s="15"/>
    </row>
    <row r="78" spans="3:19">
      <c r="C78" s="609" t="s">
        <v>45</v>
      </c>
      <c r="D78" s="610"/>
      <c r="E78" s="610"/>
      <c r="F78" s="8">
        <v>9</v>
      </c>
      <c r="G78" s="8">
        <v>12</v>
      </c>
      <c r="H78" s="8">
        <f>+G78*F78</f>
        <v>108</v>
      </c>
      <c r="I78" s="25">
        <f>+H78*2</f>
        <v>216</v>
      </c>
      <c r="N78" s="15"/>
      <c r="O78" s="15"/>
      <c r="P78" s="15"/>
    </row>
    <row r="79" spans="3:19">
      <c r="C79" s="609" t="s">
        <v>46</v>
      </c>
      <c r="D79" s="610"/>
      <c r="E79" s="610"/>
      <c r="F79" s="8">
        <v>3</v>
      </c>
      <c r="G79" s="8">
        <v>12</v>
      </c>
      <c r="H79" s="8">
        <f>+G79*F79</f>
        <v>36</v>
      </c>
      <c r="I79" s="25">
        <f t="shared" ref="I79:I93" si="3">+H79*2</f>
        <v>72</v>
      </c>
      <c r="N79" s="15"/>
      <c r="O79" s="15"/>
      <c r="P79" s="15"/>
    </row>
    <row r="80" spans="3:19">
      <c r="C80" s="609" t="s">
        <v>47</v>
      </c>
      <c r="D80" s="610"/>
      <c r="E80" s="610"/>
      <c r="F80" s="8">
        <v>6</v>
      </c>
      <c r="G80" s="8">
        <v>10</v>
      </c>
      <c r="H80" s="8">
        <f>+G80*F80</f>
        <v>60</v>
      </c>
      <c r="I80" s="25">
        <f t="shared" si="3"/>
        <v>120</v>
      </c>
      <c r="N80" s="15"/>
      <c r="O80" s="15"/>
      <c r="P80" s="15"/>
    </row>
    <row r="81" spans="3:16">
      <c r="C81" s="609" t="s">
        <v>48</v>
      </c>
      <c r="D81" s="610"/>
      <c r="E81" s="610"/>
      <c r="F81" s="8">
        <v>8</v>
      </c>
      <c r="G81" s="8">
        <v>10</v>
      </c>
      <c r="H81" s="8">
        <f>+G81*F81</f>
        <v>80</v>
      </c>
      <c r="I81" s="25">
        <f t="shared" si="3"/>
        <v>160</v>
      </c>
      <c r="N81" s="15"/>
      <c r="O81" s="15"/>
      <c r="P81" s="15"/>
    </row>
    <row r="82" spans="3:16">
      <c r="C82" s="609" t="s">
        <v>49</v>
      </c>
      <c r="D82" s="610"/>
      <c r="E82" s="610"/>
      <c r="F82" s="8">
        <v>1.9</v>
      </c>
      <c r="G82" s="8">
        <v>10</v>
      </c>
      <c r="H82" s="8">
        <f>+G82*F82</f>
        <v>19</v>
      </c>
      <c r="I82" s="25">
        <f t="shared" si="3"/>
        <v>38</v>
      </c>
      <c r="N82" s="15"/>
      <c r="O82" s="15"/>
      <c r="P82" s="15"/>
    </row>
    <row r="83" spans="3:16">
      <c r="C83" s="609" t="s">
        <v>95</v>
      </c>
      <c r="D83" s="610"/>
      <c r="E83" s="610"/>
      <c r="F83" s="8">
        <v>1</v>
      </c>
      <c r="G83" s="8">
        <v>12</v>
      </c>
      <c r="H83" s="8">
        <f t="shared" ref="H83:H93" si="4">+G83*F83</f>
        <v>12</v>
      </c>
      <c r="I83" s="25">
        <f t="shared" si="3"/>
        <v>24</v>
      </c>
      <c r="N83" s="15"/>
      <c r="O83" s="15"/>
      <c r="P83" s="15"/>
    </row>
    <row r="84" spans="3:16">
      <c r="C84" s="609" t="s">
        <v>94</v>
      </c>
      <c r="D84" s="610"/>
      <c r="E84" s="610"/>
      <c r="F84" s="8">
        <v>1.5</v>
      </c>
      <c r="G84" s="8">
        <v>12</v>
      </c>
      <c r="H84" s="8">
        <f t="shared" si="4"/>
        <v>18</v>
      </c>
      <c r="I84" s="25">
        <f t="shared" si="3"/>
        <v>36</v>
      </c>
      <c r="N84" s="15"/>
      <c r="O84" s="15"/>
      <c r="P84" s="15"/>
    </row>
    <row r="85" spans="3:16">
      <c r="C85" s="609" t="s">
        <v>96</v>
      </c>
      <c r="D85" s="610"/>
      <c r="E85" s="610"/>
      <c r="F85" s="8">
        <v>50</v>
      </c>
      <c r="G85" s="8">
        <v>6</v>
      </c>
      <c r="H85" s="8">
        <f t="shared" si="4"/>
        <v>300</v>
      </c>
      <c r="I85" s="25">
        <f t="shared" si="3"/>
        <v>600</v>
      </c>
      <c r="N85" s="15"/>
      <c r="O85" s="15"/>
      <c r="P85" s="15"/>
    </row>
    <row r="86" spans="3:16">
      <c r="C86" s="609" t="s">
        <v>106</v>
      </c>
      <c r="D86" s="610"/>
      <c r="E86" s="610"/>
      <c r="F86" s="8">
        <v>2</v>
      </c>
      <c r="G86" s="8">
        <v>9</v>
      </c>
      <c r="H86" s="8">
        <f t="shared" si="4"/>
        <v>18</v>
      </c>
      <c r="I86" s="25">
        <f t="shared" si="3"/>
        <v>36</v>
      </c>
      <c r="N86" s="15"/>
      <c r="O86" s="15"/>
      <c r="P86" s="15"/>
    </row>
    <row r="87" spans="3:16">
      <c r="C87" s="609" t="s">
        <v>108</v>
      </c>
      <c r="D87" s="610"/>
      <c r="E87" s="610"/>
      <c r="F87" s="8">
        <v>2.5</v>
      </c>
      <c r="G87" s="8">
        <v>9</v>
      </c>
      <c r="H87" s="8">
        <f t="shared" si="4"/>
        <v>22.5</v>
      </c>
      <c r="I87" s="25">
        <f t="shared" si="3"/>
        <v>45</v>
      </c>
      <c r="N87" s="15"/>
      <c r="O87" s="15"/>
      <c r="P87" s="15"/>
    </row>
    <row r="88" spans="3:16">
      <c r="C88" s="609" t="s">
        <v>107</v>
      </c>
      <c r="D88" s="610"/>
      <c r="E88" s="610"/>
      <c r="F88" s="8">
        <v>1.5</v>
      </c>
      <c r="G88" s="8">
        <v>6</v>
      </c>
      <c r="H88" s="8">
        <f t="shared" si="4"/>
        <v>9</v>
      </c>
      <c r="I88" s="25">
        <f t="shared" si="3"/>
        <v>18</v>
      </c>
      <c r="N88" s="15"/>
      <c r="O88" s="15"/>
      <c r="P88" s="15"/>
    </row>
    <row r="89" spans="3:16">
      <c r="C89" s="609" t="s">
        <v>109</v>
      </c>
      <c r="D89" s="610"/>
      <c r="E89" s="610"/>
      <c r="F89" s="8">
        <v>2.5</v>
      </c>
      <c r="G89" s="8">
        <v>18</v>
      </c>
      <c r="H89" s="8">
        <f t="shared" si="4"/>
        <v>45</v>
      </c>
      <c r="I89" s="25">
        <f t="shared" si="3"/>
        <v>90</v>
      </c>
      <c r="N89" s="15"/>
      <c r="O89" s="15"/>
      <c r="P89" s="15"/>
    </row>
    <row r="90" spans="3:16">
      <c r="C90" s="609" t="s">
        <v>110</v>
      </c>
      <c r="D90" s="610"/>
      <c r="E90" s="610"/>
      <c r="F90" s="8">
        <v>3</v>
      </c>
      <c r="G90" s="8">
        <v>18</v>
      </c>
      <c r="H90" s="8">
        <f t="shared" si="4"/>
        <v>54</v>
      </c>
      <c r="I90" s="25">
        <f t="shared" si="3"/>
        <v>108</v>
      </c>
      <c r="N90" s="15"/>
      <c r="O90" s="15"/>
      <c r="P90" s="15"/>
    </row>
    <row r="91" spans="3:16">
      <c r="C91" s="609" t="s">
        <v>111</v>
      </c>
      <c r="D91" s="610"/>
      <c r="E91" s="610"/>
      <c r="F91" s="8">
        <v>2</v>
      </c>
      <c r="G91" s="8">
        <v>36</v>
      </c>
      <c r="H91" s="8">
        <f>+G91*F91</f>
        <v>72</v>
      </c>
      <c r="I91" s="25">
        <f t="shared" si="3"/>
        <v>144</v>
      </c>
      <c r="N91" s="15"/>
      <c r="O91" s="15"/>
      <c r="P91" s="15"/>
    </row>
    <row r="92" spans="3:16">
      <c r="C92" s="609" t="s">
        <v>112</v>
      </c>
      <c r="D92" s="610"/>
      <c r="E92" s="610"/>
      <c r="F92" s="8">
        <v>2</v>
      </c>
      <c r="G92" s="8">
        <v>36</v>
      </c>
      <c r="H92" s="8">
        <f>+G92*F92</f>
        <v>72</v>
      </c>
      <c r="I92" s="25">
        <f t="shared" si="3"/>
        <v>144</v>
      </c>
      <c r="N92" s="15"/>
      <c r="O92" s="15"/>
      <c r="P92" s="15"/>
    </row>
    <row r="93" spans="3:16">
      <c r="C93" s="609" t="s">
        <v>113</v>
      </c>
      <c r="D93" s="610"/>
      <c r="E93" s="610"/>
      <c r="F93" s="8">
        <v>7.0000000000000007E-2</v>
      </c>
      <c r="G93" s="8">
        <v>25</v>
      </c>
      <c r="H93" s="8">
        <f t="shared" si="4"/>
        <v>1.7500000000000002</v>
      </c>
      <c r="I93" s="25">
        <f t="shared" si="3"/>
        <v>3.5000000000000004</v>
      </c>
      <c r="N93" s="15"/>
      <c r="O93" s="15"/>
      <c r="P93" s="15"/>
    </row>
    <row r="94" spans="3:16" ht="13.5" thickBot="1">
      <c r="C94" s="611" t="s">
        <v>88</v>
      </c>
      <c r="D94" s="612"/>
      <c r="E94" s="612"/>
      <c r="F94" s="26">
        <f>+SUM(F78:F93)</f>
        <v>95.97</v>
      </c>
      <c r="G94" s="26">
        <f>+SUM(G78:G93)</f>
        <v>241</v>
      </c>
      <c r="H94" s="26">
        <f>+SUM(H78:H93)</f>
        <v>927.25</v>
      </c>
      <c r="I94" s="27">
        <f>+SUM(I78:I93)</f>
        <v>1854.5</v>
      </c>
      <c r="N94" s="15"/>
      <c r="O94" s="15"/>
      <c r="P94" s="15"/>
    </row>
    <row r="95" spans="3:16">
      <c r="C95" s="551" t="s">
        <v>90</v>
      </c>
      <c r="D95" s="551"/>
      <c r="E95" s="551"/>
      <c r="N95" s="15"/>
      <c r="O95" s="15"/>
      <c r="P95" s="15"/>
    </row>
    <row r="100" spans="3:9" ht="18">
      <c r="C100" s="605" t="s">
        <v>135</v>
      </c>
      <c r="D100" s="605"/>
      <c r="E100" s="605"/>
      <c r="F100" s="605"/>
      <c r="G100" s="605"/>
      <c r="H100" s="605"/>
      <c r="I100" s="51"/>
    </row>
    <row r="101" spans="3:9" ht="13.5" thickBot="1">
      <c r="C101" s="551" t="s">
        <v>92</v>
      </c>
      <c r="D101" s="551"/>
      <c r="E101" s="551"/>
      <c r="F101" s="551"/>
      <c r="G101" s="551"/>
      <c r="H101" s="551"/>
      <c r="I101" s="52"/>
    </row>
    <row r="102" spans="3:9">
      <c r="C102" s="600" t="s">
        <v>118</v>
      </c>
      <c r="D102" s="601" t="s">
        <v>119</v>
      </c>
      <c r="E102" s="601" t="s">
        <v>120</v>
      </c>
      <c r="F102" s="23" t="s">
        <v>7</v>
      </c>
      <c r="G102" s="23" t="s">
        <v>401</v>
      </c>
      <c r="H102" s="24" t="s">
        <v>402</v>
      </c>
      <c r="I102" s="237" t="s">
        <v>693</v>
      </c>
    </row>
    <row r="103" spans="3:9" ht="15.75">
      <c r="C103" s="599" t="s">
        <v>122</v>
      </c>
      <c r="D103" s="572">
        <v>4</v>
      </c>
      <c r="E103" s="572"/>
      <c r="F103" s="57">
        <v>2.9</v>
      </c>
      <c r="G103" s="58">
        <v>4</v>
      </c>
      <c r="H103" s="25">
        <f>+F103*G103</f>
        <v>11.6</v>
      </c>
      <c r="I103">
        <f>+H103*2</f>
        <v>23.2</v>
      </c>
    </row>
    <row r="104" spans="3:9" ht="15.75">
      <c r="C104" s="599" t="s">
        <v>123</v>
      </c>
      <c r="D104" s="572">
        <v>2</v>
      </c>
      <c r="E104" s="572"/>
      <c r="F104" s="57">
        <v>1.03</v>
      </c>
      <c r="G104" s="58">
        <v>2</v>
      </c>
      <c r="H104" s="25">
        <f t="shared" ref="H104:H115" si="5">+F104*G104</f>
        <v>2.06</v>
      </c>
      <c r="I104">
        <f t="shared" ref="I104:I115" si="6">+H104*2</f>
        <v>4.12</v>
      </c>
    </row>
    <row r="105" spans="3:9" ht="15.75">
      <c r="C105" s="599" t="s">
        <v>124</v>
      </c>
      <c r="D105" s="572">
        <v>4</v>
      </c>
      <c r="E105" s="572"/>
      <c r="F105" s="57">
        <v>0.16</v>
      </c>
      <c r="G105" s="58">
        <v>4</v>
      </c>
      <c r="H105" s="25">
        <f t="shared" si="5"/>
        <v>0.64</v>
      </c>
      <c r="I105">
        <f t="shared" si="6"/>
        <v>1.28</v>
      </c>
    </row>
    <row r="106" spans="3:9" ht="15.75">
      <c r="C106" s="599" t="s">
        <v>125</v>
      </c>
      <c r="D106" s="572">
        <v>1</v>
      </c>
      <c r="E106" s="572"/>
      <c r="F106" s="57">
        <v>0.28000000000000003</v>
      </c>
      <c r="G106" s="58">
        <v>1</v>
      </c>
      <c r="H106" s="25">
        <f t="shared" si="5"/>
        <v>0.28000000000000003</v>
      </c>
      <c r="I106">
        <f t="shared" si="6"/>
        <v>0.56000000000000005</v>
      </c>
    </row>
    <row r="107" spans="3:9" ht="15.75">
      <c r="C107" s="599" t="s">
        <v>126</v>
      </c>
      <c r="D107" s="572">
        <v>2</v>
      </c>
      <c r="E107" s="572"/>
      <c r="F107" s="57">
        <v>5.03</v>
      </c>
      <c r="G107" s="58">
        <v>2</v>
      </c>
      <c r="H107" s="25">
        <f t="shared" si="5"/>
        <v>10.06</v>
      </c>
      <c r="I107">
        <f t="shared" si="6"/>
        <v>20.12</v>
      </c>
    </row>
    <row r="108" spans="3:9" ht="15.75">
      <c r="C108" s="599" t="s">
        <v>127</v>
      </c>
      <c r="D108" s="572">
        <v>1</v>
      </c>
      <c r="E108" s="572"/>
      <c r="F108" s="57">
        <v>0.45</v>
      </c>
      <c r="G108" s="58">
        <v>1</v>
      </c>
      <c r="H108" s="25">
        <f t="shared" si="5"/>
        <v>0.45</v>
      </c>
      <c r="I108">
        <f t="shared" si="6"/>
        <v>0.9</v>
      </c>
    </row>
    <row r="109" spans="3:9" ht="15.75">
      <c r="C109" s="599" t="s">
        <v>128</v>
      </c>
      <c r="D109" s="572"/>
      <c r="E109" s="572">
        <v>1</v>
      </c>
      <c r="F109" s="57">
        <v>7.99</v>
      </c>
      <c r="G109" s="59">
        <v>2</v>
      </c>
      <c r="H109" s="25">
        <f t="shared" si="5"/>
        <v>15.98</v>
      </c>
      <c r="I109">
        <f t="shared" si="6"/>
        <v>31.96</v>
      </c>
    </row>
    <row r="110" spans="3:9" ht="15.75">
      <c r="C110" s="599" t="s">
        <v>129</v>
      </c>
      <c r="D110" s="572">
        <v>10</v>
      </c>
      <c r="E110" s="572"/>
      <c r="F110" s="57">
        <v>0.24</v>
      </c>
      <c r="G110" s="58">
        <v>4</v>
      </c>
      <c r="H110" s="25">
        <f t="shared" si="5"/>
        <v>0.96</v>
      </c>
      <c r="I110">
        <f t="shared" si="6"/>
        <v>1.92</v>
      </c>
    </row>
    <row r="111" spans="3:9" ht="15.75">
      <c r="C111" s="599" t="s">
        <v>130</v>
      </c>
      <c r="D111" s="572">
        <v>2</v>
      </c>
      <c r="E111" s="572"/>
      <c r="F111" s="57">
        <v>1.69</v>
      </c>
      <c r="G111" s="58">
        <v>2</v>
      </c>
      <c r="H111" s="25">
        <f t="shared" si="5"/>
        <v>3.38</v>
      </c>
      <c r="I111">
        <f t="shared" si="6"/>
        <v>6.76</v>
      </c>
    </row>
    <row r="112" spans="3:9" ht="15.75">
      <c r="C112" s="599" t="s">
        <v>131</v>
      </c>
      <c r="D112" s="572">
        <v>2</v>
      </c>
      <c r="E112" s="572"/>
      <c r="F112" s="57">
        <v>0.72</v>
      </c>
      <c r="G112" s="58">
        <v>2</v>
      </c>
      <c r="H112" s="25">
        <f t="shared" si="5"/>
        <v>1.44</v>
      </c>
      <c r="I112">
        <f t="shared" si="6"/>
        <v>2.88</v>
      </c>
    </row>
    <row r="113" spans="3:9" ht="15.75">
      <c r="C113" s="599" t="s">
        <v>132</v>
      </c>
      <c r="D113" s="572">
        <v>8</v>
      </c>
      <c r="E113" s="572"/>
      <c r="F113" s="57">
        <v>0.3</v>
      </c>
      <c r="G113" s="58">
        <v>4</v>
      </c>
      <c r="H113" s="25">
        <f t="shared" si="5"/>
        <v>1.2</v>
      </c>
      <c r="I113">
        <f t="shared" si="6"/>
        <v>2.4</v>
      </c>
    </row>
    <row r="114" spans="3:9" ht="15.75">
      <c r="C114" s="599" t="s">
        <v>133</v>
      </c>
      <c r="D114" s="572">
        <v>8</v>
      </c>
      <c r="E114" s="572"/>
      <c r="F114" s="57">
        <v>0.3</v>
      </c>
      <c r="G114" s="58">
        <v>4</v>
      </c>
      <c r="H114" s="25">
        <f t="shared" si="5"/>
        <v>1.2</v>
      </c>
      <c r="I114">
        <f t="shared" si="6"/>
        <v>2.4</v>
      </c>
    </row>
    <row r="115" spans="3:9" ht="16.5" thickBot="1">
      <c r="C115" s="606" t="s">
        <v>134</v>
      </c>
      <c r="D115" s="607">
        <v>50</v>
      </c>
      <c r="E115" s="607"/>
      <c r="F115" s="60">
        <v>0.1</v>
      </c>
      <c r="G115" s="61">
        <v>50</v>
      </c>
      <c r="H115" s="27">
        <f t="shared" si="5"/>
        <v>5</v>
      </c>
      <c r="I115">
        <f t="shared" si="6"/>
        <v>10</v>
      </c>
    </row>
    <row r="116" spans="3:9" ht="13.5" thickBot="1">
      <c r="C116" s="602" t="s">
        <v>136</v>
      </c>
      <c r="D116" s="603"/>
      <c r="E116" s="604"/>
      <c r="F116" s="62">
        <f>+SUM(F103:F115)</f>
        <v>21.19</v>
      </c>
      <c r="G116" s="62">
        <f>+SUM(G103:G115)</f>
        <v>82</v>
      </c>
      <c r="H116" s="53">
        <f>+SUM(H103:H115)</f>
        <v>54.250000000000007</v>
      </c>
      <c r="I116" s="53">
        <f>+SUM(I103:I115)</f>
        <v>108.50000000000001</v>
      </c>
    </row>
    <row r="117" spans="3:9">
      <c r="C117" s="551" t="s">
        <v>90</v>
      </c>
      <c r="D117" s="551"/>
      <c r="E117" s="551"/>
    </row>
    <row r="122" spans="3:9" ht="18">
      <c r="C122" s="605" t="s">
        <v>151</v>
      </c>
      <c r="D122" s="605"/>
      <c r="E122" s="605"/>
      <c r="F122" s="605"/>
      <c r="G122" s="51"/>
      <c r="H122" s="51"/>
    </row>
    <row r="123" spans="3:9" ht="18">
      <c r="C123" s="605" t="s">
        <v>152</v>
      </c>
      <c r="D123" s="605"/>
      <c r="E123" s="605"/>
      <c r="F123" s="605"/>
      <c r="H123" s="51"/>
    </row>
    <row r="124" spans="3:9" ht="13.5" thickBot="1">
      <c r="C124" s="551" t="s">
        <v>92</v>
      </c>
      <c r="D124" s="551"/>
      <c r="E124" s="551"/>
      <c r="F124" s="551"/>
      <c r="G124" s="52"/>
      <c r="H124" s="52"/>
      <c r="I124" s="15"/>
    </row>
    <row r="125" spans="3:9" ht="15.75">
      <c r="C125" s="40"/>
      <c r="D125" s="44"/>
      <c r="E125" s="41" t="s">
        <v>156</v>
      </c>
      <c r="F125" s="45" t="s">
        <v>121</v>
      </c>
      <c r="G125" s="54"/>
      <c r="H125" s="54"/>
      <c r="I125" s="15"/>
    </row>
    <row r="126" spans="3:9" ht="15.75">
      <c r="C126" s="72" t="s">
        <v>153</v>
      </c>
      <c r="D126" s="8"/>
      <c r="E126" s="8">
        <f>+Gastos!C111</f>
        <v>1789.02</v>
      </c>
      <c r="F126" s="73">
        <f>+E126</f>
        <v>1789.02</v>
      </c>
      <c r="G126" s="54"/>
      <c r="H126" s="54"/>
      <c r="I126" s="15"/>
    </row>
    <row r="127" spans="3:9" ht="15.75">
      <c r="C127" s="72" t="s">
        <v>77</v>
      </c>
      <c r="D127" s="8"/>
      <c r="E127" s="8">
        <f>+Gastos!C48</f>
        <v>1500</v>
      </c>
      <c r="F127" s="73">
        <f>+E127</f>
        <v>1500</v>
      </c>
      <c r="G127" s="54"/>
      <c r="H127" s="54"/>
      <c r="I127" s="15"/>
    </row>
    <row r="128" spans="3:9" ht="15.75">
      <c r="C128" s="72" t="s">
        <v>154</v>
      </c>
      <c r="D128" s="8"/>
      <c r="E128" s="8">
        <f>+Gastos!C43</f>
        <v>500</v>
      </c>
      <c r="F128" s="73">
        <f>+E128</f>
        <v>500</v>
      </c>
      <c r="G128" s="54"/>
      <c r="H128" s="54"/>
      <c r="I128" s="15"/>
    </row>
    <row r="129" spans="3:9" ht="16.5" thickBot="1">
      <c r="C129" s="74" t="s">
        <v>155</v>
      </c>
      <c r="D129" s="26"/>
      <c r="E129" s="26">
        <f>+SUM(E126:E128)</f>
        <v>3789.02</v>
      </c>
      <c r="F129" s="27">
        <f>+SUM(F126:F128)</f>
        <v>3789.02</v>
      </c>
      <c r="G129" s="54"/>
      <c r="H129" s="54"/>
      <c r="I129" s="15"/>
    </row>
    <row r="130" spans="3:9" ht="15.75">
      <c r="C130" s="75" t="s">
        <v>90</v>
      </c>
      <c r="D130" s="75"/>
      <c r="E130" s="75"/>
      <c r="F130" s="55"/>
      <c r="G130" s="54"/>
      <c r="H130" s="54"/>
      <c r="I130" s="15"/>
    </row>
    <row r="131" spans="3:9" ht="15.75">
      <c r="F131" s="54"/>
      <c r="G131" s="54"/>
      <c r="H131" s="54"/>
      <c r="I131" s="15"/>
    </row>
    <row r="132" spans="3:9" ht="15.75">
      <c r="F132" s="55"/>
      <c r="G132" s="54"/>
      <c r="H132" s="54"/>
      <c r="I132" s="15"/>
    </row>
    <row r="133" spans="3:9" ht="15.75">
      <c r="F133" s="55"/>
      <c r="G133" s="54"/>
      <c r="H133" s="54"/>
      <c r="I133" s="15"/>
    </row>
    <row r="134" spans="3:9" ht="15.75">
      <c r="F134" s="54"/>
      <c r="G134" s="54"/>
      <c r="H134" s="54"/>
      <c r="I134" s="15"/>
    </row>
    <row r="135" spans="3:9" ht="15.75">
      <c r="F135" s="55"/>
      <c r="G135" s="54"/>
      <c r="H135" s="54"/>
      <c r="I135" s="15"/>
    </row>
    <row r="136" spans="3:9" ht="15.75">
      <c r="F136" s="55"/>
      <c r="G136" s="54"/>
      <c r="H136" s="54"/>
      <c r="I136" s="15"/>
    </row>
    <row r="137" spans="3:9" ht="15.75">
      <c r="F137" s="55"/>
      <c r="G137" s="54"/>
      <c r="H137" s="54"/>
      <c r="I137" s="15"/>
    </row>
    <row r="138" spans="3:9" ht="15.75">
      <c r="F138" s="55"/>
      <c r="G138" s="54"/>
      <c r="H138" s="54"/>
      <c r="I138" s="15"/>
    </row>
    <row r="139" spans="3:9" ht="15.75">
      <c r="F139" s="55"/>
      <c r="G139" s="54"/>
      <c r="H139" s="54"/>
      <c r="I139" s="15"/>
    </row>
    <row r="140" spans="3:9" ht="15.75">
      <c r="F140" s="55"/>
      <c r="G140" s="54"/>
      <c r="H140" s="54"/>
      <c r="I140" s="15"/>
    </row>
    <row r="141" spans="3:9" ht="15.75">
      <c r="F141" s="55"/>
      <c r="G141" s="54"/>
      <c r="H141" s="54"/>
      <c r="I141" s="15"/>
    </row>
    <row r="142" spans="3:9">
      <c r="F142" s="15"/>
      <c r="G142" s="15"/>
      <c r="H142" s="15"/>
      <c r="I142" s="15"/>
    </row>
    <row r="143" spans="3:9">
      <c r="F143" s="15"/>
      <c r="G143" s="15"/>
      <c r="H143" s="15"/>
      <c r="I143" s="15"/>
    </row>
  </sheetData>
  <mergeCells count="109">
    <mergeCell ref="C44:E44"/>
    <mergeCell ref="C36:E36"/>
    <mergeCell ref="C37:E37"/>
    <mergeCell ref="C38:E38"/>
    <mergeCell ref="C39:E39"/>
    <mergeCell ref="C40:E40"/>
    <mergeCell ref="C41:E41"/>
    <mergeCell ref="C42:E42"/>
    <mergeCell ref="C43:E43"/>
    <mergeCell ref="N16:O16"/>
    <mergeCell ref="N17:N19"/>
    <mergeCell ref="O17:P17"/>
    <mergeCell ref="N41:O41"/>
    <mergeCell ref="P22:Q22"/>
    <mergeCell ref="P23:Q23"/>
    <mergeCell ref="P24:Q24"/>
    <mergeCell ref="P25:Q25"/>
    <mergeCell ref="C35:E35"/>
    <mergeCell ref="C30:E30"/>
    <mergeCell ref="C31:E31"/>
    <mergeCell ref="P28:Q28"/>
    <mergeCell ref="P30:U30"/>
    <mergeCell ref="N62:O62"/>
    <mergeCell ref="N47:O47"/>
    <mergeCell ref="N54:O54"/>
    <mergeCell ref="P46:Q46"/>
    <mergeCell ref="N61:O61"/>
    <mergeCell ref="C57:E57"/>
    <mergeCell ref="C50:H50"/>
    <mergeCell ref="C56:E56"/>
    <mergeCell ref="C53:E53"/>
    <mergeCell ref="C54:E54"/>
    <mergeCell ref="C51:E51"/>
    <mergeCell ref="C52:E52"/>
    <mergeCell ref="C55:E55"/>
    <mergeCell ref="C78:E78"/>
    <mergeCell ref="C77:E77"/>
    <mergeCell ref="C60:E60"/>
    <mergeCell ref="C25:H25"/>
    <mergeCell ref="C28:E28"/>
    <mergeCell ref="C27:E27"/>
    <mergeCell ref="C32:E32"/>
    <mergeCell ref="C29:E29"/>
    <mergeCell ref="C58:E58"/>
    <mergeCell ref="C49:H49"/>
    <mergeCell ref="A3:D3"/>
    <mergeCell ref="A4:D4"/>
    <mergeCell ref="C33:H33"/>
    <mergeCell ref="C34:H34"/>
    <mergeCell ref="C26:E26"/>
    <mergeCell ref="C24:H24"/>
    <mergeCell ref="A5:C5"/>
    <mergeCell ref="C84:E84"/>
    <mergeCell ref="C85:E85"/>
    <mergeCell ref="C82:E82"/>
    <mergeCell ref="C83:E83"/>
    <mergeCell ref="C73:E73"/>
    <mergeCell ref="C70:E70"/>
    <mergeCell ref="C72:E72"/>
    <mergeCell ref="C79:E79"/>
    <mergeCell ref="C81:E81"/>
    <mergeCell ref="C80:E80"/>
    <mergeCell ref="C64:E64"/>
    <mergeCell ref="C65:E65"/>
    <mergeCell ref="C66:E66"/>
    <mergeCell ref="C67:E67"/>
    <mergeCell ref="C68:E68"/>
    <mergeCell ref="C59:E59"/>
    <mergeCell ref="C62:H62"/>
    <mergeCell ref="C63:H63"/>
    <mergeCell ref="C94:E94"/>
    <mergeCell ref="C71:E71"/>
    <mergeCell ref="C86:E86"/>
    <mergeCell ref="C88:E88"/>
    <mergeCell ref="C87:E87"/>
    <mergeCell ref="P44:Q44"/>
    <mergeCell ref="P45:Q45"/>
    <mergeCell ref="J52:K52"/>
    <mergeCell ref="C93:E93"/>
    <mergeCell ref="C69:E69"/>
    <mergeCell ref="I3:L3"/>
    <mergeCell ref="C100:H100"/>
    <mergeCell ref="C101:H101"/>
    <mergeCell ref="C95:E95"/>
    <mergeCell ref="C91:E91"/>
    <mergeCell ref="C75:H75"/>
    <mergeCell ref="C76:H76"/>
    <mergeCell ref="C92:E92"/>
    <mergeCell ref="C89:E89"/>
    <mergeCell ref="C90:E90"/>
    <mergeCell ref="C122:F122"/>
    <mergeCell ref="C124:F124"/>
    <mergeCell ref="C123:F123"/>
    <mergeCell ref="C108:E108"/>
    <mergeCell ref="C109:E109"/>
    <mergeCell ref="C117:E117"/>
    <mergeCell ref="C110:E110"/>
    <mergeCell ref="C111:E111"/>
    <mergeCell ref="C112:E112"/>
    <mergeCell ref="C115:E115"/>
    <mergeCell ref="C102:E102"/>
    <mergeCell ref="C116:E116"/>
    <mergeCell ref="C113:E113"/>
    <mergeCell ref="C114:E114"/>
    <mergeCell ref="C105:E105"/>
    <mergeCell ref="C106:E106"/>
    <mergeCell ref="C107:E107"/>
    <mergeCell ref="C103:E103"/>
    <mergeCell ref="C104:E104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4:H12"/>
  <sheetViews>
    <sheetView workbookViewId="0">
      <selection activeCell="D12" sqref="D12"/>
    </sheetView>
  </sheetViews>
  <sheetFormatPr baseColWidth="10" defaultRowHeight="12.75"/>
  <sheetData>
    <row r="4" spans="1:8">
      <c r="B4" s="18"/>
    </row>
    <row r="6" spans="1:8" ht="13.5" thickBot="1"/>
    <row r="7" spans="1:8" ht="16.5" customHeight="1">
      <c r="A7" s="650" t="s">
        <v>347</v>
      </c>
      <c r="B7" s="651"/>
      <c r="C7" s="651"/>
      <c r="D7" s="651"/>
      <c r="E7" s="651"/>
      <c r="F7" s="651"/>
      <c r="G7" s="651"/>
      <c r="H7" s="652"/>
    </row>
    <row r="8" spans="1:8" ht="16.5">
      <c r="A8" s="419"/>
      <c r="B8" s="120"/>
      <c r="C8" s="120"/>
      <c r="D8" s="423" t="s">
        <v>354</v>
      </c>
      <c r="E8" s="423" t="s">
        <v>355</v>
      </c>
      <c r="F8" s="423" t="s">
        <v>356</v>
      </c>
      <c r="G8" s="423" t="s">
        <v>357</v>
      </c>
      <c r="H8" s="424" t="s">
        <v>358</v>
      </c>
    </row>
    <row r="9" spans="1:8">
      <c r="A9" s="63" t="s">
        <v>346</v>
      </c>
      <c r="B9" s="237"/>
      <c r="C9" s="120">
        <f>+Inversion!H59</f>
        <v>15653</v>
      </c>
      <c r="D9" s="120">
        <f>+$C$9/5</f>
        <v>3130.6</v>
      </c>
      <c r="E9" s="120">
        <f>+$C$9/5</f>
        <v>3130.6</v>
      </c>
      <c r="F9" s="120">
        <f>+$C$9/5</f>
        <v>3130.6</v>
      </c>
      <c r="G9" s="120">
        <f>+$C$9/5</f>
        <v>3130.6</v>
      </c>
      <c r="H9" s="397">
        <f>+$C$9/5</f>
        <v>3130.6</v>
      </c>
    </row>
    <row r="10" spans="1:8">
      <c r="A10" s="63" t="s">
        <v>359</v>
      </c>
      <c r="B10" s="237"/>
      <c r="C10" s="120">
        <f>+Gastos!C42</f>
        <v>500</v>
      </c>
      <c r="D10" s="120">
        <f>+$C$10/5</f>
        <v>100</v>
      </c>
      <c r="E10" s="120">
        <f>+$C$10/5</f>
        <v>100</v>
      </c>
      <c r="F10" s="120">
        <f>+$C$10/5</f>
        <v>100</v>
      </c>
      <c r="G10" s="120">
        <f>+$C$10/5</f>
        <v>100</v>
      </c>
      <c r="H10" s="397">
        <f>+$C$10/5</f>
        <v>100</v>
      </c>
    </row>
    <row r="11" spans="1:8">
      <c r="A11" s="63" t="s">
        <v>360</v>
      </c>
      <c r="B11" s="237"/>
      <c r="C11" s="120">
        <f>+Gastos!C48</f>
        <v>1500</v>
      </c>
      <c r="D11" s="120">
        <f>+$C$11/5</f>
        <v>300</v>
      </c>
      <c r="E11" s="120">
        <f>+$C$11/5</f>
        <v>300</v>
      </c>
      <c r="F11" s="120">
        <f>+$C$11/5</f>
        <v>300</v>
      </c>
      <c r="G11" s="120">
        <f>+$C$11/5</f>
        <v>300</v>
      </c>
      <c r="H11" s="397">
        <f>+$C$11/5</f>
        <v>300</v>
      </c>
    </row>
    <row r="12" spans="1:8" ht="13.5" thickBot="1">
      <c r="A12" s="421" t="s">
        <v>121</v>
      </c>
      <c r="B12" s="422"/>
      <c r="C12" s="420">
        <f t="shared" ref="C12:H12" si="0">+SUM(C9:C11)</f>
        <v>17653</v>
      </c>
      <c r="D12" s="422">
        <f t="shared" si="0"/>
        <v>3530.6</v>
      </c>
      <c r="E12" s="422">
        <f t="shared" si="0"/>
        <v>3530.6</v>
      </c>
      <c r="F12" s="422">
        <f t="shared" si="0"/>
        <v>3530.6</v>
      </c>
      <c r="G12" s="422">
        <f t="shared" si="0"/>
        <v>3530.6</v>
      </c>
      <c r="H12" s="425">
        <f t="shared" si="0"/>
        <v>3530.6</v>
      </c>
    </row>
  </sheetData>
  <mergeCells count="1">
    <mergeCell ref="A7:H7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92"/>
  <sheetViews>
    <sheetView topLeftCell="A55" workbookViewId="0">
      <selection activeCell="E80" sqref="E80"/>
    </sheetView>
  </sheetViews>
  <sheetFormatPr baseColWidth="10" defaultRowHeight="12.75"/>
  <cols>
    <col min="1" max="1" width="25.85546875" customWidth="1"/>
    <col min="5" max="5" width="12.5703125" bestFit="1" customWidth="1"/>
    <col min="8" max="8" width="12.5703125" bestFit="1" customWidth="1"/>
    <col min="10" max="13" width="13.42578125" customWidth="1"/>
  </cols>
  <sheetData>
    <row r="1" spans="1:20">
      <c r="B1" s="550" t="s">
        <v>578</v>
      </c>
      <c r="C1" s="550"/>
      <c r="D1" s="550"/>
      <c r="E1" s="550"/>
      <c r="F1" s="550"/>
      <c r="G1" s="12"/>
      <c r="I1" s="520" t="s">
        <v>582</v>
      </c>
      <c r="J1" s="520"/>
      <c r="K1" s="520"/>
      <c r="M1" s="153" t="s">
        <v>689</v>
      </c>
    </row>
    <row r="2" spans="1:20">
      <c r="A2" s="15"/>
      <c r="B2" s="15" t="str">
        <f>Poblacion!M48</f>
        <v>1 ER AÑO</v>
      </c>
      <c r="C2" s="15" t="str">
        <f>Poblacion!N48</f>
        <v>2 AÑO</v>
      </c>
      <c r="D2" s="15" t="str">
        <f>Poblacion!O48</f>
        <v>3 AÑO</v>
      </c>
      <c r="E2" s="15" t="str">
        <f>Poblacion!P48</f>
        <v>4 AÑO</v>
      </c>
      <c r="F2" s="15" t="str">
        <f>Poblacion!Q48</f>
        <v>5 AÑO</v>
      </c>
      <c r="G2" s="15"/>
      <c r="H2" s="15"/>
      <c r="I2" s="15" t="s">
        <v>579</v>
      </c>
      <c r="J2" s="15" t="s">
        <v>580</v>
      </c>
      <c r="K2" s="15" t="s">
        <v>581</v>
      </c>
      <c r="L2" s="15"/>
      <c r="M2" s="15"/>
      <c r="N2" s="15"/>
      <c r="O2" s="15"/>
      <c r="P2" s="15"/>
      <c r="Q2" s="15"/>
      <c r="R2" s="15"/>
      <c r="S2" s="15"/>
      <c r="T2" s="15"/>
    </row>
    <row r="3" spans="1:20">
      <c r="A3" s="15">
        <f>Poblacion!L49</f>
        <v>0.04</v>
      </c>
      <c r="B3" s="15">
        <f>Poblacion!M49</f>
        <v>8690.5141208103887</v>
      </c>
      <c r="C3" s="15">
        <f>Poblacion!N49</f>
        <v>8951.2295444346983</v>
      </c>
      <c r="D3" s="15">
        <f>Poblacion!O49</f>
        <v>9219.7664307677387</v>
      </c>
      <c r="E3" s="15">
        <f>Poblacion!P49</f>
        <v>9496.3594236907702</v>
      </c>
      <c r="F3" s="15">
        <f>Poblacion!Q49</f>
        <v>9781.2502064014971</v>
      </c>
      <c r="G3" s="94"/>
      <c r="H3" s="15" t="s">
        <v>172</v>
      </c>
      <c r="I3" s="94">
        <f>Poblacion!$C$110*'Capital de Trabajo'!B3</f>
        <v>3910.7313543646751</v>
      </c>
      <c r="J3" s="94">
        <f>Poblacion!$C$111*'Capital de Trabajo'!B3</f>
        <v>2607.1542362431164</v>
      </c>
      <c r="K3" s="94">
        <f>Poblacion!$C$112*'Capital de Trabajo'!B3</f>
        <v>2172.6285302025972</v>
      </c>
      <c r="L3" s="94">
        <f>Poblacion!$C$110*C3</f>
        <v>4028.0532949956141</v>
      </c>
      <c r="M3" s="94">
        <f>Poblacion!$C$111*C3</f>
        <v>2685.3688633304096</v>
      </c>
      <c r="N3" s="94">
        <f>Poblacion!$C$112*C3</f>
        <v>2237.8073861086746</v>
      </c>
      <c r="O3" s="94"/>
      <c r="P3" s="94"/>
      <c r="Q3" s="94"/>
      <c r="R3" s="94"/>
      <c r="S3" s="94"/>
      <c r="T3" s="94"/>
    </row>
    <row r="4" spans="1:20">
      <c r="A4" s="15">
        <f>Poblacion!L50</f>
        <v>0.05</v>
      </c>
      <c r="B4" s="15">
        <f>Poblacion!M50</f>
        <v>10863.142651012988</v>
      </c>
      <c r="C4" s="15">
        <f>Poblacion!N50</f>
        <v>11189.036930543372</v>
      </c>
      <c r="D4" s="15">
        <f>Poblacion!O50</f>
        <v>11524.708038459674</v>
      </c>
      <c r="E4" s="15">
        <f>Poblacion!P50</f>
        <v>11870.449279613464</v>
      </c>
      <c r="F4" s="15">
        <f>Poblacion!Q50</f>
        <v>12226.56275800187</v>
      </c>
      <c r="G4" s="15"/>
      <c r="H4" s="15" t="s">
        <v>173</v>
      </c>
      <c r="I4" s="94">
        <f>Poblacion!$C$110*'Capital de Trabajo'!B4</f>
        <v>4888.4141929558446</v>
      </c>
      <c r="J4" s="94">
        <f>Poblacion!$C$111*'Capital de Trabajo'!B4</f>
        <v>3258.9427953038962</v>
      </c>
      <c r="K4" s="94">
        <f>Poblacion!$C$112*'Capital de Trabajo'!B4</f>
        <v>2715.7856627532469</v>
      </c>
      <c r="L4" s="94">
        <f>Poblacion!$C$110*C4</f>
        <v>5035.0666187445177</v>
      </c>
      <c r="M4" s="94">
        <f>Poblacion!$C$111*C4</f>
        <v>3356.7110791630116</v>
      </c>
      <c r="N4" s="94">
        <f>Poblacion!$C$112*C4</f>
        <v>2797.2592326358431</v>
      </c>
      <c r="O4" s="15"/>
      <c r="P4" s="15"/>
      <c r="Q4" s="15"/>
    </row>
    <row r="5" spans="1:20">
      <c r="A5" s="15">
        <f>Poblacion!L51</f>
        <v>0.05</v>
      </c>
      <c r="B5" s="15">
        <f>Poblacion!M51</f>
        <v>10863.142651012988</v>
      </c>
      <c r="C5" s="15">
        <f>Poblacion!N51</f>
        <v>11189.036930543372</v>
      </c>
      <c r="D5" s="15">
        <f>Poblacion!O51</f>
        <v>11524.708038459674</v>
      </c>
      <c r="E5" s="15">
        <f>Poblacion!P51</f>
        <v>11870.449279613464</v>
      </c>
      <c r="F5" s="15">
        <f>Poblacion!Q51</f>
        <v>12226.56275800187</v>
      </c>
      <c r="G5" s="163"/>
      <c r="H5" s="15" t="s">
        <v>174</v>
      </c>
      <c r="I5" s="94">
        <f>Poblacion!$C$110*'Capital de Trabajo'!B5</f>
        <v>4888.4141929558446</v>
      </c>
      <c r="J5" s="94">
        <f>Poblacion!$C$111*'Capital de Trabajo'!B5</f>
        <v>3258.9427953038962</v>
      </c>
      <c r="K5" s="94">
        <f>Poblacion!$C$112*'Capital de Trabajo'!B5</f>
        <v>2715.7856627532469</v>
      </c>
      <c r="L5" s="94">
        <f>Poblacion!$C$110*C5</f>
        <v>5035.0666187445177</v>
      </c>
      <c r="M5" s="94">
        <f>Poblacion!$C$111*C5</f>
        <v>3356.7110791630116</v>
      </c>
      <c r="N5" s="94">
        <f>Poblacion!$C$112*C5</f>
        <v>2797.2592326358431</v>
      </c>
      <c r="O5" s="15"/>
      <c r="P5" s="15"/>
      <c r="Q5" s="15"/>
    </row>
    <row r="6" spans="1:20">
      <c r="A6" s="15">
        <f>Poblacion!L52</f>
        <v>7.0000000000000007E-2</v>
      </c>
      <c r="B6" s="15">
        <f>Poblacion!M52</f>
        <v>15208.399711418182</v>
      </c>
      <c r="C6" s="15">
        <f>Poblacion!N52</f>
        <v>15664.651702760722</v>
      </c>
      <c r="D6" s="15">
        <f>Poblacion!O52</f>
        <v>16134.591253843544</v>
      </c>
      <c r="E6" s="15">
        <f>Poblacion!P52</f>
        <v>16618.628991458849</v>
      </c>
      <c r="F6" s="15">
        <f>Poblacion!Q52</f>
        <v>17117.187861202619</v>
      </c>
      <c r="G6" s="15"/>
      <c r="H6" s="15" t="s">
        <v>175</v>
      </c>
      <c r="I6" s="94">
        <f>Poblacion!$C$110*'Capital de Trabajo'!B6</f>
        <v>6843.7798701381816</v>
      </c>
      <c r="J6" s="94">
        <f>Poblacion!$C$111*'Capital de Trabajo'!B6</f>
        <v>4562.5199134254544</v>
      </c>
      <c r="K6" s="94">
        <f>Poblacion!$C$112*'Capital de Trabajo'!B6</f>
        <v>3802.0999278545455</v>
      </c>
      <c r="L6" s="94">
        <f>Poblacion!$C$110*C6</f>
        <v>7049.0932662423256</v>
      </c>
      <c r="M6" s="94">
        <f>Poblacion!$C$111*C6</f>
        <v>4699.3955108282162</v>
      </c>
      <c r="N6" s="94">
        <f>Poblacion!$C$112*C6</f>
        <v>3916.1629256901806</v>
      </c>
      <c r="O6" s="15"/>
      <c r="P6" s="94"/>
      <c r="Q6" s="15"/>
    </row>
    <row r="7" spans="1:20">
      <c r="A7" s="15">
        <f>Poblacion!L53</f>
        <v>0.08</v>
      </c>
      <c r="B7" s="15">
        <f>Poblacion!M53</f>
        <v>17381.028241620777</v>
      </c>
      <c r="C7" s="15">
        <f>Poblacion!N53</f>
        <v>17902.459088869397</v>
      </c>
      <c r="D7" s="15">
        <f>Poblacion!O53</f>
        <v>18439.532861535477</v>
      </c>
      <c r="E7" s="15">
        <f>Poblacion!P53</f>
        <v>18992.71884738154</v>
      </c>
      <c r="F7" s="15">
        <f>Poblacion!Q53</f>
        <v>19562.500412802994</v>
      </c>
      <c r="G7" s="15"/>
      <c r="H7" s="15" t="s">
        <v>176</v>
      </c>
      <c r="I7" s="94">
        <f>Poblacion!$C$110*'Capital de Trabajo'!B7</f>
        <v>7821.4627087293502</v>
      </c>
      <c r="J7" s="94">
        <f>Poblacion!$C$111*'Capital de Trabajo'!B7</f>
        <v>5214.3084724862329</v>
      </c>
      <c r="K7" s="94">
        <f>Poblacion!$C$112*'Capital de Trabajo'!B7</f>
        <v>4345.2570604051944</v>
      </c>
      <c r="L7" s="94">
        <f>Poblacion!$C$110*C7</f>
        <v>8056.1065899912282</v>
      </c>
      <c r="M7" s="94">
        <f>Poblacion!$C$111*C7</f>
        <v>5370.7377266608191</v>
      </c>
      <c r="N7" s="94">
        <f>Poblacion!$C$112*C7</f>
        <v>4475.6147722173491</v>
      </c>
      <c r="O7" s="94"/>
      <c r="P7" s="15"/>
      <c r="Q7" s="15"/>
    </row>
    <row r="8" spans="1:20">
      <c r="A8" s="15">
        <f>Poblacion!L54</f>
        <v>0.09</v>
      </c>
      <c r="B8" s="15">
        <f>Poblacion!M54</f>
        <v>19553.656771823375</v>
      </c>
      <c r="C8" s="15">
        <f>Poblacion!N54</f>
        <v>20140.266474978071</v>
      </c>
      <c r="D8" s="15">
        <f>Poblacion!O54</f>
        <v>20744.474469227411</v>
      </c>
      <c r="E8" s="15">
        <f>Poblacion!P54</f>
        <v>21366.808703304232</v>
      </c>
      <c r="F8" s="15">
        <f>Poblacion!Q54</f>
        <v>22007.812964403365</v>
      </c>
      <c r="G8" s="15"/>
      <c r="H8" s="15" t="s">
        <v>177</v>
      </c>
      <c r="I8" s="94">
        <f>Poblacion!$C$110*'Capital de Trabajo'!B8</f>
        <v>8799.1455473205187</v>
      </c>
      <c r="J8" s="94">
        <f>Poblacion!$C$111*'Capital de Trabajo'!B8</f>
        <v>5866.0970315470122</v>
      </c>
      <c r="K8" s="94">
        <f>Poblacion!$C$112*'Capital de Trabajo'!B8</f>
        <v>4888.4141929558436</v>
      </c>
      <c r="L8" s="94">
        <f>Poblacion!$C$110*C8</f>
        <v>9063.1199137401327</v>
      </c>
      <c r="M8" s="94">
        <f>Poblacion!$C$111*C8</f>
        <v>6042.0799424934212</v>
      </c>
      <c r="N8" s="94">
        <f>Poblacion!$C$112*C8</f>
        <v>5035.0666187445177</v>
      </c>
      <c r="O8" s="94"/>
      <c r="P8" s="94"/>
      <c r="Q8" s="15"/>
    </row>
    <row r="9" spans="1:20">
      <c r="A9" s="15">
        <f>Poblacion!L55</f>
        <v>0.09</v>
      </c>
      <c r="B9" s="15">
        <f>Poblacion!M55</f>
        <v>19553.656771823375</v>
      </c>
      <c r="C9" s="15">
        <f>Poblacion!N55</f>
        <v>20140.266474978071</v>
      </c>
      <c r="D9" s="15">
        <f>Poblacion!O55</f>
        <v>20744.474469227411</v>
      </c>
      <c r="E9" s="15">
        <f>Poblacion!P55</f>
        <v>21366.808703304232</v>
      </c>
      <c r="F9" s="15">
        <f>Poblacion!Q55</f>
        <v>22007.812964403365</v>
      </c>
      <c r="G9" s="15"/>
      <c r="H9" s="15" t="s">
        <v>178</v>
      </c>
      <c r="I9" s="94">
        <f>Poblacion!$C$110*'Capital de Trabajo'!B9</f>
        <v>8799.1455473205187</v>
      </c>
      <c r="J9" s="94">
        <f>Poblacion!$C$111*'Capital de Trabajo'!B9</f>
        <v>5866.0970315470122</v>
      </c>
      <c r="K9" s="94">
        <f>Poblacion!$C$112*'Capital de Trabajo'!B9</f>
        <v>4888.4141929558436</v>
      </c>
      <c r="L9" s="94">
        <f>Poblacion!$C$110*C9</f>
        <v>9063.1199137401327</v>
      </c>
      <c r="M9" s="94">
        <f>Poblacion!$C$111*C9</f>
        <v>6042.0799424934212</v>
      </c>
      <c r="N9" s="94">
        <f>Poblacion!$C$112*C9</f>
        <v>5035.0666187445177</v>
      </c>
      <c r="O9" s="94"/>
      <c r="P9" s="15"/>
      <c r="Q9" s="15"/>
    </row>
    <row r="10" spans="1:20">
      <c r="A10" s="15">
        <f>Poblacion!L56</f>
        <v>0.09</v>
      </c>
      <c r="B10" s="15">
        <f>Poblacion!M56</f>
        <v>19553.656771823375</v>
      </c>
      <c r="C10" s="15">
        <f>Poblacion!N56</f>
        <v>20140.266474978071</v>
      </c>
      <c r="D10" s="15">
        <f>Poblacion!O56</f>
        <v>20744.474469227411</v>
      </c>
      <c r="E10" s="15">
        <f>Poblacion!P56</f>
        <v>21366.808703304232</v>
      </c>
      <c r="F10" s="15">
        <f>Poblacion!Q56</f>
        <v>22007.812964403365</v>
      </c>
      <c r="G10" s="15"/>
      <c r="H10" s="15" t="s">
        <v>179</v>
      </c>
      <c r="I10" s="94">
        <f>Poblacion!$C$110*'Capital de Trabajo'!B10</f>
        <v>8799.1455473205187</v>
      </c>
      <c r="J10" s="94">
        <f>Poblacion!$C$111*'Capital de Trabajo'!B10</f>
        <v>5866.0970315470122</v>
      </c>
      <c r="K10" s="94">
        <f>Poblacion!$C$112*'Capital de Trabajo'!B10</f>
        <v>4888.4141929558436</v>
      </c>
      <c r="L10" s="94">
        <f>Poblacion!$C$110*C10</f>
        <v>9063.1199137401327</v>
      </c>
      <c r="M10" s="94">
        <f>Poblacion!$C$111*C10</f>
        <v>6042.0799424934212</v>
      </c>
      <c r="N10" s="94">
        <f>Poblacion!$C$112*C10</f>
        <v>5035.0666187445177</v>
      </c>
      <c r="O10" s="15"/>
      <c r="P10" s="15"/>
      <c r="Q10" s="15"/>
    </row>
    <row r="11" spans="1:20">
      <c r="A11" s="15">
        <f>Poblacion!L57</f>
        <v>0.1</v>
      </c>
      <c r="B11" s="15">
        <f>Poblacion!M57</f>
        <v>21726.285302025975</v>
      </c>
      <c r="C11" s="15">
        <f>Poblacion!N57</f>
        <v>22378.073861086745</v>
      </c>
      <c r="D11" s="15">
        <f>Poblacion!O57</f>
        <v>23049.416076919348</v>
      </c>
      <c r="E11" s="15">
        <f>Poblacion!P57</f>
        <v>23740.898559226927</v>
      </c>
      <c r="F11" s="15">
        <f>Poblacion!Q57</f>
        <v>24453.12551600374</v>
      </c>
      <c r="G11" s="15"/>
      <c r="H11" s="15" t="s">
        <v>180</v>
      </c>
      <c r="I11" s="94">
        <f>Poblacion!$C$110*'Capital de Trabajo'!B11</f>
        <v>9776.8283859116891</v>
      </c>
      <c r="J11" s="94">
        <f>Poblacion!$C$111*'Capital de Trabajo'!B11</f>
        <v>6517.8855906077924</v>
      </c>
      <c r="K11" s="94">
        <f>Poblacion!$C$112*'Capital de Trabajo'!B11</f>
        <v>5431.5713255064938</v>
      </c>
      <c r="L11" s="94">
        <f>Poblacion!$C$110*C11</f>
        <v>10070.133237489035</v>
      </c>
      <c r="M11" s="94">
        <f>Poblacion!$C$111*C11</f>
        <v>6713.4221583260232</v>
      </c>
      <c r="N11" s="94">
        <f>Poblacion!$C$112*C11</f>
        <v>5594.5184652716862</v>
      </c>
      <c r="O11" s="15"/>
      <c r="P11" s="15"/>
      <c r="Q11" s="15"/>
    </row>
    <row r="12" spans="1:20">
      <c r="A12" s="15">
        <f>Poblacion!L58</f>
        <v>0.11</v>
      </c>
      <c r="B12" s="15">
        <f>Poblacion!M58</f>
        <v>23898.913832228569</v>
      </c>
      <c r="C12" s="15">
        <f>Poblacion!N58</f>
        <v>24615.881247195419</v>
      </c>
      <c r="D12" s="15">
        <f>Poblacion!O58</f>
        <v>25354.357684611281</v>
      </c>
      <c r="E12" s="15">
        <f>Poblacion!P58</f>
        <v>26114.988415149619</v>
      </c>
      <c r="F12" s="15">
        <f>Poblacion!Q58</f>
        <v>26898.438067604115</v>
      </c>
      <c r="G12" s="15"/>
      <c r="H12" s="15" t="s">
        <v>181</v>
      </c>
      <c r="I12" s="94">
        <f>Poblacion!$C$110*'Capital de Trabajo'!B12</f>
        <v>10754.511224502856</v>
      </c>
      <c r="J12" s="94">
        <f>Poblacion!$C$111*'Capital de Trabajo'!B12</f>
        <v>7169.6741496685709</v>
      </c>
      <c r="K12" s="94">
        <f>Poblacion!$C$112*'Capital de Trabajo'!B12</f>
        <v>5974.7284580571422</v>
      </c>
      <c r="L12" s="94">
        <f>Poblacion!$C$110*C12</f>
        <v>11077.146561237938</v>
      </c>
      <c r="M12" s="94">
        <f>Poblacion!$C$111*C12</f>
        <v>7384.7643741586253</v>
      </c>
      <c r="N12" s="94">
        <f>Poblacion!$C$112*C12</f>
        <v>6153.9703117988547</v>
      </c>
      <c r="O12" s="15"/>
      <c r="P12" s="15"/>
      <c r="Q12" s="15"/>
    </row>
    <row r="13" spans="1:20">
      <c r="A13" s="15">
        <f>Poblacion!L59</f>
        <v>0.11</v>
      </c>
      <c r="B13" s="15">
        <f>Poblacion!M59</f>
        <v>23898.913832228569</v>
      </c>
      <c r="C13" s="15">
        <f>Poblacion!N59</f>
        <v>24615.881247195419</v>
      </c>
      <c r="D13" s="15">
        <f>Poblacion!O59</f>
        <v>25354.357684611281</v>
      </c>
      <c r="E13" s="15">
        <f>Poblacion!P59</f>
        <v>26114.988415149619</v>
      </c>
      <c r="F13" s="15">
        <f>Poblacion!Q59</f>
        <v>26898.438067604115</v>
      </c>
      <c r="G13" s="15"/>
      <c r="H13" s="15" t="s">
        <v>182</v>
      </c>
      <c r="I13" s="94">
        <f>Poblacion!$C$110*'Capital de Trabajo'!B13</f>
        <v>10754.511224502856</v>
      </c>
      <c r="J13" s="94">
        <f>Poblacion!$C$111*'Capital de Trabajo'!B13</f>
        <v>7169.6741496685709</v>
      </c>
      <c r="K13" s="94">
        <f>Poblacion!$C$112*'Capital de Trabajo'!B13</f>
        <v>5974.7284580571422</v>
      </c>
      <c r="L13" s="94">
        <f>Poblacion!$C$110*C13</f>
        <v>11077.146561237938</v>
      </c>
      <c r="M13" s="94">
        <f>Poblacion!$C$111*C13</f>
        <v>7384.7643741586253</v>
      </c>
      <c r="N13" s="94">
        <f>Poblacion!$C$112*C13</f>
        <v>6153.9703117988547</v>
      </c>
      <c r="O13" s="15"/>
      <c r="P13" s="15"/>
      <c r="Q13" s="15"/>
    </row>
    <row r="14" spans="1:20">
      <c r="A14" s="15">
        <f>Poblacion!L60</f>
        <v>0.12</v>
      </c>
      <c r="B14" s="15">
        <f>Poblacion!M60</f>
        <v>26071.542362431166</v>
      </c>
      <c r="C14" s="15">
        <f>Poblacion!N60</f>
        <v>26853.688633304093</v>
      </c>
      <c r="D14" s="15">
        <f>Poblacion!O60</f>
        <v>27659.299292303214</v>
      </c>
      <c r="E14" s="15">
        <f>Poblacion!P60</f>
        <v>28489.078271072311</v>
      </c>
      <c r="F14" s="15">
        <f>Poblacion!Q60</f>
        <v>29343.750619204486</v>
      </c>
      <c r="G14" s="15"/>
      <c r="H14" s="15" t="s">
        <v>183</v>
      </c>
      <c r="I14" s="94">
        <f>Poblacion!$C$110*'Capital de Trabajo'!B14</f>
        <v>11732.194063094024</v>
      </c>
      <c r="J14" s="94">
        <f>Poblacion!$C$111*'Capital de Trabajo'!B14</f>
        <v>7821.4627087293493</v>
      </c>
      <c r="K14" s="94">
        <f>Poblacion!$C$112*'Capital de Trabajo'!B14</f>
        <v>6517.8855906077915</v>
      </c>
      <c r="L14" s="94">
        <f>Poblacion!$C$110*C14</f>
        <v>12084.159884986842</v>
      </c>
      <c r="M14" s="94">
        <f>Poblacion!$C$111*C14</f>
        <v>8056.1065899912273</v>
      </c>
      <c r="N14" s="94">
        <f>Poblacion!$C$112*C14</f>
        <v>6713.4221583260232</v>
      </c>
      <c r="O14" s="15"/>
      <c r="P14" s="15"/>
      <c r="Q14" s="15"/>
    </row>
    <row r="15" spans="1:20">
      <c r="A15">
        <f>SUM(A3:A14)</f>
        <v>0.99999999999999989</v>
      </c>
      <c r="B15" s="15"/>
      <c r="C15" s="15"/>
      <c r="D15" s="15"/>
      <c r="E15" s="15"/>
      <c r="F15" s="15"/>
      <c r="G15" s="15"/>
      <c r="O15" s="95"/>
      <c r="P15" s="96"/>
      <c r="Q15" s="92"/>
    </row>
    <row r="16" spans="1:20">
      <c r="B16" s="15"/>
      <c r="C16" s="15"/>
      <c r="D16" s="15"/>
      <c r="E16" s="15"/>
      <c r="F16" s="15"/>
      <c r="G16" s="15"/>
    </row>
    <row r="17" spans="1:13">
      <c r="B17" s="15"/>
      <c r="C17" s="15"/>
      <c r="D17" s="15"/>
      <c r="E17" s="15"/>
      <c r="F17" s="15"/>
    </row>
    <row r="18" spans="1:13">
      <c r="C18" s="15"/>
      <c r="D18" s="15"/>
      <c r="E18" s="15"/>
      <c r="F18" s="15"/>
    </row>
    <row r="19" spans="1:13">
      <c r="A19" s="15" t="s">
        <v>599</v>
      </c>
      <c r="B19" s="15">
        <f>A3</f>
        <v>0.04</v>
      </c>
      <c r="C19" s="15">
        <f>+A4</f>
        <v>0.05</v>
      </c>
      <c r="D19" s="15">
        <f>+A5</f>
        <v>0.05</v>
      </c>
      <c r="E19" s="15">
        <f>+A6</f>
        <v>7.0000000000000007E-2</v>
      </c>
      <c r="F19" s="15">
        <f>+A7</f>
        <v>0.08</v>
      </c>
      <c r="G19">
        <f>+A8</f>
        <v>0.09</v>
      </c>
      <c r="H19">
        <f>+A9</f>
        <v>0.09</v>
      </c>
      <c r="I19">
        <f>+A10</f>
        <v>0.09</v>
      </c>
      <c r="J19">
        <f>+A11</f>
        <v>0.1</v>
      </c>
      <c r="K19">
        <f>+A12</f>
        <v>0.11</v>
      </c>
      <c r="L19">
        <f>+A13</f>
        <v>0.11</v>
      </c>
      <c r="M19">
        <f>+A14</f>
        <v>0.12</v>
      </c>
    </row>
    <row r="20" spans="1:13">
      <c r="B20" s="15"/>
      <c r="C20" s="15"/>
      <c r="D20" s="15"/>
      <c r="E20" s="15"/>
      <c r="F20" s="15"/>
    </row>
    <row r="21" spans="1:13">
      <c r="B21" s="15"/>
      <c r="C21" s="15"/>
      <c r="D21" s="15"/>
      <c r="E21" s="15"/>
      <c r="F21" s="15"/>
    </row>
    <row r="22" spans="1:13">
      <c r="B22" s="15"/>
      <c r="C22" s="15"/>
      <c r="D22" s="15"/>
      <c r="E22" s="15"/>
      <c r="F22" s="15"/>
    </row>
    <row r="23" spans="1:13">
      <c r="B23" s="15"/>
      <c r="C23" s="15"/>
      <c r="D23" s="15"/>
      <c r="E23" s="15"/>
      <c r="F23" s="15"/>
    </row>
    <row r="24" spans="1:13">
      <c r="B24" s="15"/>
      <c r="C24" s="15"/>
      <c r="D24" s="15"/>
      <c r="E24" s="15"/>
      <c r="F24" s="15"/>
    </row>
    <row r="25" spans="1:13">
      <c r="B25" s="15"/>
      <c r="C25" s="15"/>
      <c r="D25" s="15"/>
      <c r="E25" s="15"/>
      <c r="F25" s="15"/>
    </row>
    <row r="26" spans="1:13">
      <c r="B26" s="15"/>
      <c r="C26" s="15"/>
      <c r="D26" s="15"/>
      <c r="E26" s="15"/>
      <c r="F26" s="15"/>
    </row>
    <row r="39" spans="1:26">
      <c r="B39" t="s">
        <v>172</v>
      </c>
      <c r="C39" t="s">
        <v>173</v>
      </c>
      <c r="D39" t="s">
        <v>174</v>
      </c>
      <c r="E39" t="s">
        <v>175</v>
      </c>
      <c r="F39" t="s">
        <v>176</v>
      </c>
      <c r="G39" t="s">
        <v>177</v>
      </c>
      <c r="H39" t="s">
        <v>178</v>
      </c>
      <c r="I39" t="s">
        <v>179</v>
      </c>
      <c r="J39" t="s">
        <v>180</v>
      </c>
      <c r="K39" t="s">
        <v>181</v>
      </c>
      <c r="L39" t="s">
        <v>182</v>
      </c>
      <c r="M39" t="s">
        <v>183</v>
      </c>
      <c r="N39" t="s">
        <v>172</v>
      </c>
      <c r="O39" t="s">
        <v>173</v>
      </c>
      <c r="P39" t="s">
        <v>174</v>
      </c>
      <c r="Q39" t="s">
        <v>175</v>
      </c>
      <c r="R39" t="s">
        <v>176</v>
      </c>
      <c r="S39" t="s">
        <v>177</v>
      </c>
      <c r="T39" t="s">
        <v>178</v>
      </c>
      <c r="U39" t="s">
        <v>179</v>
      </c>
      <c r="V39" t="s">
        <v>180</v>
      </c>
      <c r="W39" t="s">
        <v>181</v>
      </c>
      <c r="X39" t="s">
        <v>182</v>
      </c>
      <c r="Y39" t="s">
        <v>183</v>
      </c>
    </row>
    <row r="40" spans="1:26">
      <c r="A40" s="253" t="s">
        <v>563</v>
      </c>
      <c r="B40" s="101">
        <f>Costos!C68</f>
        <v>2.8901974363379974</v>
      </c>
      <c r="C40" s="101">
        <f>B40</f>
        <v>2.8901974363379974</v>
      </c>
      <c r="D40" s="101">
        <f t="shared" ref="D40:M40" si="0">C40</f>
        <v>2.8901974363379974</v>
      </c>
      <c r="E40" s="101">
        <f t="shared" si="0"/>
        <v>2.8901974363379974</v>
      </c>
      <c r="F40" s="101">
        <f t="shared" si="0"/>
        <v>2.8901974363379974</v>
      </c>
      <c r="G40" s="101">
        <f t="shared" si="0"/>
        <v>2.8901974363379974</v>
      </c>
      <c r="H40" s="101">
        <f t="shared" si="0"/>
        <v>2.8901974363379974</v>
      </c>
      <c r="I40" s="101">
        <f t="shared" si="0"/>
        <v>2.8901974363379974</v>
      </c>
      <c r="J40" s="101">
        <f t="shared" si="0"/>
        <v>2.8901974363379974</v>
      </c>
      <c r="K40" s="101">
        <f t="shared" si="0"/>
        <v>2.8901974363379974</v>
      </c>
      <c r="L40" s="101">
        <f t="shared" si="0"/>
        <v>2.8901974363379974</v>
      </c>
      <c r="M40" s="101">
        <f t="shared" si="0"/>
        <v>2.8901974363379974</v>
      </c>
      <c r="N40" s="101">
        <f t="shared" ref="N40:Y40" si="1">M40</f>
        <v>2.8901974363379974</v>
      </c>
      <c r="O40" s="101">
        <f t="shared" si="1"/>
        <v>2.8901974363379974</v>
      </c>
      <c r="P40" s="101">
        <f t="shared" si="1"/>
        <v>2.8901974363379974</v>
      </c>
      <c r="Q40" s="101">
        <f t="shared" si="1"/>
        <v>2.8901974363379974</v>
      </c>
      <c r="R40" s="101">
        <f t="shared" si="1"/>
        <v>2.8901974363379974</v>
      </c>
      <c r="S40" s="101">
        <f t="shared" si="1"/>
        <v>2.8901974363379974</v>
      </c>
      <c r="T40" s="101">
        <f t="shared" si="1"/>
        <v>2.8901974363379974</v>
      </c>
      <c r="U40" s="101">
        <f t="shared" si="1"/>
        <v>2.8901974363379974</v>
      </c>
      <c r="V40" s="101">
        <f t="shared" si="1"/>
        <v>2.8901974363379974</v>
      </c>
      <c r="W40" s="101">
        <f t="shared" si="1"/>
        <v>2.8901974363379974</v>
      </c>
      <c r="X40" s="101">
        <f t="shared" si="1"/>
        <v>2.8901974363379974</v>
      </c>
      <c r="Y40" s="101">
        <f t="shared" si="1"/>
        <v>2.8901974363379974</v>
      </c>
    </row>
    <row r="41" spans="1:26">
      <c r="A41" s="253" t="s">
        <v>564</v>
      </c>
      <c r="B41" s="92">
        <f>I$3</f>
        <v>3910.7313543646751</v>
      </c>
      <c r="C41" s="92">
        <f>I4</f>
        <v>4888.4141929558446</v>
      </c>
      <c r="D41" s="92">
        <f>I5</f>
        <v>4888.4141929558446</v>
      </c>
      <c r="E41" s="92">
        <f>I6</f>
        <v>6843.7798701381816</v>
      </c>
      <c r="F41" s="92">
        <f>I7</f>
        <v>7821.4627087293502</v>
      </c>
      <c r="G41" s="92">
        <f>I8</f>
        <v>8799.1455473205187</v>
      </c>
      <c r="H41" s="92">
        <f>I9</f>
        <v>8799.1455473205187</v>
      </c>
      <c r="I41" s="92">
        <f>I10</f>
        <v>8799.1455473205187</v>
      </c>
      <c r="J41" s="92">
        <f>I11</f>
        <v>9776.8283859116891</v>
      </c>
      <c r="K41" s="92">
        <f>I12</f>
        <v>10754.511224502856</v>
      </c>
      <c r="L41" s="92">
        <f>I13</f>
        <v>10754.511224502856</v>
      </c>
      <c r="M41" s="92">
        <f>I14</f>
        <v>11732.194063094024</v>
      </c>
      <c r="N41" s="92">
        <f>L3</f>
        <v>4028.0532949956141</v>
      </c>
      <c r="O41" s="92">
        <f>+L4</f>
        <v>5035.0666187445177</v>
      </c>
      <c r="P41" s="92">
        <f>+L5</f>
        <v>5035.0666187445177</v>
      </c>
      <c r="Q41" s="92">
        <f>+L6</f>
        <v>7049.0932662423256</v>
      </c>
      <c r="R41" s="92">
        <f>+L7</f>
        <v>8056.1065899912282</v>
      </c>
      <c r="S41" s="92">
        <f>+L8</f>
        <v>9063.1199137401327</v>
      </c>
      <c r="T41" s="92">
        <f>+L9</f>
        <v>9063.1199137401327</v>
      </c>
      <c r="U41" s="92">
        <f>+L10</f>
        <v>9063.1199137401327</v>
      </c>
      <c r="V41" s="92">
        <f>+L11</f>
        <v>10070.133237489035</v>
      </c>
      <c r="W41" s="92">
        <f>+L12</f>
        <v>11077.146561237938</v>
      </c>
      <c r="X41" s="92">
        <f>+L13</f>
        <v>11077.146561237938</v>
      </c>
      <c r="Y41" s="92">
        <f>+L14</f>
        <v>12084.159884986842</v>
      </c>
    </row>
    <row r="42" spans="1:26">
      <c r="A42" s="253" t="s">
        <v>565</v>
      </c>
      <c r="B42" s="101">
        <f>Costos!F68</f>
        <v>2.8866054110756751</v>
      </c>
      <c r="C42" s="101">
        <f>B42</f>
        <v>2.8866054110756751</v>
      </c>
      <c r="D42" s="101">
        <f t="shared" ref="D42:M42" si="2">C42</f>
        <v>2.8866054110756751</v>
      </c>
      <c r="E42" s="101">
        <f t="shared" si="2"/>
        <v>2.8866054110756751</v>
      </c>
      <c r="F42" s="101">
        <f t="shared" si="2"/>
        <v>2.8866054110756751</v>
      </c>
      <c r="G42" s="101">
        <f t="shared" si="2"/>
        <v>2.8866054110756751</v>
      </c>
      <c r="H42" s="101">
        <f t="shared" si="2"/>
        <v>2.8866054110756751</v>
      </c>
      <c r="I42" s="101">
        <f t="shared" si="2"/>
        <v>2.8866054110756751</v>
      </c>
      <c r="J42" s="101">
        <f t="shared" si="2"/>
        <v>2.8866054110756751</v>
      </c>
      <c r="K42" s="101">
        <f t="shared" si="2"/>
        <v>2.8866054110756751</v>
      </c>
      <c r="L42" s="101">
        <f t="shared" si="2"/>
        <v>2.8866054110756751</v>
      </c>
      <c r="M42" s="101">
        <f t="shared" si="2"/>
        <v>2.8866054110756751</v>
      </c>
      <c r="N42" s="101">
        <f>M42</f>
        <v>2.8866054110756751</v>
      </c>
      <c r="O42" s="101">
        <f t="shared" ref="O42:Y42" si="3">N42</f>
        <v>2.8866054110756751</v>
      </c>
      <c r="P42" s="101">
        <f t="shared" si="3"/>
        <v>2.8866054110756751</v>
      </c>
      <c r="Q42" s="101">
        <f t="shared" si="3"/>
        <v>2.8866054110756751</v>
      </c>
      <c r="R42" s="101">
        <f t="shared" si="3"/>
        <v>2.8866054110756751</v>
      </c>
      <c r="S42" s="101">
        <f t="shared" si="3"/>
        <v>2.8866054110756751</v>
      </c>
      <c r="T42" s="101">
        <f t="shared" si="3"/>
        <v>2.8866054110756751</v>
      </c>
      <c r="U42" s="101">
        <f t="shared" si="3"/>
        <v>2.8866054110756751</v>
      </c>
      <c r="V42" s="101">
        <f t="shared" si="3"/>
        <v>2.8866054110756751</v>
      </c>
      <c r="W42" s="101">
        <f t="shared" si="3"/>
        <v>2.8866054110756751</v>
      </c>
      <c r="X42" s="101">
        <f t="shared" si="3"/>
        <v>2.8866054110756751</v>
      </c>
      <c r="Y42" s="101">
        <f t="shared" si="3"/>
        <v>2.8866054110756751</v>
      </c>
      <c r="Z42" s="101"/>
    </row>
    <row r="43" spans="1:26">
      <c r="A43" s="253" t="s">
        <v>566</v>
      </c>
      <c r="B43" s="92">
        <f>J3</f>
        <v>2607.1542362431164</v>
      </c>
      <c r="C43" s="92">
        <f>J4</f>
        <v>3258.9427953038962</v>
      </c>
      <c r="D43" s="92">
        <f>J5</f>
        <v>3258.9427953038962</v>
      </c>
      <c r="E43" s="92">
        <f>J6</f>
        <v>4562.5199134254544</v>
      </c>
      <c r="F43" s="92">
        <f>J7</f>
        <v>5214.3084724862329</v>
      </c>
      <c r="G43" s="92">
        <f>J8</f>
        <v>5866.0970315470122</v>
      </c>
      <c r="H43" s="92">
        <f>J9</f>
        <v>5866.0970315470122</v>
      </c>
      <c r="I43" s="92">
        <f>J10</f>
        <v>5866.0970315470122</v>
      </c>
      <c r="J43" s="92">
        <f>J11</f>
        <v>6517.8855906077924</v>
      </c>
      <c r="K43" s="92">
        <f>J12</f>
        <v>7169.6741496685709</v>
      </c>
      <c r="L43" s="92">
        <f>J13</f>
        <v>7169.6741496685709</v>
      </c>
      <c r="M43" s="92">
        <f>+J14</f>
        <v>7821.4627087293493</v>
      </c>
      <c r="N43" s="92">
        <f>M3</f>
        <v>2685.3688633304096</v>
      </c>
      <c r="O43" s="92">
        <f>+M4</f>
        <v>3356.7110791630116</v>
      </c>
      <c r="P43" s="92">
        <f>+M5</f>
        <v>3356.7110791630116</v>
      </c>
      <c r="Q43" s="92">
        <f>+M6</f>
        <v>4699.3955108282162</v>
      </c>
      <c r="R43" s="92">
        <f>+M7</f>
        <v>5370.7377266608191</v>
      </c>
      <c r="S43" s="92">
        <f>+M8</f>
        <v>6042.0799424934212</v>
      </c>
      <c r="T43" s="92">
        <f>+M9</f>
        <v>6042.0799424934212</v>
      </c>
      <c r="U43" s="92">
        <f>+M10</f>
        <v>6042.0799424934212</v>
      </c>
      <c r="V43" s="92">
        <f>+M11</f>
        <v>6713.4221583260232</v>
      </c>
      <c r="W43" s="92">
        <f>+M12</f>
        <v>7384.7643741586253</v>
      </c>
      <c r="X43" s="92">
        <f>+M13</f>
        <v>7384.7643741586253</v>
      </c>
      <c r="Y43" s="92">
        <f>+M14</f>
        <v>8056.1065899912273</v>
      </c>
    </row>
    <row r="44" spans="1:26">
      <c r="A44" s="253" t="s">
        <v>567</v>
      </c>
      <c r="B44" s="101">
        <f>Costos!J68</f>
        <v>2.5433774045137296</v>
      </c>
      <c r="C44" s="101">
        <f>B44</f>
        <v>2.5433774045137296</v>
      </c>
      <c r="D44" s="101">
        <f t="shared" ref="D44:M44" si="4">C44</f>
        <v>2.5433774045137296</v>
      </c>
      <c r="E44" s="101">
        <f t="shared" si="4"/>
        <v>2.5433774045137296</v>
      </c>
      <c r="F44" s="101">
        <f t="shared" si="4"/>
        <v>2.5433774045137296</v>
      </c>
      <c r="G44" s="101">
        <f t="shared" si="4"/>
        <v>2.5433774045137296</v>
      </c>
      <c r="H44" s="101">
        <f t="shared" si="4"/>
        <v>2.5433774045137296</v>
      </c>
      <c r="I44" s="101">
        <f t="shared" si="4"/>
        <v>2.5433774045137296</v>
      </c>
      <c r="J44" s="101">
        <f t="shared" si="4"/>
        <v>2.5433774045137296</v>
      </c>
      <c r="K44" s="101">
        <f t="shared" si="4"/>
        <v>2.5433774045137296</v>
      </c>
      <c r="L44" s="101">
        <f t="shared" si="4"/>
        <v>2.5433774045137296</v>
      </c>
      <c r="M44" s="101">
        <f t="shared" si="4"/>
        <v>2.5433774045137296</v>
      </c>
      <c r="N44" s="101">
        <f t="shared" ref="N44:Y44" si="5">M44</f>
        <v>2.5433774045137296</v>
      </c>
      <c r="O44" s="101">
        <f t="shared" si="5"/>
        <v>2.5433774045137296</v>
      </c>
      <c r="P44" s="101">
        <f t="shared" si="5"/>
        <v>2.5433774045137296</v>
      </c>
      <c r="Q44" s="101">
        <f t="shared" si="5"/>
        <v>2.5433774045137296</v>
      </c>
      <c r="R44" s="101">
        <f t="shared" si="5"/>
        <v>2.5433774045137296</v>
      </c>
      <c r="S44" s="101">
        <f t="shared" si="5"/>
        <v>2.5433774045137296</v>
      </c>
      <c r="T44" s="101">
        <f t="shared" si="5"/>
        <v>2.5433774045137296</v>
      </c>
      <c r="U44" s="101">
        <f t="shared" si="5"/>
        <v>2.5433774045137296</v>
      </c>
      <c r="V44" s="101">
        <f t="shared" si="5"/>
        <v>2.5433774045137296</v>
      </c>
      <c r="W44" s="101">
        <f t="shared" si="5"/>
        <v>2.5433774045137296</v>
      </c>
      <c r="X44" s="101">
        <f t="shared" si="5"/>
        <v>2.5433774045137296</v>
      </c>
      <c r="Y44" s="101">
        <f t="shared" si="5"/>
        <v>2.5433774045137296</v>
      </c>
    </row>
    <row r="45" spans="1:26">
      <c r="A45" s="253" t="s">
        <v>568</v>
      </c>
      <c r="B45" s="92">
        <f>+K3</f>
        <v>2172.6285302025972</v>
      </c>
      <c r="C45" s="92">
        <f>+K4</f>
        <v>2715.7856627532469</v>
      </c>
      <c r="D45" s="92">
        <f>+K5</f>
        <v>2715.7856627532469</v>
      </c>
      <c r="E45" s="92">
        <f>+K6</f>
        <v>3802.0999278545455</v>
      </c>
      <c r="F45" s="92">
        <f>+K7</f>
        <v>4345.2570604051944</v>
      </c>
      <c r="G45" s="340">
        <f>+K8</f>
        <v>4888.4141929558436</v>
      </c>
      <c r="H45" s="92">
        <f>+K9</f>
        <v>4888.4141929558436</v>
      </c>
      <c r="I45" s="92">
        <f>+K10</f>
        <v>4888.4141929558436</v>
      </c>
      <c r="J45" s="92">
        <f>+K11</f>
        <v>5431.5713255064938</v>
      </c>
      <c r="K45" s="92">
        <f>+K12</f>
        <v>5974.7284580571422</v>
      </c>
      <c r="L45" s="92">
        <f>+K13</f>
        <v>5974.7284580571422</v>
      </c>
      <c r="M45" s="92">
        <f>+K14</f>
        <v>6517.8855906077915</v>
      </c>
      <c r="N45" s="92">
        <f>+N3</f>
        <v>2237.8073861086746</v>
      </c>
      <c r="O45" s="92">
        <f>+N4</f>
        <v>2797.2592326358431</v>
      </c>
      <c r="P45" s="92">
        <f>+N5</f>
        <v>2797.2592326358431</v>
      </c>
      <c r="Q45" s="92">
        <f>+N6</f>
        <v>3916.1629256901806</v>
      </c>
      <c r="R45" s="92">
        <f>+N7</f>
        <v>4475.6147722173491</v>
      </c>
      <c r="S45" s="92">
        <f>+N8</f>
        <v>5035.0666187445177</v>
      </c>
      <c r="T45" s="92">
        <f>+N9</f>
        <v>5035.0666187445177</v>
      </c>
      <c r="U45" s="92">
        <f>+N10</f>
        <v>5035.0666187445177</v>
      </c>
      <c r="V45" s="92">
        <f>+N11</f>
        <v>5594.5184652716862</v>
      </c>
      <c r="W45" s="92">
        <f>+N12</f>
        <v>6153.9703117988547</v>
      </c>
      <c r="X45" s="92">
        <f>+N13</f>
        <v>6153.9703117988547</v>
      </c>
      <c r="Y45" s="92">
        <f>+N14</f>
        <v>6713.4221583260232</v>
      </c>
    </row>
    <row r="47" spans="1:26">
      <c r="A47" s="253" t="s">
        <v>585</v>
      </c>
      <c r="B47">
        <f>B40*B41</f>
        <v>11302.785734591409</v>
      </c>
      <c r="C47">
        <f t="shared" ref="C47:Y47" si="6">C40*C41</f>
        <v>14128.482168239263</v>
      </c>
      <c r="D47">
        <f t="shared" si="6"/>
        <v>14128.482168239263</v>
      </c>
      <c r="E47">
        <f t="shared" si="6"/>
        <v>19779.875035534966</v>
      </c>
      <c r="F47">
        <f t="shared" si="6"/>
        <v>22605.571469182818</v>
      </c>
      <c r="G47">
        <f t="shared" si="6"/>
        <v>25431.26790283067</v>
      </c>
      <c r="H47">
        <f t="shared" si="6"/>
        <v>25431.26790283067</v>
      </c>
      <c r="I47">
        <f t="shared" si="6"/>
        <v>25431.26790283067</v>
      </c>
      <c r="J47">
        <f t="shared" si="6"/>
        <v>28256.964336478526</v>
      </c>
      <c r="K47">
        <f t="shared" si="6"/>
        <v>31082.660770126371</v>
      </c>
      <c r="L47">
        <f>L40*L41</f>
        <v>31082.660770126371</v>
      </c>
      <c r="M47">
        <f t="shared" si="6"/>
        <v>33908.35720377422</v>
      </c>
      <c r="N47">
        <f t="shared" si="6"/>
        <v>11641.869306629147</v>
      </c>
      <c r="O47">
        <f t="shared" si="6"/>
        <v>14552.336633286433</v>
      </c>
      <c r="P47">
        <f t="shared" si="6"/>
        <v>14552.336633286433</v>
      </c>
      <c r="Q47">
        <f t="shared" si="6"/>
        <v>20373.271286601012</v>
      </c>
      <c r="R47">
        <f t="shared" si="6"/>
        <v>23283.738613258294</v>
      </c>
      <c r="S47">
        <f t="shared" si="6"/>
        <v>26194.205939915584</v>
      </c>
      <c r="T47">
        <f>T40*T41</f>
        <v>26194.205939915584</v>
      </c>
      <c r="U47">
        <f t="shared" si="6"/>
        <v>26194.205939915584</v>
      </c>
      <c r="V47">
        <f t="shared" si="6"/>
        <v>29104.673266572867</v>
      </c>
      <c r="W47">
        <f t="shared" si="6"/>
        <v>32015.140593230153</v>
      </c>
      <c r="X47">
        <f t="shared" si="6"/>
        <v>32015.140593230153</v>
      </c>
      <c r="Y47">
        <f t="shared" si="6"/>
        <v>34925.607919887443</v>
      </c>
    </row>
    <row r="48" spans="1:26">
      <c r="A48" s="253" t="s">
        <v>583</v>
      </c>
      <c r="B48">
        <f>B42*B43</f>
        <v>7525.8255258482486</v>
      </c>
      <c r="C48">
        <f t="shared" ref="C48:Y48" si="7">C42*C43</f>
        <v>9407.2819073103128</v>
      </c>
      <c r="D48">
        <f t="shared" si="7"/>
        <v>9407.2819073103128</v>
      </c>
      <c r="E48">
        <f t="shared" si="7"/>
        <v>13170.194670234438</v>
      </c>
      <c r="F48">
        <f t="shared" si="7"/>
        <v>15051.651051696497</v>
      </c>
      <c r="G48">
        <f t="shared" si="7"/>
        <v>16933.107433158562</v>
      </c>
      <c r="H48">
        <f t="shared" si="7"/>
        <v>16933.107433158562</v>
      </c>
      <c r="I48">
        <f t="shared" si="7"/>
        <v>16933.107433158562</v>
      </c>
      <c r="J48">
        <f t="shared" si="7"/>
        <v>18814.563814620626</v>
      </c>
      <c r="K48">
        <f t="shared" si="7"/>
        <v>20696.020196082685</v>
      </c>
      <c r="L48">
        <f t="shared" si="7"/>
        <v>20696.020196082685</v>
      </c>
      <c r="M48">
        <f t="shared" si="7"/>
        <v>22577.476577544749</v>
      </c>
      <c r="N48">
        <f t="shared" si="7"/>
        <v>7751.6002916236957</v>
      </c>
      <c r="O48">
        <f t="shared" si="7"/>
        <v>9689.5003645296183</v>
      </c>
      <c r="P48">
        <f t="shared" si="7"/>
        <v>9689.5003645296183</v>
      </c>
      <c r="Q48">
        <f t="shared" si="7"/>
        <v>13565.300510341465</v>
      </c>
      <c r="R48">
        <f t="shared" si="7"/>
        <v>15503.200583247391</v>
      </c>
      <c r="S48">
        <f t="shared" si="7"/>
        <v>17441.100656153314</v>
      </c>
      <c r="T48">
        <f>T42*T43</f>
        <v>17441.100656153314</v>
      </c>
      <c r="U48">
        <f t="shared" si="7"/>
        <v>17441.100656153314</v>
      </c>
      <c r="V48">
        <f t="shared" si="7"/>
        <v>19379.000729059237</v>
      </c>
      <c r="W48">
        <f t="shared" si="7"/>
        <v>21316.900801965159</v>
      </c>
      <c r="X48">
        <f t="shared" si="7"/>
        <v>21316.900801965159</v>
      </c>
      <c r="Y48">
        <f t="shared" si="7"/>
        <v>23254.800874871082</v>
      </c>
    </row>
    <row r="49" spans="1:25">
      <c r="A49" s="253" t="s">
        <v>584</v>
      </c>
      <c r="B49">
        <f>B44*B45</f>
        <v>5525.8143121191606</v>
      </c>
      <c r="C49">
        <f t="shared" ref="C49:Y49" si="8">C44*C45</f>
        <v>6907.2678901489526</v>
      </c>
      <c r="D49">
        <f t="shared" si="8"/>
        <v>6907.2678901489526</v>
      </c>
      <c r="E49">
        <f t="shared" si="8"/>
        <v>9670.1750462085329</v>
      </c>
      <c r="F49">
        <f t="shared" si="8"/>
        <v>11051.628624238321</v>
      </c>
      <c r="G49">
        <f t="shared" si="8"/>
        <v>12433.082202268111</v>
      </c>
      <c r="H49">
        <f t="shared" si="8"/>
        <v>12433.082202268111</v>
      </c>
      <c r="I49">
        <f t="shared" si="8"/>
        <v>12433.082202268111</v>
      </c>
      <c r="J49">
        <f t="shared" si="8"/>
        <v>13814.535780297905</v>
      </c>
      <c r="K49">
        <f t="shared" si="8"/>
        <v>15195.989358327692</v>
      </c>
      <c r="L49">
        <f t="shared" si="8"/>
        <v>15195.989358327692</v>
      </c>
      <c r="M49">
        <f t="shared" si="8"/>
        <v>16577.442936357482</v>
      </c>
      <c r="N49">
        <f t="shared" si="8"/>
        <v>5691.5887414827339</v>
      </c>
      <c r="O49">
        <f t="shared" si="8"/>
        <v>7114.4859268534174</v>
      </c>
      <c r="P49">
        <f t="shared" si="8"/>
        <v>7114.4859268534174</v>
      </c>
      <c r="Q49">
        <f t="shared" si="8"/>
        <v>9960.2802975947852</v>
      </c>
      <c r="R49">
        <f t="shared" si="8"/>
        <v>11383.177482965468</v>
      </c>
      <c r="S49">
        <f t="shared" si="8"/>
        <v>12806.074668336152</v>
      </c>
      <c r="T49">
        <f>T44*T45</f>
        <v>12806.074668336152</v>
      </c>
      <c r="U49">
        <f t="shared" si="8"/>
        <v>12806.074668336152</v>
      </c>
      <c r="V49">
        <f t="shared" si="8"/>
        <v>14228.971853706835</v>
      </c>
      <c r="W49">
        <f t="shared" si="8"/>
        <v>15651.869039077519</v>
      </c>
      <c r="X49">
        <f t="shared" si="8"/>
        <v>15651.869039077519</v>
      </c>
      <c r="Y49">
        <f t="shared" si="8"/>
        <v>17074.766224448202</v>
      </c>
    </row>
    <row r="51" spans="1:25">
      <c r="A51" s="253" t="s">
        <v>587</v>
      </c>
      <c r="B51">
        <f>SUM(B47:B49)</f>
        <v>24354.425572558819</v>
      </c>
      <c r="C51">
        <f t="shared" ref="C51:L51" si="9">SUM(C47:C49)</f>
        <v>30443.031965698527</v>
      </c>
      <c r="D51">
        <f t="shared" si="9"/>
        <v>30443.031965698527</v>
      </c>
      <c r="E51">
        <f t="shared" si="9"/>
        <v>42620.244751977938</v>
      </c>
      <c r="F51">
        <f t="shared" si="9"/>
        <v>48708.851145117638</v>
      </c>
      <c r="G51">
        <f t="shared" si="9"/>
        <v>54797.457538257338</v>
      </c>
      <c r="H51">
        <f t="shared" si="9"/>
        <v>54797.457538257338</v>
      </c>
      <c r="I51">
        <f t="shared" si="9"/>
        <v>54797.457538257338</v>
      </c>
      <c r="J51">
        <f t="shared" si="9"/>
        <v>60886.063931397053</v>
      </c>
      <c r="K51">
        <f t="shared" si="9"/>
        <v>66974.670324536739</v>
      </c>
      <c r="L51">
        <f t="shared" si="9"/>
        <v>66974.670324536739</v>
      </c>
      <c r="M51">
        <f>SUM(M47:M49)</f>
        <v>73063.276717676461</v>
      </c>
      <c r="N51">
        <f t="shared" ref="N51:X51" si="10">SUM(N47:N49)</f>
        <v>25085.058339735577</v>
      </c>
      <c r="O51">
        <f t="shared" si="10"/>
        <v>31356.322924669468</v>
      </c>
      <c r="P51">
        <f t="shared" si="10"/>
        <v>31356.322924669468</v>
      </c>
      <c r="Q51">
        <f t="shared" si="10"/>
        <v>43898.852094537258</v>
      </c>
      <c r="R51">
        <f t="shared" si="10"/>
        <v>50170.116679471153</v>
      </c>
      <c r="S51">
        <f t="shared" si="10"/>
        <v>56441.381264405049</v>
      </c>
      <c r="T51">
        <f t="shared" si="10"/>
        <v>56441.381264405049</v>
      </c>
      <c r="U51">
        <f t="shared" si="10"/>
        <v>56441.381264405049</v>
      </c>
      <c r="V51">
        <f t="shared" si="10"/>
        <v>62712.645849338936</v>
      </c>
      <c r="W51">
        <f t="shared" si="10"/>
        <v>68983.910434272824</v>
      </c>
      <c r="X51">
        <f t="shared" si="10"/>
        <v>68983.910434272824</v>
      </c>
      <c r="Y51">
        <f>SUM(Y47:Y49)</f>
        <v>75255.175019206727</v>
      </c>
    </row>
    <row r="53" spans="1:25">
      <c r="L53" s="253" t="s">
        <v>586</v>
      </c>
    </row>
    <row r="54" spans="1:25">
      <c r="L54">
        <f>SUM(B51:M51)</f>
        <v>608860.63931397046</v>
      </c>
    </row>
    <row r="60" spans="1:25">
      <c r="A60" s="520" t="s">
        <v>184</v>
      </c>
      <c r="B60" s="520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92">
        <f>SUM(B63:M63)</f>
        <v>608860.63931397046</v>
      </c>
    </row>
    <row r="62" spans="1:25">
      <c r="A62" s="17" t="s">
        <v>185</v>
      </c>
      <c r="B62" s="17" t="s">
        <v>186</v>
      </c>
      <c r="C62" s="17" t="s">
        <v>187</v>
      </c>
      <c r="D62" s="17" t="s">
        <v>188</v>
      </c>
      <c r="E62" s="17" t="s">
        <v>189</v>
      </c>
      <c r="F62" s="17" t="s">
        <v>190</v>
      </c>
      <c r="G62" s="17" t="s">
        <v>191</v>
      </c>
      <c r="H62" s="17" t="s">
        <v>192</v>
      </c>
      <c r="I62" s="17" t="s">
        <v>193</v>
      </c>
      <c r="J62" s="17" t="s">
        <v>194</v>
      </c>
      <c r="K62" s="17" t="s">
        <v>195</v>
      </c>
      <c r="L62" s="17" t="s">
        <v>196</v>
      </c>
      <c r="M62" s="17" t="s">
        <v>197</v>
      </c>
      <c r="N62" s="458" t="s">
        <v>677</v>
      </c>
      <c r="O62" s="458" t="s">
        <v>678</v>
      </c>
      <c r="P62" s="458" t="s">
        <v>679</v>
      </c>
      <c r="Q62" s="458" t="s">
        <v>680</v>
      </c>
      <c r="R62" s="458" t="s">
        <v>681</v>
      </c>
      <c r="S62" s="458" t="s">
        <v>682</v>
      </c>
      <c r="T62" s="458" t="s">
        <v>683</v>
      </c>
      <c r="U62" s="458" t="s">
        <v>684</v>
      </c>
      <c r="V62" s="458" t="s">
        <v>685</v>
      </c>
      <c r="W62" s="458" t="s">
        <v>686</v>
      </c>
      <c r="X62" s="458" t="s">
        <v>687</v>
      </c>
      <c r="Y62" s="458" t="s">
        <v>688</v>
      </c>
    </row>
    <row r="63" spans="1:25">
      <c r="A63" s="102" t="s">
        <v>198</v>
      </c>
      <c r="B63" s="93">
        <f>B51</f>
        <v>24354.425572558819</v>
      </c>
      <c r="C63" s="93">
        <f t="shared" ref="C63:M63" si="11">C51</f>
        <v>30443.031965698527</v>
      </c>
      <c r="D63" s="93">
        <f t="shared" si="11"/>
        <v>30443.031965698527</v>
      </c>
      <c r="E63" s="93">
        <f t="shared" si="11"/>
        <v>42620.244751977938</v>
      </c>
      <c r="F63" s="93">
        <f t="shared" si="11"/>
        <v>48708.851145117638</v>
      </c>
      <c r="G63" s="93">
        <f t="shared" si="11"/>
        <v>54797.457538257338</v>
      </c>
      <c r="H63" s="93">
        <f t="shared" si="11"/>
        <v>54797.457538257338</v>
      </c>
      <c r="I63" s="93">
        <f t="shared" si="11"/>
        <v>54797.457538257338</v>
      </c>
      <c r="J63" s="93">
        <f t="shared" si="11"/>
        <v>60886.063931397053</v>
      </c>
      <c r="K63" s="93">
        <f t="shared" si="11"/>
        <v>66974.670324536739</v>
      </c>
      <c r="L63" s="93">
        <f t="shared" si="11"/>
        <v>66974.670324536739</v>
      </c>
      <c r="M63" s="93">
        <f t="shared" si="11"/>
        <v>73063.276717676461</v>
      </c>
      <c r="N63" s="92">
        <f>N51</f>
        <v>25085.058339735577</v>
      </c>
      <c r="O63" s="92">
        <f t="shared" ref="O63:Y63" si="12">O51</f>
        <v>31356.322924669468</v>
      </c>
      <c r="P63" s="92">
        <f t="shared" si="12"/>
        <v>31356.322924669468</v>
      </c>
      <c r="Q63" s="92">
        <f t="shared" si="12"/>
        <v>43898.852094537258</v>
      </c>
      <c r="R63" s="92">
        <f t="shared" si="12"/>
        <v>50170.116679471153</v>
      </c>
      <c r="S63" s="92">
        <f t="shared" si="12"/>
        <v>56441.381264405049</v>
      </c>
      <c r="T63" s="92">
        <f t="shared" si="12"/>
        <v>56441.381264405049</v>
      </c>
      <c r="U63" s="92">
        <f t="shared" si="12"/>
        <v>56441.381264405049</v>
      </c>
      <c r="V63" s="92">
        <f t="shared" si="12"/>
        <v>62712.645849338936</v>
      </c>
      <c r="W63" s="92">
        <f t="shared" si="12"/>
        <v>68983.910434272824</v>
      </c>
      <c r="X63" s="92">
        <f t="shared" si="12"/>
        <v>68983.910434272824</v>
      </c>
      <c r="Y63" s="92">
        <f t="shared" si="12"/>
        <v>75255.175019206727</v>
      </c>
    </row>
    <row r="64" spans="1:25">
      <c r="A64" s="102" t="s">
        <v>199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25">
      <c r="A65" s="8" t="s">
        <v>200</v>
      </c>
      <c r="B65" s="8">
        <f>Costos!$E$20</f>
        <v>3300</v>
      </c>
      <c r="C65" s="8">
        <f>Costos!$E$20</f>
        <v>3300</v>
      </c>
      <c r="D65" s="8">
        <f>Costos!$E$20</f>
        <v>3300</v>
      </c>
      <c r="E65" s="8">
        <f>Costos!$E$20</f>
        <v>3300</v>
      </c>
      <c r="F65" s="8">
        <f>Costos!$E$20</f>
        <v>3300</v>
      </c>
      <c r="G65" s="8">
        <f>Costos!$E$20</f>
        <v>3300</v>
      </c>
      <c r="H65" s="8">
        <f>Costos!$E$20</f>
        <v>3300</v>
      </c>
      <c r="I65" s="8">
        <f>Costos!$E$20</f>
        <v>3300</v>
      </c>
      <c r="J65" s="8">
        <f>Costos!$E$20</f>
        <v>3300</v>
      </c>
      <c r="K65" s="8">
        <f>Costos!$E$20</f>
        <v>3300</v>
      </c>
      <c r="L65" s="8">
        <f>Costos!$E$20</f>
        <v>3300</v>
      </c>
      <c r="M65" s="8">
        <f>Costos!$E$20</f>
        <v>3300</v>
      </c>
      <c r="N65">
        <f>M65</f>
        <v>3300</v>
      </c>
      <c r="O65">
        <f t="shared" ref="O65:Y65" si="13">N65</f>
        <v>3300</v>
      </c>
      <c r="P65">
        <f t="shared" si="13"/>
        <v>3300</v>
      </c>
      <c r="Q65">
        <f t="shared" si="13"/>
        <v>3300</v>
      </c>
      <c r="R65">
        <f t="shared" si="13"/>
        <v>3300</v>
      </c>
      <c r="S65">
        <f t="shared" si="13"/>
        <v>3300</v>
      </c>
      <c r="T65">
        <f t="shared" si="13"/>
        <v>3300</v>
      </c>
      <c r="U65">
        <f t="shared" si="13"/>
        <v>3300</v>
      </c>
      <c r="V65">
        <f t="shared" si="13"/>
        <v>3300</v>
      </c>
      <c r="W65">
        <f t="shared" si="13"/>
        <v>3300</v>
      </c>
      <c r="X65">
        <f t="shared" si="13"/>
        <v>3300</v>
      </c>
      <c r="Y65">
        <f t="shared" si="13"/>
        <v>3300</v>
      </c>
    </row>
    <row r="66" spans="1:25">
      <c r="A66" s="8" t="s">
        <v>201</v>
      </c>
      <c r="B66" s="8">
        <f>Costos!$E$8</f>
        <v>450</v>
      </c>
      <c r="C66" s="8">
        <f>Costos!$E$8</f>
        <v>450</v>
      </c>
      <c r="D66" s="8">
        <f>Costos!$E$8</f>
        <v>450</v>
      </c>
      <c r="E66" s="8">
        <f>Costos!$E$8</f>
        <v>450</v>
      </c>
      <c r="F66" s="8">
        <f>Costos!$E$8</f>
        <v>450</v>
      </c>
      <c r="G66" s="8">
        <f>Costos!$E$8</f>
        <v>450</v>
      </c>
      <c r="H66" s="8">
        <f>Costos!$E$8</f>
        <v>450</v>
      </c>
      <c r="I66" s="8">
        <f>Costos!$E$8</f>
        <v>450</v>
      </c>
      <c r="J66" s="8">
        <f>Costos!$E$8</f>
        <v>450</v>
      </c>
      <c r="K66" s="8">
        <f>Costos!$E$8</f>
        <v>450</v>
      </c>
      <c r="L66" s="8">
        <f>Costos!$E$8</f>
        <v>450</v>
      </c>
      <c r="M66" s="8">
        <f>Costos!$E$8</f>
        <v>450</v>
      </c>
      <c r="N66">
        <f>M66</f>
        <v>450</v>
      </c>
      <c r="O66">
        <f t="shared" ref="O66:Y66" si="14">N66</f>
        <v>450</v>
      </c>
      <c r="P66">
        <f t="shared" si="14"/>
        <v>450</v>
      </c>
      <c r="Q66">
        <f t="shared" si="14"/>
        <v>450</v>
      </c>
      <c r="R66">
        <f t="shared" si="14"/>
        <v>450</v>
      </c>
      <c r="S66">
        <f t="shared" si="14"/>
        <v>450</v>
      </c>
      <c r="T66">
        <f t="shared" si="14"/>
        <v>450</v>
      </c>
      <c r="U66">
        <f t="shared" si="14"/>
        <v>450</v>
      </c>
      <c r="V66">
        <f t="shared" si="14"/>
        <v>450</v>
      </c>
      <c r="W66">
        <f t="shared" si="14"/>
        <v>450</v>
      </c>
      <c r="X66">
        <f t="shared" si="14"/>
        <v>450</v>
      </c>
      <c r="Y66">
        <f t="shared" si="14"/>
        <v>450</v>
      </c>
    </row>
    <row r="67" spans="1:25">
      <c r="A67" s="8" t="s">
        <v>202</v>
      </c>
      <c r="B67" s="97">
        <f>Costos!$I$35*B19</f>
        <v>10235.915906552909</v>
      </c>
      <c r="C67" s="97">
        <f>Costos!$I$35*C19</f>
        <v>12794.894883191138</v>
      </c>
      <c r="D67" s="97">
        <f>Costos!$I$35*D19</f>
        <v>12794.894883191138</v>
      </c>
      <c r="E67" s="97">
        <f>Costos!$I$35*E19</f>
        <v>17912.852836467595</v>
      </c>
      <c r="F67" s="97">
        <f>Costos!$I$35*F19</f>
        <v>20471.831813105819</v>
      </c>
      <c r="G67" s="97">
        <f>Costos!$I$35*G19</f>
        <v>23030.810789744046</v>
      </c>
      <c r="H67" s="97">
        <f>Costos!$I$35*H19</f>
        <v>23030.810789744046</v>
      </c>
      <c r="I67" s="97">
        <f>Costos!$I$35*I19</f>
        <v>23030.810789744046</v>
      </c>
      <c r="J67" s="97">
        <f>Costos!$I$35*J19</f>
        <v>25589.789766382277</v>
      </c>
      <c r="K67" s="97">
        <f>Costos!$I$35*K19</f>
        <v>28148.768743020501</v>
      </c>
      <c r="L67" s="97">
        <f>Costos!$I$35*L19</f>
        <v>28148.768743020501</v>
      </c>
      <c r="M67" s="97">
        <f>Costos!$I$35*M19</f>
        <v>30707.747719658728</v>
      </c>
    </row>
    <row r="68" spans="1:25">
      <c r="A68" s="331" t="s">
        <v>596</v>
      </c>
      <c r="B68" s="97">
        <f>(Costos!$F$45+Costos!$G$56)*'Capital de Trabajo'!B19</f>
        <v>2470.36</v>
      </c>
      <c r="C68" s="97">
        <f>(Costos!$F$45+Costos!$G$56)*'Capital de Trabajo'!C19</f>
        <v>3087.9500000000003</v>
      </c>
      <c r="D68" s="97">
        <f>(Costos!$F$45+Costos!$G$56)*'Capital de Trabajo'!D19</f>
        <v>3087.9500000000003</v>
      </c>
      <c r="E68" s="97">
        <f>(Costos!$F$45+Costos!$G$56)*'Capital de Trabajo'!E19</f>
        <v>4323.13</v>
      </c>
      <c r="F68" s="97">
        <f>(Costos!$F$45+Costos!$G$56)*'Capital de Trabajo'!F19</f>
        <v>4940.72</v>
      </c>
      <c r="G68" s="97">
        <f>(Costos!$F$45+Costos!$G$56)*'Capital de Trabajo'!G19</f>
        <v>5558.3099999999995</v>
      </c>
      <c r="H68" s="97">
        <f>(Costos!$F$45+Costos!$G$56)*'Capital de Trabajo'!H19</f>
        <v>5558.3099999999995</v>
      </c>
      <c r="I68" s="97">
        <f>(Costos!$F$45+Costos!$G$56)*'Capital de Trabajo'!I19</f>
        <v>5558.3099999999995</v>
      </c>
      <c r="J68" s="97">
        <f>(Costos!$F$45+Costos!$G$56)*'Capital de Trabajo'!J19</f>
        <v>6175.9000000000005</v>
      </c>
      <c r="K68" s="97">
        <f>(Costos!$F$45+Costos!$G$56)*'Capital de Trabajo'!K19</f>
        <v>6793.49</v>
      </c>
      <c r="L68" s="97">
        <f>(Costos!$F$45+Costos!$G$56)*'Capital de Trabajo'!L19</f>
        <v>6793.49</v>
      </c>
      <c r="M68" s="97">
        <f>(Costos!$F$45+Costos!$G$56)*'Capital de Trabajo'!M19</f>
        <v>7411.08</v>
      </c>
    </row>
    <row r="69" spans="1:25">
      <c r="A69" s="8" t="s">
        <v>203</v>
      </c>
      <c r="B69" s="57">
        <f>Gastos!$E$10+Gastos!$D$34</f>
        <v>7050</v>
      </c>
      <c r="C69" s="57">
        <f>Gastos!$E$10+Gastos!$D$34</f>
        <v>7050</v>
      </c>
      <c r="D69" s="57">
        <f>Gastos!$E$10+Gastos!$D$34</f>
        <v>7050</v>
      </c>
      <c r="E69" s="57">
        <f>Gastos!$E$10+Gastos!$D$34</f>
        <v>7050</v>
      </c>
      <c r="F69" s="57">
        <f>Gastos!$E$10+Gastos!$D$34</f>
        <v>7050</v>
      </c>
      <c r="G69" s="57">
        <f>Gastos!$E$10+Gastos!$D$34</f>
        <v>7050</v>
      </c>
      <c r="H69" s="57">
        <f>Gastos!$E$10+Gastos!$D$34</f>
        <v>7050</v>
      </c>
      <c r="I69" s="57">
        <f>Gastos!$E$10+Gastos!$D$34</f>
        <v>7050</v>
      </c>
      <c r="J69" s="57">
        <f>Gastos!$E$10+Gastos!$D$34</f>
        <v>7050</v>
      </c>
      <c r="K69" s="57">
        <f>Gastos!$E$10+Gastos!$D$34</f>
        <v>7050</v>
      </c>
      <c r="L69" s="57">
        <f>Gastos!$E$10+Gastos!$D$34</f>
        <v>7050</v>
      </c>
      <c r="M69" s="57">
        <f>Gastos!$E$10+Gastos!$D$34</f>
        <v>7050</v>
      </c>
    </row>
    <row r="70" spans="1:25">
      <c r="A70" s="8" t="s">
        <v>204</v>
      </c>
      <c r="B70" s="97">
        <f>Gastos!$E$17</f>
        <v>10333.333333333334</v>
      </c>
      <c r="C70" s="8">
        <f>Gastos!$E$17</f>
        <v>10333.333333333334</v>
      </c>
      <c r="D70" s="8">
        <f>Gastos!$E$17</f>
        <v>10333.333333333334</v>
      </c>
      <c r="E70" s="8">
        <f>Gastos!$E$17</f>
        <v>10333.333333333334</v>
      </c>
      <c r="F70" s="8">
        <f>Gastos!$E$17</f>
        <v>10333.333333333334</v>
      </c>
      <c r="G70" s="8">
        <f>Gastos!$E$17</f>
        <v>10333.333333333334</v>
      </c>
      <c r="H70" s="8">
        <f>Gastos!$E$17</f>
        <v>10333.333333333334</v>
      </c>
      <c r="I70" s="8">
        <f>Gastos!$E$17</f>
        <v>10333.333333333334</v>
      </c>
      <c r="J70" s="8">
        <f>Gastos!$E$17</f>
        <v>10333.333333333334</v>
      </c>
      <c r="K70" s="8">
        <f>Gastos!$E$17</f>
        <v>10333.333333333334</v>
      </c>
      <c r="L70" s="8">
        <f>Gastos!$E$17</f>
        <v>10333.333333333334</v>
      </c>
      <c r="M70" s="8">
        <f>Gastos!$E$17</f>
        <v>10333.333333333334</v>
      </c>
    </row>
    <row r="71" spans="1:25">
      <c r="A71" s="9" t="s">
        <v>205</v>
      </c>
      <c r="B71" s="57">
        <f>SUM(B65:B70)</f>
        <v>33839.609239886246</v>
      </c>
      <c r="C71" s="57">
        <f t="shared" ref="C71:M71" si="15">SUM(C65:C70)</f>
        <v>37016.178216524473</v>
      </c>
      <c r="D71" s="57">
        <f t="shared" si="15"/>
        <v>37016.178216524473</v>
      </c>
      <c r="E71" s="57">
        <f t="shared" si="15"/>
        <v>43369.316169800928</v>
      </c>
      <c r="F71" s="57">
        <f t="shared" si="15"/>
        <v>46545.885146439156</v>
      </c>
      <c r="G71" s="57">
        <f t="shared" si="15"/>
        <v>49722.454123077383</v>
      </c>
      <c r="H71" s="57">
        <f t="shared" si="15"/>
        <v>49722.454123077383</v>
      </c>
      <c r="I71" s="57">
        <f t="shared" si="15"/>
        <v>49722.454123077383</v>
      </c>
      <c r="J71" s="57">
        <f t="shared" si="15"/>
        <v>52899.02309971561</v>
      </c>
      <c r="K71" s="57">
        <f t="shared" si="15"/>
        <v>56075.592076353838</v>
      </c>
      <c r="L71" s="57">
        <f t="shared" si="15"/>
        <v>56075.592076353838</v>
      </c>
      <c r="M71" s="57">
        <f t="shared" si="15"/>
        <v>59252.161052992065</v>
      </c>
      <c r="N71" s="101">
        <f>SUM(B71:M71)</f>
        <v>571256.89766382275</v>
      </c>
    </row>
    <row r="75" spans="1:25">
      <c r="A75" s="9" t="s">
        <v>206</v>
      </c>
      <c r="B75" s="93">
        <f>B63</f>
        <v>24354.425572558819</v>
      </c>
      <c r="C75" s="93">
        <f t="shared" ref="C75:M75" si="16">C63</f>
        <v>30443.031965698527</v>
      </c>
      <c r="D75" s="93">
        <f t="shared" si="16"/>
        <v>30443.031965698527</v>
      </c>
      <c r="E75" s="93">
        <f t="shared" si="16"/>
        <v>42620.244751977938</v>
      </c>
      <c r="F75" s="93">
        <f t="shared" si="16"/>
        <v>48708.851145117638</v>
      </c>
      <c r="G75" s="93">
        <f t="shared" si="16"/>
        <v>54797.457538257338</v>
      </c>
      <c r="H75" s="93">
        <f t="shared" si="16"/>
        <v>54797.457538257338</v>
      </c>
      <c r="I75" s="93">
        <f t="shared" si="16"/>
        <v>54797.457538257338</v>
      </c>
      <c r="J75" s="93">
        <f t="shared" si="16"/>
        <v>60886.063931397053</v>
      </c>
      <c r="K75" s="93">
        <f t="shared" si="16"/>
        <v>66974.670324536739</v>
      </c>
      <c r="L75" s="93">
        <f t="shared" si="16"/>
        <v>66974.670324536739</v>
      </c>
      <c r="M75" s="93">
        <f t="shared" si="16"/>
        <v>73063.276717676461</v>
      </c>
    </row>
    <row r="76" spans="1:25">
      <c r="A76" s="9" t="s">
        <v>205</v>
      </c>
      <c r="B76" s="57">
        <f>+B71</f>
        <v>33839.609239886246</v>
      </c>
      <c r="C76" s="57">
        <f>+C71</f>
        <v>37016.178216524473</v>
      </c>
      <c r="D76" s="57">
        <f>+D71</f>
        <v>37016.178216524473</v>
      </c>
      <c r="E76" s="57">
        <f t="shared" ref="E76:M76" si="17">+E71</f>
        <v>43369.316169800928</v>
      </c>
      <c r="F76" s="57">
        <f t="shared" si="17"/>
        <v>46545.885146439156</v>
      </c>
      <c r="G76" s="57">
        <f t="shared" si="17"/>
        <v>49722.454123077383</v>
      </c>
      <c r="H76" s="57">
        <f t="shared" si="17"/>
        <v>49722.454123077383</v>
      </c>
      <c r="I76" s="57">
        <f t="shared" si="17"/>
        <v>49722.454123077383</v>
      </c>
      <c r="J76" s="57">
        <f t="shared" si="17"/>
        <v>52899.02309971561</v>
      </c>
      <c r="K76" s="57">
        <f t="shared" si="17"/>
        <v>56075.592076353838</v>
      </c>
      <c r="L76" s="57">
        <f t="shared" si="17"/>
        <v>56075.592076353838</v>
      </c>
      <c r="M76" s="57">
        <f t="shared" si="17"/>
        <v>59252.161052992065</v>
      </c>
    </row>
    <row r="77" spans="1:25">
      <c r="A77" s="9" t="s">
        <v>207</v>
      </c>
      <c r="B77" s="57">
        <f>+B75-B76</f>
        <v>-9485.1836673274265</v>
      </c>
      <c r="C77" s="57">
        <f t="shared" ref="C77:M77" si="18">+C75-C76</f>
        <v>-6573.1462508259465</v>
      </c>
      <c r="D77" s="57">
        <f t="shared" si="18"/>
        <v>-6573.1462508259465</v>
      </c>
      <c r="E77" s="57">
        <f t="shared" si="18"/>
        <v>-749.07141782299004</v>
      </c>
      <c r="F77" s="57">
        <f t="shared" si="18"/>
        <v>2162.9659986784827</v>
      </c>
      <c r="G77" s="57">
        <f t="shared" si="18"/>
        <v>5075.0034151799555</v>
      </c>
      <c r="H77" s="57">
        <f t="shared" si="18"/>
        <v>5075.0034151799555</v>
      </c>
      <c r="I77" s="57">
        <f t="shared" si="18"/>
        <v>5075.0034151799555</v>
      </c>
      <c r="J77" s="57">
        <f t="shared" si="18"/>
        <v>7987.0408316814428</v>
      </c>
      <c r="K77" s="57">
        <f t="shared" si="18"/>
        <v>10899.078248182901</v>
      </c>
      <c r="L77" s="57">
        <f t="shared" si="18"/>
        <v>10899.078248182901</v>
      </c>
      <c r="M77" s="57">
        <f t="shared" si="18"/>
        <v>13811.115664684396</v>
      </c>
    </row>
    <row r="78" spans="1:25">
      <c r="A78" s="9" t="s">
        <v>208</v>
      </c>
      <c r="B78" s="98">
        <f>+B77</f>
        <v>-9485.1836673274265</v>
      </c>
      <c r="C78" s="57">
        <f>+C77+B78</f>
        <v>-16058.329918153373</v>
      </c>
      <c r="D78" s="57">
        <f>+D77+C78</f>
        <v>-22631.476168979319</v>
      </c>
      <c r="E78" s="378">
        <f>+E77+D78</f>
        <v>-23380.54758680231</v>
      </c>
      <c r="F78" s="57">
        <f>+F77+E78</f>
        <v>-21217.581588123827</v>
      </c>
      <c r="G78" s="57">
        <f t="shared" ref="G78:L78" si="19">+G77+F78</f>
        <v>-16142.578172943871</v>
      </c>
      <c r="H78" s="98">
        <f t="shared" si="19"/>
        <v>-11067.574757763916</v>
      </c>
      <c r="I78" s="57">
        <f t="shared" si="19"/>
        <v>-5992.5713425839604</v>
      </c>
      <c r="J78" s="57">
        <f t="shared" si="19"/>
        <v>1994.4694890974824</v>
      </c>
      <c r="K78" s="57">
        <f t="shared" si="19"/>
        <v>12893.547737280383</v>
      </c>
      <c r="L78" s="57">
        <f t="shared" si="19"/>
        <v>23792.625985463284</v>
      </c>
      <c r="M78" s="379">
        <f>+M77+L78</f>
        <v>37603.741650147684</v>
      </c>
    </row>
    <row r="80" spans="1:25">
      <c r="B80" s="101">
        <f>MIN(B78:M78)</f>
        <v>-23380.54758680231</v>
      </c>
    </row>
    <row r="81" spans="1:10">
      <c r="D81" s="463"/>
      <c r="E81" s="463"/>
      <c r="F81" s="463"/>
      <c r="G81" s="463"/>
      <c r="H81" s="463"/>
    </row>
    <row r="82" spans="1:10">
      <c r="B82" s="12"/>
      <c r="C82" s="12"/>
      <c r="D82" s="464">
        <v>5</v>
      </c>
      <c r="E82" s="465"/>
      <c r="F82" s="466"/>
      <c r="G82" s="465" t="s">
        <v>210</v>
      </c>
      <c r="H82" s="465"/>
      <c r="I82" s="12"/>
      <c r="J82" s="12"/>
    </row>
    <row r="83" spans="1:10">
      <c r="B83" s="12"/>
      <c r="C83" s="12"/>
      <c r="D83" s="464">
        <v>6</v>
      </c>
      <c r="E83" s="465"/>
      <c r="F83" s="466"/>
      <c r="G83" s="465" t="s">
        <v>211</v>
      </c>
      <c r="H83" s="463"/>
    </row>
    <row r="84" spans="1:10">
      <c r="D84" s="464">
        <v>7</v>
      </c>
      <c r="E84" s="465"/>
      <c r="F84" s="466"/>
      <c r="G84" s="465" t="s">
        <v>212</v>
      </c>
      <c r="H84" s="463"/>
    </row>
    <row r="85" spans="1:10">
      <c r="A85" s="3"/>
      <c r="D85" s="464">
        <v>8</v>
      </c>
      <c r="E85" s="465"/>
      <c r="F85" s="466"/>
      <c r="G85" s="465" t="s">
        <v>213</v>
      </c>
      <c r="H85" s="463"/>
    </row>
    <row r="86" spans="1:10">
      <c r="D86" s="464">
        <v>9</v>
      </c>
      <c r="E86" s="465"/>
      <c r="F86" s="466"/>
      <c r="G86" s="463" t="s">
        <v>209</v>
      </c>
      <c r="H86" s="463"/>
    </row>
    <row r="87" spans="1:10">
      <c r="D87" s="464">
        <v>10</v>
      </c>
      <c r="E87" s="465"/>
      <c r="F87" s="466"/>
      <c r="G87" s="463" t="s">
        <v>214</v>
      </c>
      <c r="H87" s="463"/>
    </row>
    <row r="88" spans="1:10">
      <c r="A88" s="100"/>
      <c r="B88" s="100"/>
      <c r="D88" s="464">
        <v>11</v>
      </c>
      <c r="E88" s="465"/>
      <c r="F88" s="466"/>
      <c r="G88" s="463" t="s">
        <v>215</v>
      </c>
      <c r="H88" s="463"/>
    </row>
    <row r="89" spans="1:10">
      <c r="D89" s="464">
        <v>12</v>
      </c>
      <c r="E89" s="465"/>
      <c r="F89" s="466"/>
      <c r="G89" s="463" t="s">
        <v>216</v>
      </c>
      <c r="H89" s="463"/>
    </row>
    <row r="90" spans="1:10">
      <c r="B90" s="101"/>
      <c r="D90" s="463">
        <f>SUM(D82:D89)</f>
        <v>68</v>
      </c>
      <c r="E90" s="463"/>
      <c r="F90" s="467">
        <f>SUM(F82:F89)</f>
        <v>0</v>
      </c>
      <c r="G90" s="463"/>
      <c r="H90" s="463"/>
    </row>
    <row r="91" spans="1:10">
      <c r="D91" s="463">
        <f>+$D$90</f>
        <v>68</v>
      </c>
      <c r="E91" s="468"/>
      <c r="F91" s="463"/>
      <c r="G91" s="463"/>
      <c r="H91" s="463"/>
    </row>
    <row r="92" spans="1:10">
      <c r="D92" s="469"/>
      <c r="E92" s="470"/>
      <c r="F92" s="470"/>
      <c r="G92" s="469"/>
      <c r="H92" s="469"/>
    </row>
  </sheetData>
  <mergeCells count="3">
    <mergeCell ref="A60:M60"/>
    <mergeCell ref="B1:F1"/>
    <mergeCell ref="I1:K1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4:J317"/>
  <sheetViews>
    <sheetView topLeftCell="A313" workbookViewId="0">
      <selection activeCell="J336" sqref="J336"/>
    </sheetView>
  </sheetViews>
  <sheetFormatPr baseColWidth="10" defaultRowHeight="12.75"/>
  <sheetData>
    <row r="4" spans="1:3">
      <c r="B4" s="18"/>
    </row>
    <row r="7" spans="1:3" ht="15.75">
      <c r="C7" s="149" t="s">
        <v>295</v>
      </c>
    </row>
    <row r="8" spans="1:3" ht="16.5">
      <c r="A8" s="1"/>
    </row>
    <row r="33" spans="2:9" ht="15.75">
      <c r="B33" s="149" t="s">
        <v>296</v>
      </c>
    </row>
    <row r="48" spans="2:9" ht="15.75" customHeight="1">
      <c r="B48" s="653" t="s">
        <v>297</v>
      </c>
      <c r="C48" s="653"/>
      <c r="D48" s="653"/>
      <c r="E48" s="653"/>
      <c r="F48" s="653"/>
      <c r="G48" s="653"/>
      <c r="H48" s="653"/>
      <c r="I48" s="653"/>
    </row>
    <row r="49" spans="2:9">
      <c r="B49" s="653"/>
      <c r="C49" s="653"/>
      <c r="D49" s="653"/>
      <c r="E49" s="653"/>
      <c r="F49" s="653"/>
      <c r="G49" s="653"/>
      <c r="H49" s="653"/>
      <c r="I49" s="653"/>
    </row>
    <row r="63" spans="2:9" ht="15.75">
      <c r="B63" s="149" t="s">
        <v>298</v>
      </c>
    </row>
    <row r="80" spans="2:9" ht="15.75">
      <c r="B80" s="519" t="s">
        <v>299</v>
      </c>
      <c r="C80" s="519"/>
      <c r="D80" s="519"/>
      <c r="E80" s="519"/>
      <c r="F80" s="519"/>
      <c r="G80" s="519"/>
      <c r="H80" s="519"/>
      <c r="I80" s="519"/>
    </row>
    <row r="81" spans="2:8" ht="15">
      <c r="B81" s="150"/>
    </row>
    <row r="94" spans="2:8" ht="15.75">
      <c r="B94" s="519" t="s">
        <v>300</v>
      </c>
      <c r="C94" s="519"/>
      <c r="D94" s="519"/>
      <c r="E94" s="519"/>
      <c r="F94" s="519"/>
      <c r="G94" s="519"/>
      <c r="H94" s="519"/>
    </row>
    <row r="112" spans="2:2" ht="15.75">
      <c r="B112" s="149" t="s">
        <v>301</v>
      </c>
    </row>
    <row r="126" spans="2:8" ht="15.75">
      <c r="B126" s="519" t="s">
        <v>302</v>
      </c>
      <c r="C126" s="519"/>
      <c r="D126" s="519"/>
      <c r="E126" s="519"/>
      <c r="F126" s="519"/>
      <c r="G126" s="519"/>
      <c r="H126" s="519"/>
    </row>
    <row r="150" spans="2:2" ht="15.75">
      <c r="B150" s="149" t="s">
        <v>303</v>
      </c>
    </row>
    <row r="176" spans="2:8" ht="15.75">
      <c r="B176" s="519" t="s">
        <v>304</v>
      </c>
      <c r="C176" s="519"/>
      <c r="D176" s="519"/>
      <c r="E176" s="519"/>
      <c r="F176" s="519"/>
      <c r="G176" s="519"/>
      <c r="H176" s="519"/>
    </row>
    <row r="211" spans="2:8" ht="15.75" customHeight="1">
      <c r="B211" s="653" t="s">
        <v>305</v>
      </c>
      <c r="C211" s="653"/>
      <c r="D211" s="653"/>
      <c r="E211" s="653"/>
      <c r="F211" s="653"/>
      <c r="G211" s="653"/>
      <c r="H211" s="653"/>
    </row>
    <row r="212" spans="2:8">
      <c r="B212" s="653"/>
      <c r="C212" s="653"/>
      <c r="D212" s="653"/>
      <c r="E212" s="653"/>
      <c r="F212" s="653"/>
      <c r="G212" s="653"/>
      <c r="H212" s="653"/>
    </row>
    <row r="227" spans="2:9" ht="15.75" customHeight="1">
      <c r="B227" s="653" t="s">
        <v>306</v>
      </c>
      <c r="C227" s="653"/>
      <c r="D227" s="653"/>
      <c r="E227" s="653"/>
      <c r="F227" s="653"/>
      <c r="G227" s="653"/>
      <c r="H227" s="653"/>
      <c r="I227" s="653"/>
    </row>
    <row r="228" spans="2:9">
      <c r="B228" s="653"/>
      <c r="C228" s="653"/>
      <c r="D228" s="653"/>
      <c r="E228" s="653"/>
      <c r="F228" s="653"/>
      <c r="G228" s="653"/>
      <c r="H228" s="653"/>
      <c r="I228" s="653"/>
    </row>
    <row r="229" spans="2:9" ht="13.5" thickBot="1"/>
    <row r="230" spans="2:9" ht="32.25" thickBot="1">
      <c r="B230" s="151" t="s">
        <v>307</v>
      </c>
      <c r="C230" s="152" t="s">
        <v>308</v>
      </c>
      <c r="D230" s="152" t="s">
        <v>284</v>
      </c>
      <c r="E230" s="152" t="s">
        <v>168</v>
      </c>
    </row>
    <row r="231" spans="2:9">
      <c r="B231" s="654" t="s">
        <v>309</v>
      </c>
      <c r="C231" s="154" t="s">
        <v>310</v>
      </c>
      <c r="D231" s="154">
        <v>251</v>
      </c>
      <c r="E231" s="154" t="s">
        <v>313</v>
      </c>
    </row>
    <row r="232" spans="2:9">
      <c r="B232" s="655"/>
      <c r="C232" s="154" t="s">
        <v>311</v>
      </c>
      <c r="D232" s="154">
        <v>76</v>
      </c>
      <c r="E232" s="154" t="s">
        <v>314</v>
      </c>
    </row>
    <row r="233" spans="2:9">
      <c r="B233" s="655"/>
      <c r="C233" s="154" t="s">
        <v>262</v>
      </c>
      <c r="D233" s="154">
        <v>327</v>
      </c>
      <c r="E233" s="154" t="s">
        <v>315</v>
      </c>
    </row>
    <row r="234" spans="2:9" ht="22.5">
      <c r="B234" s="655"/>
      <c r="C234" s="154" t="s">
        <v>312</v>
      </c>
      <c r="D234" s="154">
        <v>58</v>
      </c>
      <c r="E234" s="154"/>
    </row>
    <row r="235" spans="2:9">
      <c r="B235" s="655"/>
      <c r="C235" s="154" t="s">
        <v>262</v>
      </c>
      <c r="D235" s="156"/>
      <c r="E235" s="154"/>
    </row>
    <row r="236" spans="2:9" ht="13.5" thickBot="1">
      <c r="B236" s="656"/>
      <c r="C236" s="155"/>
      <c r="D236" s="157">
        <v>385</v>
      </c>
      <c r="E236" s="157">
        <v>100</v>
      </c>
    </row>
    <row r="237" spans="2:9">
      <c r="B237" s="654" t="s">
        <v>316</v>
      </c>
      <c r="C237" s="154" t="s">
        <v>310</v>
      </c>
      <c r="D237" s="154">
        <v>199</v>
      </c>
      <c r="E237" s="154" t="s">
        <v>319</v>
      </c>
    </row>
    <row r="238" spans="2:9">
      <c r="B238" s="655"/>
      <c r="C238" s="154" t="s">
        <v>311</v>
      </c>
      <c r="D238" s="154">
        <v>128</v>
      </c>
      <c r="E238" s="154" t="s">
        <v>320</v>
      </c>
    </row>
    <row r="239" spans="2:9">
      <c r="B239" s="655"/>
      <c r="C239" s="154" t="s">
        <v>262</v>
      </c>
      <c r="D239" s="154">
        <v>327</v>
      </c>
      <c r="E239" s="154" t="s">
        <v>315</v>
      </c>
    </row>
    <row r="240" spans="2:9">
      <c r="B240" s="655"/>
      <c r="C240" s="154" t="s">
        <v>317</v>
      </c>
      <c r="D240" s="154">
        <v>58</v>
      </c>
      <c r="E240" s="154" t="s">
        <v>321</v>
      </c>
    </row>
    <row r="241" spans="2:5" ht="13.5" thickBot="1">
      <c r="B241" s="656"/>
      <c r="C241" s="157" t="s">
        <v>318</v>
      </c>
      <c r="D241" s="157"/>
      <c r="E241" s="157"/>
    </row>
    <row r="242" spans="2:5">
      <c r="B242" s="654" t="s">
        <v>322</v>
      </c>
      <c r="C242" s="154" t="s">
        <v>310</v>
      </c>
      <c r="D242" s="154">
        <v>204</v>
      </c>
      <c r="E242" s="154" t="s">
        <v>323</v>
      </c>
    </row>
    <row r="243" spans="2:5">
      <c r="B243" s="655"/>
      <c r="C243" s="154" t="s">
        <v>311</v>
      </c>
      <c r="D243" s="154">
        <v>123</v>
      </c>
      <c r="E243" s="154" t="s">
        <v>324</v>
      </c>
    </row>
    <row r="244" spans="2:5">
      <c r="B244" s="655"/>
      <c r="C244" s="154" t="s">
        <v>262</v>
      </c>
      <c r="D244" s="154">
        <v>327</v>
      </c>
      <c r="E244" s="154" t="s">
        <v>315</v>
      </c>
    </row>
    <row r="245" spans="2:5" ht="22.5">
      <c r="B245" s="655"/>
      <c r="C245" s="154" t="s">
        <v>312</v>
      </c>
      <c r="D245" s="154">
        <v>58</v>
      </c>
      <c r="E245" s="154" t="s">
        <v>321</v>
      </c>
    </row>
    <row r="246" spans="2:5">
      <c r="B246" s="655"/>
      <c r="C246" s="154" t="s">
        <v>262</v>
      </c>
      <c r="D246" s="154"/>
      <c r="E246" s="154"/>
    </row>
    <row r="247" spans="2:5" ht="13.5" thickBot="1">
      <c r="B247" s="656"/>
      <c r="C247" s="155"/>
      <c r="D247" s="157">
        <v>385</v>
      </c>
      <c r="E247" s="157">
        <v>100</v>
      </c>
    </row>
    <row r="248" spans="2:5">
      <c r="B248" s="654" t="s">
        <v>325</v>
      </c>
      <c r="C248" s="154" t="s">
        <v>310</v>
      </c>
      <c r="D248" s="154">
        <v>255</v>
      </c>
      <c r="E248" s="154" t="s">
        <v>326</v>
      </c>
    </row>
    <row r="249" spans="2:5">
      <c r="B249" s="655"/>
      <c r="C249" s="154" t="s">
        <v>311</v>
      </c>
      <c r="D249" s="154">
        <v>72</v>
      </c>
      <c r="E249" s="154" t="s">
        <v>327</v>
      </c>
    </row>
    <row r="250" spans="2:5">
      <c r="B250" s="655"/>
      <c r="C250" s="154" t="s">
        <v>262</v>
      </c>
      <c r="D250" s="154">
        <v>327</v>
      </c>
      <c r="E250" s="154" t="s">
        <v>315</v>
      </c>
    </row>
    <row r="251" spans="2:5" ht="22.5">
      <c r="B251" s="655"/>
      <c r="C251" s="154" t="s">
        <v>312</v>
      </c>
      <c r="D251" s="154">
        <v>58</v>
      </c>
      <c r="E251" s="154" t="s">
        <v>321</v>
      </c>
    </row>
    <row r="252" spans="2:5">
      <c r="B252" s="655"/>
      <c r="C252" s="154" t="s">
        <v>262</v>
      </c>
      <c r="D252" s="154"/>
      <c r="E252" s="154"/>
    </row>
    <row r="253" spans="2:5">
      <c r="B253" s="655"/>
      <c r="C253" s="158"/>
      <c r="D253" s="154"/>
      <c r="E253" s="154"/>
    </row>
    <row r="254" spans="2:5" ht="13.5" thickBot="1">
      <c r="B254" s="656"/>
      <c r="C254" s="155"/>
      <c r="D254" s="157">
        <v>385</v>
      </c>
      <c r="E254" s="157">
        <v>100</v>
      </c>
    </row>
    <row r="255" spans="2:5">
      <c r="B255" s="654" t="s">
        <v>328</v>
      </c>
      <c r="C255" s="154" t="s">
        <v>310</v>
      </c>
      <c r="D255" s="154">
        <v>224</v>
      </c>
      <c r="E255" s="154" t="s">
        <v>329</v>
      </c>
    </row>
    <row r="256" spans="2:5">
      <c r="B256" s="655"/>
      <c r="C256" s="154" t="s">
        <v>311</v>
      </c>
      <c r="D256" s="154">
        <v>103</v>
      </c>
      <c r="E256" s="154" t="s">
        <v>330</v>
      </c>
    </row>
    <row r="257" spans="2:5">
      <c r="B257" s="655"/>
      <c r="C257" s="154" t="s">
        <v>262</v>
      </c>
      <c r="D257" s="154">
        <v>327</v>
      </c>
      <c r="E257" s="154" t="s">
        <v>315</v>
      </c>
    </row>
    <row r="258" spans="2:5" ht="22.5">
      <c r="B258" s="655"/>
      <c r="C258" s="154" t="s">
        <v>312</v>
      </c>
      <c r="D258" s="154">
        <v>58</v>
      </c>
      <c r="E258" s="154" t="s">
        <v>321</v>
      </c>
    </row>
    <row r="259" spans="2:5" ht="13.5" thickBot="1">
      <c r="B259" s="656"/>
      <c r="C259" s="157" t="s">
        <v>262</v>
      </c>
      <c r="D259" s="157">
        <v>385</v>
      </c>
      <c r="E259" s="157">
        <v>100</v>
      </c>
    </row>
    <row r="260" spans="2:5">
      <c r="B260" s="654" t="s">
        <v>331</v>
      </c>
      <c r="C260" s="154" t="s">
        <v>310</v>
      </c>
      <c r="D260" s="154">
        <v>249</v>
      </c>
      <c r="E260" s="154" t="s">
        <v>332</v>
      </c>
    </row>
    <row r="261" spans="2:5">
      <c r="B261" s="655"/>
      <c r="C261" s="154" t="s">
        <v>311</v>
      </c>
      <c r="D261" s="154">
        <v>78</v>
      </c>
      <c r="E261" s="154" t="s">
        <v>333</v>
      </c>
    </row>
    <row r="262" spans="2:5">
      <c r="B262" s="655"/>
      <c r="C262" s="154" t="s">
        <v>262</v>
      </c>
      <c r="D262" s="154">
        <v>327</v>
      </c>
      <c r="E262" s="154" t="s">
        <v>315</v>
      </c>
    </row>
    <row r="263" spans="2:5" ht="22.5">
      <c r="B263" s="655"/>
      <c r="C263" s="154" t="s">
        <v>312</v>
      </c>
      <c r="D263" s="154">
        <v>58</v>
      </c>
      <c r="E263" s="154" t="s">
        <v>321</v>
      </c>
    </row>
    <row r="264" spans="2:5" ht="13.5" thickBot="1">
      <c r="B264" s="656"/>
      <c r="C264" s="157" t="s">
        <v>262</v>
      </c>
      <c r="D264" s="157">
        <v>385</v>
      </c>
      <c r="E264" s="157">
        <v>100</v>
      </c>
    </row>
    <row r="265" spans="2:5">
      <c r="B265" s="654" t="s">
        <v>334</v>
      </c>
      <c r="C265" s="154" t="s">
        <v>310</v>
      </c>
      <c r="D265" s="154">
        <v>227</v>
      </c>
      <c r="E265" s="154" t="s">
        <v>335</v>
      </c>
    </row>
    <row r="266" spans="2:5">
      <c r="B266" s="655"/>
      <c r="C266" s="154" t="s">
        <v>311</v>
      </c>
      <c r="D266" s="154">
        <v>55</v>
      </c>
      <c r="E266" s="154" t="s">
        <v>336</v>
      </c>
    </row>
    <row r="267" spans="2:5">
      <c r="B267" s="655"/>
      <c r="C267" s="154" t="s">
        <v>262</v>
      </c>
      <c r="D267" s="154">
        <v>327</v>
      </c>
      <c r="E267" s="154" t="s">
        <v>315</v>
      </c>
    </row>
    <row r="268" spans="2:5" ht="22.5">
      <c r="B268" s="655"/>
      <c r="C268" s="154" t="s">
        <v>312</v>
      </c>
      <c r="D268" s="154">
        <v>58</v>
      </c>
      <c r="E268" s="154" t="s">
        <v>321</v>
      </c>
    </row>
    <row r="269" spans="2:5" ht="13.5" thickBot="1">
      <c r="B269" s="656"/>
      <c r="C269" s="157" t="s">
        <v>262</v>
      </c>
      <c r="D269" s="157">
        <v>385</v>
      </c>
      <c r="E269" s="157">
        <v>100</v>
      </c>
    </row>
    <row r="270" spans="2:5">
      <c r="B270" s="654" t="s">
        <v>337</v>
      </c>
      <c r="C270" s="154" t="s">
        <v>310</v>
      </c>
      <c r="D270" s="154">
        <v>223</v>
      </c>
      <c r="E270" s="154" t="s">
        <v>338</v>
      </c>
    </row>
    <row r="271" spans="2:5">
      <c r="B271" s="655"/>
      <c r="C271" s="154" t="s">
        <v>311</v>
      </c>
      <c r="D271" s="154">
        <v>104</v>
      </c>
      <c r="E271" s="154" t="s">
        <v>339</v>
      </c>
    </row>
    <row r="272" spans="2:5">
      <c r="B272" s="655"/>
      <c r="C272" s="154" t="s">
        <v>262</v>
      </c>
      <c r="D272" s="154">
        <v>327</v>
      </c>
      <c r="E272" s="154" t="s">
        <v>315</v>
      </c>
    </row>
    <row r="273" spans="2:8" ht="22.5">
      <c r="B273" s="655"/>
      <c r="C273" s="154" t="s">
        <v>312</v>
      </c>
      <c r="D273" s="154">
        <v>58</v>
      </c>
      <c r="E273" s="154" t="s">
        <v>321</v>
      </c>
    </row>
    <row r="274" spans="2:8" ht="13.5" thickBot="1">
      <c r="B274" s="656"/>
      <c r="C274" s="157" t="s">
        <v>262</v>
      </c>
      <c r="D274" s="157">
        <v>385</v>
      </c>
      <c r="E274" s="157">
        <v>100</v>
      </c>
    </row>
    <row r="275" spans="2:8">
      <c r="B275" s="654" t="s">
        <v>340</v>
      </c>
      <c r="C275" s="154" t="s">
        <v>310</v>
      </c>
      <c r="D275" s="154">
        <v>167</v>
      </c>
      <c r="E275" s="154" t="s">
        <v>341</v>
      </c>
    </row>
    <row r="276" spans="2:8">
      <c r="B276" s="655"/>
      <c r="C276" s="154" t="s">
        <v>311</v>
      </c>
      <c r="D276" s="154">
        <v>160</v>
      </c>
      <c r="E276" s="154" t="s">
        <v>342</v>
      </c>
    </row>
    <row r="277" spans="2:8">
      <c r="B277" s="655"/>
      <c r="C277" s="154" t="s">
        <v>262</v>
      </c>
      <c r="D277" s="154">
        <v>327</v>
      </c>
      <c r="E277" s="154" t="s">
        <v>315</v>
      </c>
    </row>
    <row r="278" spans="2:8" ht="22.5">
      <c r="B278" s="655"/>
      <c r="C278" s="154" t="s">
        <v>312</v>
      </c>
      <c r="D278" s="154">
        <v>58</v>
      </c>
      <c r="E278" s="154" t="s">
        <v>321</v>
      </c>
    </row>
    <row r="279" spans="2:8" ht="13.5" thickBot="1">
      <c r="B279" s="656"/>
      <c r="C279" s="157" t="s">
        <v>262</v>
      </c>
      <c r="D279" s="157">
        <v>385</v>
      </c>
      <c r="E279" s="157">
        <v>100</v>
      </c>
    </row>
    <row r="281" spans="2:8" ht="15.75">
      <c r="B281" s="519" t="s">
        <v>343</v>
      </c>
      <c r="C281" s="519"/>
      <c r="D281" s="519"/>
      <c r="E281" s="519"/>
      <c r="F281" s="519"/>
      <c r="G281" s="519"/>
      <c r="H281" s="519"/>
    </row>
    <row r="294" spans="2:2" ht="15.75">
      <c r="B294" s="149" t="s">
        <v>344</v>
      </c>
    </row>
    <row r="316" spans="2:10" ht="15.75" customHeight="1">
      <c r="B316" s="653" t="s">
        <v>345</v>
      </c>
      <c r="C316" s="653"/>
      <c r="D316" s="653"/>
      <c r="E316" s="653"/>
      <c r="F316" s="653"/>
      <c r="G316" s="653"/>
      <c r="H316" s="653"/>
      <c r="I316" s="653"/>
      <c r="J316" s="653"/>
    </row>
    <row r="317" spans="2:10">
      <c r="B317" s="653"/>
      <c r="C317" s="653"/>
      <c r="D317" s="653"/>
      <c r="E317" s="653"/>
      <c r="F317" s="653"/>
      <c r="G317" s="653"/>
      <c r="H317" s="653"/>
      <c r="I317" s="653"/>
      <c r="J317" s="653"/>
    </row>
  </sheetData>
  <mergeCells count="18">
    <mergeCell ref="B237:B241"/>
    <mergeCell ref="B242:B247"/>
    <mergeCell ref="B281:H281"/>
    <mergeCell ref="B316:J317"/>
    <mergeCell ref="B260:B264"/>
    <mergeCell ref="B265:B269"/>
    <mergeCell ref="B270:B274"/>
    <mergeCell ref="B275:B279"/>
    <mergeCell ref="B248:B254"/>
    <mergeCell ref="B255:B259"/>
    <mergeCell ref="B227:I228"/>
    <mergeCell ref="B231:B236"/>
    <mergeCell ref="B48:I49"/>
    <mergeCell ref="B80:I80"/>
    <mergeCell ref="B94:H94"/>
    <mergeCell ref="B126:H126"/>
    <mergeCell ref="B176:H176"/>
    <mergeCell ref="B211:H212"/>
  </mergeCells>
  <phoneticPr fontId="2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3:B30"/>
  <sheetViews>
    <sheetView workbookViewId="0">
      <selection activeCell="B30" sqref="B30"/>
    </sheetView>
  </sheetViews>
  <sheetFormatPr baseColWidth="10" defaultRowHeight="12.75"/>
  <sheetData>
    <row r="3" spans="1:2">
      <c r="A3" t="str">
        <f>+Inversion!B11</f>
        <v>Empacadoras</v>
      </c>
      <c r="B3" t="s">
        <v>11</v>
      </c>
    </row>
    <row r="4" spans="1:2">
      <c r="A4">
        <f>+Inversion!A6</f>
        <v>0</v>
      </c>
      <c r="B4" s="18" t="s">
        <v>12</v>
      </c>
    </row>
    <row r="5" spans="1:2">
      <c r="A5" t="str">
        <f>+Inversion!B12</f>
        <v>Selladoras</v>
      </c>
      <c r="B5" t="s">
        <v>91</v>
      </c>
    </row>
    <row r="6" spans="1:2">
      <c r="A6" t="str">
        <f>+Inversion!B13</f>
        <v>Balanzas electronicas</v>
      </c>
      <c r="B6" t="s">
        <v>13</v>
      </c>
    </row>
    <row r="7" spans="1:2" ht="16.5">
      <c r="A7" s="2" t="s">
        <v>16</v>
      </c>
    </row>
    <row r="8" spans="1:2" ht="16.5">
      <c r="A8" s="1" t="s">
        <v>17</v>
      </c>
      <c r="B8" t="s">
        <v>18</v>
      </c>
    </row>
    <row r="9" spans="1:2">
      <c r="A9" t="str">
        <f>+Inversion!C28</f>
        <v>Computadoras</v>
      </c>
      <c r="B9" t="s">
        <v>23</v>
      </c>
    </row>
    <row r="10" spans="1:2">
      <c r="A10" t="s">
        <v>24</v>
      </c>
      <c r="B10" t="s">
        <v>25</v>
      </c>
    </row>
    <row r="11" spans="1:2">
      <c r="A11" t="str">
        <f>+Inversion!C36</f>
        <v>Escritorios</v>
      </c>
      <c r="B11" t="s">
        <v>29</v>
      </c>
    </row>
    <row r="12" spans="1:2">
      <c r="A12" t="s">
        <v>30</v>
      </c>
      <c r="B12" t="s">
        <v>31</v>
      </c>
    </row>
    <row r="13" spans="1:2">
      <c r="A13" t="str">
        <f>+Inversion!B15</f>
        <v>Equipos de Refrigeracion</v>
      </c>
      <c r="B13" t="s">
        <v>35</v>
      </c>
    </row>
    <row r="14" spans="1:2">
      <c r="A14" t="str">
        <f>+Inversion!C52</f>
        <v>Aire acondicionado</v>
      </c>
      <c r="B14" t="s">
        <v>36</v>
      </c>
    </row>
    <row r="15" spans="1:2">
      <c r="A15" t="str">
        <f>+Inversion!C53</f>
        <v>alarmas de seguridad</v>
      </c>
      <c r="B15" t="s">
        <v>37</v>
      </c>
    </row>
    <row r="16" spans="1:2">
      <c r="A16" t="s">
        <v>70</v>
      </c>
      <c r="B16" t="s">
        <v>69</v>
      </c>
    </row>
    <row r="17" spans="1:2">
      <c r="A17" t="s">
        <v>72</v>
      </c>
      <c r="B17" t="s">
        <v>71</v>
      </c>
    </row>
    <row r="18" spans="1:2">
      <c r="A18" t="s">
        <v>74</v>
      </c>
      <c r="B18" t="s">
        <v>73</v>
      </c>
    </row>
    <row r="19" spans="1:2">
      <c r="A19">
        <f>+Inversion!N60</f>
        <v>0</v>
      </c>
      <c r="B19" t="s">
        <v>75</v>
      </c>
    </row>
    <row r="20" spans="1:2">
      <c r="B20" t="s">
        <v>85</v>
      </c>
    </row>
    <row r="21" spans="1:2">
      <c r="A21" t="s">
        <v>98</v>
      </c>
      <c r="B21" t="s">
        <v>97</v>
      </c>
    </row>
    <row r="23" spans="1:2">
      <c r="A23" t="s">
        <v>218</v>
      </c>
    </row>
    <row r="24" spans="1:2">
      <c r="A24" t="s">
        <v>219</v>
      </c>
    </row>
    <row r="25" spans="1:2">
      <c r="A25" t="s">
        <v>220</v>
      </c>
    </row>
    <row r="26" spans="1:2">
      <c r="A26" t="s">
        <v>221</v>
      </c>
    </row>
    <row r="28" spans="1:2">
      <c r="B28" t="s">
        <v>263</v>
      </c>
    </row>
    <row r="29" spans="1:2">
      <c r="B29" t="s">
        <v>264</v>
      </c>
    </row>
    <row r="30" spans="1:2">
      <c r="B30" t="s">
        <v>268</v>
      </c>
    </row>
  </sheetData>
  <phoneticPr fontId="2" type="noConversion"/>
  <hyperlinks>
    <hyperlink ref="B4" r:id="rId1"/>
  </hyperlinks>
  <pageMargins left="0.75" right="0.75" top="1" bottom="1" header="0" footer="0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O84"/>
  <sheetViews>
    <sheetView topLeftCell="C25" zoomScale="80" zoomScaleNormal="80" workbookViewId="0">
      <selection activeCell="J5" sqref="J5:O5"/>
    </sheetView>
  </sheetViews>
  <sheetFormatPr baseColWidth="10" defaultRowHeight="12.75"/>
  <cols>
    <col min="2" max="2" width="29.42578125" customWidth="1"/>
    <col min="3" max="3" width="11.7109375" bestFit="1" customWidth="1"/>
    <col min="5" max="5" width="35.140625" customWidth="1"/>
    <col min="6" max="6" width="17.140625" customWidth="1"/>
    <col min="8" max="8" width="24.7109375" customWidth="1"/>
    <col min="10" max="10" width="21.7109375" customWidth="1"/>
  </cols>
  <sheetData>
    <row r="2" spans="2:15">
      <c r="E2" s="3"/>
    </row>
    <row r="3" spans="2:15" ht="13.5" thickBot="1">
      <c r="B3" s="520"/>
      <c r="C3" s="520"/>
      <c r="D3" s="520"/>
      <c r="E3" s="520"/>
      <c r="F3" s="520"/>
      <c r="G3" s="520"/>
    </row>
    <row r="4" spans="2:15" ht="13.5" thickBot="1">
      <c r="B4" s="521" t="s">
        <v>649</v>
      </c>
      <c r="C4" s="521"/>
      <c r="D4" s="521"/>
      <c r="E4" s="521"/>
      <c r="F4" s="521"/>
      <c r="G4" s="521"/>
      <c r="H4" s="521"/>
      <c r="I4" s="237"/>
      <c r="J4" s="511" t="s">
        <v>731</v>
      </c>
      <c r="K4" s="512"/>
      <c r="L4" s="513">
        <v>-0.11</v>
      </c>
    </row>
    <row r="5" spans="2:15" ht="15.75">
      <c r="B5" s="519" t="s">
        <v>729</v>
      </c>
      <c r="C5" s="519"/>
      <c r="D5" s="519"/>
      <c r="E5" s="519"/>
      <c r="F5" s="519"/>
      <c r="G5" s="519"/>
      <c r="I5" s="237"/>
      <c r="J5" s="522" t="s">
        <v>730</v>
      </c>
      <c r="K5" s="522"/>
      <c r="L5" s="522"/>
      <c r="M5" s="522"/>
      <c r="N5" s="522"/>
      <c r="O5" s="522"/>
    </row>
    <row r="6" spans="2:15">
      <c r="B6">
        <f>+Ingresos!B4</f>
        <v>0</v>
      </c>
      <c r="C6">
        <f>+Ingresos!C4</f>
        <v>1</v>
      </c>
      <c r="D6">
        <f>+Ingresos!D4</f>
        <v>2</v>
      </c>
      <c r="E6">
        <f>+Ingresos!E4</f>
        <v>3</v>
      </c>
      <c r="F6">
        <f>+Ingresos!F4</f>
        <v>4</v>
      </c>
      <c r="G6">
        <f>+Ingresos!G4</f>
        <v>5</v>
      </c>
      <c r="I6" s="237"/>
      <c r="J6">
        <f t="shared" ref="J6:O6" si="0">+B6</f>
        <v>0</v>
      </c>
      <c r="K6">
        <f t="shared" si="0"/>
        <v>1</v>
      </c>
      <c r="L6">
        <f t="shared" si="0"/>
        <v>2</v>
      </c>
      <c r="M6">
        <f t="shared" si="0"/>
        <v>3</v>
      </c>
      <c r="N6">
        <f t="shared" si="0"/>
        <v>4</v>
      </c>
      <c r="O6">
        <f t="shared" si="0"/>
        <v>5</v>
      </c>
    </row>
    <row r="7" spans="2:15">
      <c r="B7" t="str">
        <f>+Ingresos!B5</f>
        <v>Precio Camaron</v>
      </c>
      <c r="C7">
        <f>+Ingresos!C5</f>
        <v>2.8901974363379974</v>
      </c>
      <c r="D7">
        <f>+Ingresos!D5</f>
        <v>2.8901974363379974</v>
      </c>
      <c r="E7">
        <f>+Ingresos!E5</f>
        <v>2.8901974363379974</v>
      </c>
      <c r="F7">
        <f>+Ingresos!F5</f>
        <v>2.8901974363379974</v>
      </c>
      <c r="G7">
        <f>+Ingresos!G5</f>
        <v>2.8901974363379974</v>
      </c>
      <c r="I7" s="237"/>
      <c r="J7" t="str">
        <f t="shared" ref="J7:J18" si="1">+B7</f>
        <v>Precio Camaron</v>
      </c>
      <c r="K7">
        <f>+C7*(1+$L$4)</f>
        <v>2.5722757183408178</v>
      </c>
      <c r="L7">
        <f>+D7*(1+$L$4)</f>
        <v>2.5722757183408178</v>
      </c>
      <c r="M7">
        <f>+E7*(1+$L$4)</f>
        <v>2.5722757183408178</v>
      </c>
      <c r="N7">
        <f>+F7*(1+$L$4)</f>
        <v>2.5722757183408178</v>
      </c>
      <c r="O7">
        <f>+G7*(1+$L$4)</f>
        <v>2.5722757183408178</v>
      </c>
    </row>
    <row r="8" spans="2:15">
      <c r="B8" t="str">
        <f>+Ingresos!B6</f>
        <v>Demanda Camaron</v>
      </c>
      <c r="C8">
        <f>+Ingresos!C6</f>
        <v>97768.283859116884</v>
      </c>
      <c r="D8">
        <f>+Ingresos!D6</f>
        <v>100701.33237489035</v>
      </c>
      <c r="E8">
        <f>+Ingresos!E6</f>
        <v>103722.37234613705</v>
      </c>
      <c r="F8">
        <f>+Ingresos!F6</f>
        <v>106834.04351652117</v>
      </c>
      <c r="G8">
        <f>+Ingresos!G6</f>
        <v>110039.06482201684</v>
      </c>
      <c r="I8" s="237"/>
      <c r="J8" t="str">
        <f t="shared" si="1"/>
        <v>Demanda Camaron</v>
      </c>
      <c r="K8">
        <f>+C8</f>
        <v>97768.283859116884</v>
      </c>
      <c r="L8">
        <f>+D8</f>
        <v>100701.33237489035</v>
      </c>
      <c r="M8">
        <f>+E8</f>
        <v>103722.37234613705</v>
      </c>
      <c r="N8">
        <f>+F8</f>
        <v>106834.04351652117</v>
      </c>
      <c r="O8">
        <f>+G8</f>
        <v>110039.06482201684</v>
      </c>
    </row>
    <row r="9" spans="2:15">
      <c r="B9" t="str">
        <f>+Ingresos!B7</f>
        <v>Precio Salmon</v>
      </c>
      <c r="C9">
        <f>+Ingresos!C7</f>
        <v>2.8866054110756751</v>
      </c>
      <c r="D9">
        <f>+Ingresos!D7</f>
        <v>2.8866054110756751</v>
      </c>
      <c r="E9">
        <f>+Ingresos!E7</f>
        <v>2.8866054110756751</v>
      </c>
      <c r="F9">
        <f>+Ingresos!F7</f>
        <v>2.8866054110756751</v>
      </c>
      <c r="G9">
        <f>+Ingresos!G7</f>
        <v>2.8866054110756751</v>
      </c>
      <c r="I9" s="237"/>
      <c r="J9" t="str">
        <f t="shared" si="1"/>
        <v>Precio Salmon</v>
      </c>
      <c r="K9">
        <f>+C9*(1+$L$4)</f>
        <v>2.5690788158573508</v>
      </c>
      <c r="L9">
        <f>+D9*(1+$L$4)</f>
        <v>2.5690788158573508</v>
      </c>
      <c r="M9">
        <f>+E9*(1+$L$4)</f>
        <v>2.5690788158573508</v>
      </c>
      <c r="N9">
        <f>+F9*(1+$L$4)</f>
        <v>2.5690788158573508</v>
      </c>
      <c r="O9">
        <f>+G9*(1+$L$4)</f>
        <v>2.5690788158573508</v>
      </c>
    </row>
    <row r="10" spans="2:15">
      <c r="B10" t="str">
        <f>+Ingresos!B8</f>
        <v>Demanda Salmon</v>
      </c>
      <c r="C10">
        <f>+Ingresos!C8</f>
        <v>65178.855906077915</v>
      </c>
      <c r="D10">
        <f>+Ingresos!D8</f>
        <v>67134.221583260223</v>
      </c>
      <c r="E10">
        <f>+Ingresos!E8</f>
        <v>69148.248230758036</v>
      </c>
      <c r="F10">
        <f>+Ingresos!F8</f>
        <v>71222.695677680778</v>
      </c>
      <c r="G10">
        <f>+Ingresos!G8</f>
        <v>73359.37654801122</v>
      </c>
      <c r="I10" s="237"/>
      <c r="J10" t="str">
        <f t="shared" si="1"/>
        <v>Demanda Salmon</v>
      </c>
      <c r="K10">
        <f>+C10</f>
        <v>65178.855906077915</v>
      </c>
      <c r="L10">
        <f>+D10</f>
        <v>67134.221583260223</v>
      </c>
      <c r="M10">
        <f>+E10</f>
        <v>69148.248230758036</v>
      </c>
      <c r="N10">
        <f>+F10</f>
        <v>71222.695677680778</v>
      </c>
      <c r="O10">
        <f>+G10</f>
        <v>73359.37654801122</v>
      </c>
    </row>
    <row r="11" spans="2:15">
      <c r="B11" t="str">
        <f>+Ingresos!B9</f>
        <v>Precio Trucha</v>
      </c>
      <c r="C11">
        <f>+Ingresos!C9</f>
        <v>2.5433774045137296</v>
      </c>
      <c r="D11">
        <f>+Ingresos!D9</f>
        <v>2.5433774045137296</v>
      </c>
      <c r="E11">
        <f>+Ingresos!E9</f>
        <v>2.5433774045137296</v>
      </c>
      <c r="F11">
        <f>+Ingresos!F9</f>
        <v>2.5433774045137296</v>
      </c>
      <c r="G11">
        <f>+Ingresos!G9</f>
        <v>2.5433774045137296</v>
      </c>
      <c r="I11" s="237"/>
      <c r="J11" t="str">
        <f t="shared" si="1"/>
        <v>Precio Trucha</v>
      </c>
      <c r="K11">
        <f>+C11*(1+$L$4)</f>
        <v>2.2636058900172196</v>
      </c>
      <c r="L11">
        <f>+D11*(1+$L$4)</f>
        <v>2.2636058900172196</v>
      </c>
      <c r="M11">
        <f>+E11*(1+$L$4)</f>
        <v>2.2636058900172196</v>
      </c>
      <c r="N11">
        <f>+F11*(1+$L$4)</f>
        <v>2.2636058900172196</v>
      </c>
      <c r="O11">
        <f>+G11*(1+$L$4)</f>
        <v>2.2636058900172196</v>
      </c>
    </row>
    <row r="12" spans="2:15">
      <c r="B12" t="str">
        <f>+Ingresos!B10</f>
        <v>Demanda Trucha</v>
      </c>
      <c r="C12">
        <f>+Ingresos!C10</f>
        <v>54315.713255064933</v>
      </c>
      <c r="D12">
        <f>+Ingresos!D10</f>
        <v>55945.18465271686</v>
      </c>
      <c r="E12">
        <f>+Ingresos!E10</f>
        <v>57623.540192298366</v>
      </c>
      <c r="F12">
        <f>+Ingresos!F10</f>
        <v>59352.246398067313</v>
      </c>
      <c r="G12">
        <f>+Ingresos!G10</f>
        <v>61132.81379000935</v>
      </c>
      <c r="I12" s="237"/>
      <c r="J12" t="str">
        <f t="shared" si="1"/>
        <v>Demanda Trucha</v>
      </c>
      <c r="K12">
        <f>+C12</f>
        <v>54315.713255064933</v>
      </c>
      <c r="L12">
        <f>+D12</f>
        <v>55945.18465271686</v>
      </c>
      <c r="M12">
        <f>+E12</f>
        <v>57623.540192298366</v>
      </c>
      <c r="N12">
        <f>+F12</f>
        <v>59352.246398067313</v>
      </c>
      <c r="O12">
        <f>+G12</f>
        <v>61132.81379000935</v>
      </c>
    </row>
    <row r="13" spans="2:15">
      <c r="I13" s="237"/>
    </row>
    <row r="14" spans="2:15">
      <c r="B14" t="str">
        <f>+Ingresos!B12</f>
        <v>Ingreso Camaron</v>
      </c>
      <c r="C14">
        <f>+Ingresos!C12</f>
        <v>282569.64336478524</v>
      </c>
      <c r="D14">
        <f>+Ingresos!D12</f>
        <v>291046.73266572866</v>
      </c>
      <c r="E14">
        <f>+Ingresos!E12</f>
        <v>299778.13464570051</v>
      </c>
      <c r="F14">
        <f>+Ingresos!F12</f>
        <v>308771.47868507152</v>
      </c>
      <c r="G14">
        <f>+Ingresos!G12</f>
        <v>318034.62304562377</v>
      </c>
      <c r="I14" s="237"/>
      <c r="J14" t="str">
        <f t="shared" si="1"/>
        <v>Ingreso Camaron</v>
      </c>
      <c r="K14">
        <f>+K7*K8</f>
        <v>251486.98259465885</v>
      </c>
      <c r="L14">
        <f>+L7*L8</f>
        <v>259031.59207249852</v>
      </c>
      <c r="M14">
        <f>+M7*M8</f>
        <v>266802.53983467346</v>
      </c>
      <c r="N14">
        <f>+N7*N8</f>
        <v>274806.61602971365</v>
      </c>
      <c r="O14">
        <f>+O7*O8</f>
        <v>283050.81451060518</v>
      </c>
    </row>
    <row r="15" spans="2:15">
      <c r="B15" t="str">
        <f>+Ingresos!B13</f>
        <v>Ingresos Salmos</v>
      </c>
      <c r="C15">
        <f>+Ingresos!C13</f>
        <v>188145.63814620624</v>
      </c>
      <c r="D15">
        <f>+Ingresos!D13</f>
        <v>193790.00729059233</v>
      </c>
      <c r="E15">
        <f>+Ingresos!E13</f>
        <v>199603.70750931013</v>
      </c>
      <c r="F15">
        <f>+Ingresos!F13</f>
        <v>205591.81873458944</v>
      </c>
      <c r="G15">
        <f>+Ingresos!G13</f>
        <v>211759.57329662718</v>
      </c>
      <c r="I15" s="237"/>
      <c r="J15" t="str">
        <f t="shared" si="1"/>
        <v>Ingresos Salmos</v>
      </c>
      <c r="K15">
        <f>+K9*K10</f>
        <v>167449.61795012353</v>
      </c>
      <c r="L15">
        <f>+L9*L10</f>
        <v>172473.10648862718</v>
      </c>
      <c r="M15">
        <f>+M9*M10</f>
        <v>177647.29968328599</v>
      </c>
      <c r="N15">
        <f>+N9*N10</f>
        <v>182976.71867378458</v>
      </c>
      <c r="O15">
        <f>+O9*O10</f>
        <v>188466.02023399816</v>
      </c>
    </row>
    <row r="16" spans="2:15">
      <c r="B16" t="str">
        <f>+Ingresos!B14</f>
        <v>Ingreso Trucha</v>
      </c>
      <c r="C16">
        <f>+Ingresos!C14</f>
        <v>138145.35780297904</v>
      </c>
      <c r="D16">
        <f>+Ingresos!D14</f>
        <v>142289.71853706834</v>
      </c>
      <c r="E16">
        <f>+Ingresos!E14</f>
        <v>146558.4100931804</v>
      </c>
      <c r="F16">
        <f>+Ingresos!F14</f>
        <v>150955.16239597581</v>
      </c>
      <c r="G16">
        <f>+Ingresos!G14</f>
        <v>155483.81726785511</v>
      </c>
      <c r="I16" s="237"/>
      <c r="J16" t="str">
        <f t="shared" si="1"/>
        <v>Ingreso Trucha</v>
      </c>
      <c r="K16">
        <f>+K11*K12</f>
        <v>122949.36844465135</v>
      </c>
      <c r="L16">
        <f>+L11*L12</f>
        <v>126637.84949799084</v>
      </c>
      <c r="M16">
        <f>+M11*M12</f>
        <v>130436.98498293056</v>
      </c>
      <c r="N16">
        <f>+N11*N12</f>
        <v>134350.09453241847</v>
      </c>
      <c r="O16">
        <f>+O11*O12</f>
        <v>138380.59736839106</v>
      </c>
    </row>
    <row r="17" spans="2:15">
      <c r="I17" s="237"/>
    </row>
    <row r="18" spans="2:15">
      <c r="B18" t="str">
        <f>+Ingresos!B16</f>
        <v>TOTAL INGRESOS</v>
      </c>
      <c r="C18">
        <f>+Ingresos!C16</f>
        <v>608860.63931397058</v>
      </c>
      <c r="D18">
        <f>+Ingresos!D16</f>
        <v>627126.45849338931</v>
      </c>
      <c r="E18">
        <f>+Ingresos!E16</f>
        <v>645940.25224819104</v>
      </c>
      <c r="F18">
        <f>+Ingresos!F16</f>
        <v>665318.45981563674</v>
      </c>
      <c r="G18">
        <f>+Ingresos!G16</f>
        <v>685278.01361010596</v>
      </c>
      <c r="I18" s="237"/>
      <c r="J18" t="str">
        <f t="shared" si="1"/>
        <v>TOTAL INGRESOS</v>
      </c>
      <c r="K18">
        <f>+SUM(K14:K16)</f>
        <v>541885.96898943372</v>
      </c>
      <c r="L18">
        <f>+SUM(L14:L16)</f>
        <v>558142.54805911647</v>
      </c>
      <c r="M18">
        <f>+SUM(M14:M16)</f>
        <v>574886.82450088998</v>
      </c>
      <c r="N18">
        <f>+SUM(N14:N16)</f>
        <v>592133.4292359167</v>
      </c>
      <c r="O18">
        <f>+SUM(O14:O16)</f>
        <v>609897.43211299437</v>
      </c>
    </row>
    <row r="19" spans="2:15">
      <c r="I19" s="237"/>
    </row>
    <row r="20" spans="2:15">
      <c r="I20" s="237"/>
    </row>
    <row r="21" spans="2:15" ht="13.5" thickBot="1">
      <c r="I21" s="237"/>
    </row>
    <row r="22" spans="2:15">
      <c r="E22" s="38" t="str">
        <f>+'flujo Cja Acc'!B6</f>
        <v>Detalle</v>
      </c>
      <c r="F22" s="39" t="str">
        <f>+'flujo Cja Acc'!C6</f>
        <v>Año 0</v>
      </c>
      <c r="G22" s="39" t="str">
        <f>+'flujo Cja Acc'!D6</f>
        <v>Año 1</v>
      </c>
      <c r="H22" s="39" t="str">
        <f>+'flujo Cja Acc'!E6</f>
        <v>Año 2</v>
      </c>
      <c r="I22" s="39" t="str">
        <f>+'flujo Cja Acc'!F6</f>
        <v>Año 3</v>
      </c>
      <c r="J22" s="39" t="str">
        <f>+'flujo Cja Acc'!G6</f>
        <v>Año 4</v>
      </c>
      <c r="K22" s="113" t="str">
        <f>+'flujo Cja Acc'!H6</f>
        <v>Año 5</v>
      </c>
    </row>
    <row r="23" spans="2:15">
      <c r="E23" s="72" t="str">
        <f>+'flujo Cja Acc'!B7</f>
        <v>Ingresos</v>
      </c>
      <c r="F23" s="8"/>
      <c r="G23" s="8">
        <f>+K18</f>
        <v>541885.96898943372</v>
      </c>
      <c r="H23" s="8">
        <f>+L18</f>
        <v>558142.54805911647</v>
      </c>
      <c r="I23" s="8">
        <f>+M18</f>
        <v>574886.82450088998</v>
      </c>
      <c r="J23" s="8">
        <f>+N18</f>
        <v>592133.4292359167</v>
      </c>
      <c r="K23" s="8">
        <f>+O18</f>
        <v>609897.43211299437</v>
      </c>
    </row>
    <row r="24" spans="2:15">
      <c r="E24" s="72" t="str">
        <f>+'flujo Cja Acc'!B8</f>
        <v>Egresos</v>
      </c>
      <c r="F24" s="8"/>
      <c r="G24" s="57">
        <f>+G25+G26</f>
        <v>571256.89766382275</v>
      </c>
      <c r="H24" s="8">
        <f>+H25+H26</f>
        <v>582136.60459373752</v>
      </c>
      <c r="I24" s="8">
        <f>+I25+I26</f>
        <v>593342.70273154951</v>
      </c>
      <c r="J24" s="8">
        <f>+J25+J26</f>
        <v>604884.98381349607</v>
      </c>
      <c r="K24" s="8">
        <f>+K25+K26</f>
        <v>616773.53332790104</v>
      </c>
    </row>
    <row r="25" spans="2:15">
      <c r="B25" s="370"/>
      <c r="C25" s="370"/>
      <c r="D25" s="370"/>
      <c r="E25" s="72" t="str">
        <f>+'flujo Cja Acc'!B9</f>
        <v>Costos de Venta</v>
      </c>
      <c r="F25" s="8"/>
      <c r="G25" s="57">
        <f>+'Flujo de caja proyec'!D9</f>
        <v>362656.89766382275</v>
      </c>
      <c r="H25" s="8">
        <f>+'flujo Cja Acc'!E9</f>
        <v>373536.60459373746</v>
      </c>
      <c r="I25" s="8">
        <f>+'flujo Cja Acc'!F9</f>
        <v>384742.70273154957</v>
      </c>
      <c r="J25" s="8">
        <f>+'flujo Cja Acc'!G9</f>
        <v>396284.98381349607</v>
      </c>
      <c r="K25" s="8">
        <f>+'flujo Cja Acc'!H9</f>
        <v>408173.53332790098</v>
      </c>
    </row>
    <row r="26" spans="2:15">
      <c r="B26" s="237"/>
      <c r="C26" s="120"/>
      <c r="D26" s="493"/>
      <c r="E26" s="72" t="str">
        <f>+'flujo Cja Acc'!B10</f>
        <v>Coste de Fabricación</v>
      </c>
      <c r="F26" s="8"/>
      <c r="G26" s="57">
        <f>+SUM(G27:G29)</f>
        <v>208600</v>
      </c>
      <c r="H26" s="57">
        <f>+SUM(H27:H29)</f>
        <v>208600</v>
      </c>
      <c r="I26" s="57">
        <f>+SUM(I27:I29)</f>
        <v>208600</v>
      </c>
      <c r="J26" s="57">
        <f>+SUM(J27:J29)</f>
        <v>208600</v>
      </c>
      <c r="K26" s="57">
        <f>+SUM(K27:K29)</f>
        <v>208600</v>
      </c>
    </row>
    <row r="27" spans="2:15">
      <c r="B27" s="237"/>
      <c r="C27" s="120"/>
      <c r="D27" s="493"/>
      <c r="E27" s="72" t="str">
        <f>+'flujo Cja Acc'!B11</f>
        <v>Gastos de servicio</v>
      </c>
      <c r="F27" s="8"/>
      <c r="G27" s="57">
        <f>+'Flujo de caja proyec'!D12</f>
        <v>41400</v>
      </c>
      <c r="H27" s="57">
        <f>+'Flujo de caja proyec'!E12</f>
        <v>41400</v>
      </c>
      <c r="I27" s="57">
        <f>+'Flujo de caja proyec'!F12</f>
        <v>41400</v>
      </c>
      <c r="J27" s="57">
        <f>+'Flujo de caja proyec'!G12</f>
        <v>41400</v>
      </c>
      <c r="K27" s="57">
        <f>+'Flujo de caja proyec'!H12</f>
        <v>41400</v>
      </c>
    </row>
    <row r="28" spans="2:15">
      <c r="B28" s="315"/>
      <c r="C28" s="315"/>
      <c r="D28" s="330"/>
      <c r="E28" s="72" t="str">
        <f>+'flujo Cja Acc'!B12</f>
        <v>Gasto Administrativo</v>
      </c>
      <c r="F28" s="8"/>
      <c r="G28" s="57">
        <f>+'Flujo de caja proyec'!D11</f>
        <v>43200</v>
      </c>
      <c r="H28" s="57">
        <f>+'Flujo de caja proyec'!E11</f>
        <v>43200</v>
      </c>
      <c r="I28" s="57">
        <f>+'Flujo de caja proyec'!F11</f>
        <v>43200</v>
      </c>
      <c r="J28" s="57">
        <f>+'Flujo de caja proyec'!G11</f>
        <v>43200</v>
      </c>
      <c r="K28" s="57">
        <f>+'Flujo de caja proyec'!H11</f>
        <v>43200</v>
      </c>
    </row>
    <row r="29" spans="2:15">
      <c r="B29" s="237"/>
      <c r="C29" s="237"/>
      <c r="D29" s="493"/>
      <c r="E29" s="72" t="str">
        <f>+'flujo Cja Acc'!B13</f>
        <v>Gasto de Venta y Publicidad</v>
      </c>
      <c r="F29" s="8"/>
      <c r="G29" s="57">
        <f>+'Flujo de caja proyec'!D13</f>
        <v>124000</v>
      </c>
      <c r="H29" s="57">
        <f>+'Flujo de caja proyec'!E13</f>
        <v>124000</v>
      </c>
      <c r="I29" s="57">
        <f>+'Flujo de caja proyec'!F13</f>
        <v>124000</v>
      </c>
      <c r="J29" s="57">
        <f>+'Flujo de caja proyec'!G13</f>
        <v>124000</v>
      </c>
      <c r="K29" s="57">
        <f>+'Flujo de caja proyec'!H13</f>
        <v>124000</v>
      </c>
    </row>
    <row r="30" spans="2:15">
      <c r="B30" s="120"/>
      <c r="C30" s="120"/>
      <c r="D30" s="327"/>
      <c r="E30" s="72" t="str">
        <f>+'flujo Cja Acc'!B14</f>
        <v>Flujo Operacional</v>
      </c>
      <c r="F30" s="8"/>
      <c r="G30" s="57">
        <f>+G23-G24</f>
        <v>-29370.928674389026</v>
      </c>
      <c r="H30" s="57">
        <f>+H23-H24</f>
        <v>-23994.05653462105</v>
      </c>
      <c r="I30" s="57">
        <f>+I23-I24</f>
        <v>-18455.878230659524</v>
      </c>
      <c r="J30" s="57">
        <f>+J23-J24</f>
        <v>-12751.554577579373</v>
      </c>
      <c r="K30" s="57">
        <f>+K23-K24</f>
        <v>-6876.1012149066664</v>
      </c>
    </row>
    <row r="31" spans="2:15">
      <c r="B31" s="315"/>
      <c r="C31" s="120"/>
      <c r="D31" s="327"/>
      <c r="E31" s="72" t="str">
        <f>+'flujo Cja Acc'!B15</f>
        <v>Amortización Intangible</v>
      </c>
      <c r="F31" s="8"/>
      <c r="G31" s="57">
        <f>+'Flujo de caja proyec'!D15</f>
        <v>3530.6</v>
      </c>
      <c r="H31" s="57">
        <f>+'Flujo de caja proyec'!E15</f>
        <v>3530.6</v>
      </c>
      <c r="I31" s="57">
        <f>+'Flujo de caja proyec'!F15</f>
        <v>3530.6</v>
      </c>
      <c r="J31" s="57">
        <f>+'Flujo de caja proyec'!G15</f>
        <v>3530.6</v>
      </c>
      <c r="K31" s="57">
        <f>+'Flujo de caja proyec'!H15</f>
        <v>3530.6</v>
      </c>
    </row>
    <row r="32" spans="2:15">
      <c r="B32" s="120"/>
      <c r="C32" s="120"/>
      <c r="D32" s="120"/>
      <c r="E32" s="72" t="str">
        <f>+'flujo Cja Acc'!B16</f>
        <v>Depreciación</v>
      </c>
      <c r="F32" s="8"/>
      <c r="G32" s="57">
        <f>+'Flujo de caja proyec'!D16</f>
        <v>7388.0499999999993</v>
      </c>
      <c r="H32" s="57">
        <f>+'Flujo de caja proyec'!E16</f>
        <v>7388.0499999999993</v>
      </c>
      <c r="I32" s="57">
        <f>+'Flujo de caja proyec'!F16</f>
        <v>7388.0499999999993</v>
      </c>
      <c r="J32" s="57">
        <f>+'Flujo de caja proyec'!G16</f>
        <v>7388.0499999999993</v>
      </c>
      <c r="K32" s="57">
        <f>+'Flujo de caja proyec'!H16</f>
        <v>7388.0499999999993</v>
      </c>
    </row>
    <row r="33" spans="2:11">
      <c r="B33" s="237"/>
      <c r="C33" s="120"/>
      <c r="D33" s="493"/>
      <c r="E33" s="72" t="str">
        <f>+'flujo Cja Acc'!B19</f>
        <v>Utilidad antes de Impuesto</v>
      </c>
      <c r="F33" s="8"/>
      <c r="G33" s="57">
        <f>+G30-G31-G32</f>
        <v>-40289.57867438902</v>
      </c>
      <c r="H33" s="57">
        <f>+H30-H31-H32</f>
        <v>-34912.706534621044</v>
      </c>
      <c r="I33" s="57">
        <f>+I30-I31-I32</f>
        <v>-29374.528230659522</v>
      </c>
      <c r="J33" s="57">
        <f>+J30-J31-J32</f>
        <v>-23670.204577579374</v>
      </c>
      <c r="K33" s="57">
        <f>+K30-K31-K32</f>
        <v>-17794.751214906668</v>
      </c>
    </row>
    <row r="34" spans="2:11">
      <c r="B34" s="315"/>
      <c r="C34" s="120"/>
      <c r="D34" s="327"/>
      <c r="E34" s="72" t="str">
        <f>+'flujo Cja Acc'!B20</f>
        <v>25% Impuesto a la Renta</v>
      </c>
      <c r="F34" s="8"/>
      <c r="G34" s="57">
        <f>+G33*0.25</f>
        <v>-10072.394668597255</v>
      </c>
      <c r="H34" s="57">
        <f>+H33*0.25</f>
        <v>-8728.176633655261</v>
      </c>
      <c r="I34" s="57">
        <f>+I33*0.25</f>
        <v>-7343.6320576648804</v>
      </c>
      <c r="J34" s="57">
        <f>+J33*0.25</f>
        <v>-5917.5511443948435</v>
      </c>
      <c r="K34" s="57">
        <f>+K33*0.25</f>
        <v>-4448.687803726667</v>
      </c>
    </row>
    <row r="35" spans="2:11">
      <c r="B35" s="315"/>
      <c r="C35" s="120"/>
      <c r="D35" s="327"/>
      <c r="E35" s="72" t="str">
        <f>+'flujo Cja Acc'!B21</f>
        <v>15% Participación de Trabajadores</v>
      </c>
      <c r="F35" s="8"/>
      <c r="G35" s="57">
        <f>+G33*0.15</f>
        <v>-6043.4368011583529</v>
      </c>
      <c r="H35" s="57">
        <f>+H33*0.15</f>
        <v>-5236.9059801931562</v>
      </c>
      <c r="I35" s="57">
        <f>+I33*0.15</f>
        <v>-4406.1792345989279</v>
      </c>
      <c r="J35" s="57">
        <f>+J33*0.15</f>
        <v>-3550.530686636906</v>
      </c>
      <c r="K35" s="57">
        <f>+K33*0.15</f>
        <v>-2669.2126822360001</v>
      </c>
    </row>
    <row r="36" spans="2:11">
      <c r="B36" s="315"/>
      <c r="C36" s="120"/>
      <c r="D36" s="493"/>
      <c r="E36" s="72" t="str">
        <f>+'flujo Cja Acc'!B22</f>
        <v>Utilidad Neta</v>
      </c>
      <c r="F36" s="8"/>
      <c r="G36" s="57">
        <f>+G33-G34-G35</f>
        <v>-24173.747204633411</v>
      </c>
      <c r="H36" s="57">
        <f>+H33-H34-H35</f>
        <v>-20947.623920772625</v>
      </c>
      <c r="I36" s="57">
        <f>+I33-I34-I35</f>
        <v>-17624.716938395715</v>
      </c>
      <c r="J36" s="57">
        <f>+J33-J34-J35</f>
        <v>-14202.122746547626</v>
      </c>
      <c r="K36" s="57">
        <f>+K33-K34-K35</f>
        <v>-10676.850728944</v>
      </c>
    </row>
    <row r="37" spans="2:11">
      <c r="B37" s="315"/>
      <c r="C37" s="120"/>
      <c r="D37" s="120"/>
      <c r="E37" s="72" t="str">
        <f>+'flujo Cja Acc'!B23</f>
        <v>Depreciación y Amortización Intangible</v>
      </c>
      <c r="F37" s="8"/>
      <c r="G37" s="57">
        <f>+'Flujo de caja proyec'!D21</f>
        <v>10918.65</v>
      </c>
      <c r="H37" s="57">
        <f>+'Flujo de caja proyec'!E21</f>
        <v>10918.65</v>
      </c>
      <c r="I37" s="57">
        <f>+'Flujo de caja proyec'!F21</f>
        <v>10918.65</v>
      </c>
      <c r="J37" s="57">
        <f>+'Flujo de caja proyec'!G21</f>
        <v>10918.65</v>
      </c>
      <c r="K37" s="57">
        <f>+'Flujo de caja proyec'!H21</f>
        <v>10918.65</v>
      </c>
    </row>
    <row r="38" spans="2:11">
      <c r="B38" s="315"/>
      <c r="C38" s="120"/>
      <c r="D38" s="120"/>
      <c r="E38" s="72" t="str">
        <f>+'flujo Cja Acc'!B26</f>
        <v>Inversión Inicial</v>
      </c>
      <c r="F38" s="8">
        <f>+'flujo Cja Acc'!C26</f>
        <v>-62069.52</v>
      </c>
      <c r="G38" s="8"/>
      <c r="H38" s="8"/>
      <c r="I38" s="8"/>
      <c r="J38" s="8"/>
      <c r="K38" s="25"/>
    </row>
    <row r="39" spans="2:11">
      <c r="B39" s="315"/>
      <c r="C39" s="120"/>
      <c r="D39" s="493"/>
      <c r="E39" s="258" t="s">
        <v>609</v>
      </c>
      <c r="F39" s="8"/>
      <c r="G39" s="8"/>
      <c r="H39" s="8"/>
      <c r="I39" s="8"/>
      <c r="J39" s="8"/>
      <c r="K39" s="412">
        <f>+'Flujo de caja proyec'!H23</f>
        <v>15344.25</v>
      </c>
    </row>
    <row r="40" spans="2:11">
      <c r="B40" s="315"/>
      <c r="C40" s="120"/>
      <c r="D40" s="327"/>
      <c r="E40" s="258" t="s">
        <v>141</v>
      </c>
      <c r="F40" s="57">
        <f>+'Flujo de caja proyec'!C24</f>
        <v>-23380.54758680231</v>
      </c>
      <c r="G40" s="8"/>
      <c r="H40" s="8"/>
      <c r="I40" s="8"/>
      <c r="J40" s="8"/>
      <c r="K40" s="25"/>
    </row>
    <row r="41" spans="2:11">
      <c r="B41" s="315"/>
      <c r="C41" s="327"/>
      <c r="D41" s="120"/>
      <c r="E41" s="258" t="s">
        <v>643</v>
      </c>
      <c r="F41" s="8"/>
      <c r="G41" s="8"/>
      <c r="H41" s="8"/>
      <c r="I41" s="8"/>
      <c r="J41" s="8"/>
      <c r="K41" s="490">
        <f>-F40</f>
        <v>23380.54758680231</v>
      </c>
    </row>
    <row r="42" spans="2:11" ht="13.5" thickBot="1">
      <c r="B42" s="315"/>
      <c r="C42" s="120"/>
      <c r="D42" s="120"/>
      <c r="E42" s="491" t="s">
        <v>650</v>
      </c>
      <c r="F42" s="492">
        <f>+SUM(F38:F41)</f>
        <v>-85450.06758680231</v>
      </c>
      <c r="G42" s="492">
        <f>+SUM(G36:G37)</f>
        <v>-13255.097204633412</v>
      </c>
      <c r="H42" s="492">
        <f>+SUM(H36:H37)</f>
        <v>-10028.973920772625</v>
      </c>
      <c r="I42" s="492">
        <f>+SUM(I36:I37)</f>
        <v>-6706.0669383957156</v>
      </c>
      <c r="J42" s="492">
        <f>+SUM(J36:J37)</f>
        <v>-3283.4727465476262</v>
      </c>
      <c r="K42" s="492">
        <f>+SUM(K36:K41)</f>
        <v>38966.596857858312</v>
      </c>
    </row>
    <row r="43" spans="2:11">
      <c r="B43" s="315"/>
      <c r="C43" s="327"/>
      <c r="D43" s="120"/>
      <c r="E43" s="443" t="s">
        <v>651</v>
      </c>
      <c r="F43" s="489">
        <f>+'Flujo de caja proyec'!C27</f>
        <v>9.3482427648409319E-2</v>
      </c>
    </row>
    <row r="44" spans="2:11">
      <c r="B44" s="315"/>
      <c r="C44" s="120"/>
      <c r="D44" s="120"/>
      <c r="E44" s="67" t="s">
        <v>646</v>
      </c>
      <c r="F44" s="471" t="e">
        <f>IRR(F42:K42)</f>
        <v>#NUM!</v>
      </c>
      <c r="G44" s="311" t="e">
        <f>IRR(F42:K42)</f>
        <v>#NUM!</v>
      </c>
    </row>
    <row r="45" spans="2:11">
      <c r="B45" s="315"/>
      <c r="C45" s="327"/>
      <c r="D45" s="327"/>
      <c r="E45" s="9" t="s">
        <v>647</v>
      </c>
      <c r="F45" s="434">
        <f>NPV(F43,G42:K42)+F42</f>
        <v>-88460.186684353845</v>
      </c>
    </row>
    <row r="46" spans="2:11">
      <c r="B46" s="237"/>
      <c r="C46" s="494"/>
      <c r="D46" s="120"/>
    </row>
    <row r="47" spans="2:11" ht="13.5" thickBot="1">
      <c r="B47" s="237"/>
      <c r="C47" s="495"/>
      <c r="D47" s="120"/>
      <c r="E47" s="120"/>
      <c r="F47" s="120"/>
      <c r="G47" s="120"/>
      <c r="H47" s="120"/>
    </row>
    <row r="48" spans="2:11">
      <c r="B48" s="237"/>
      <c r="C48" s="496"/>
      <c r="D48" s="120"/>
      <c r="E48" s="499" t="s">
        <v>734</v>
      </c>
      <c r="F48" s="500" t="s">
        <v>647</v>
      </c>
      <c r="G48" s="500" t="s">
        <v>646</v>
      </c>
      <c r="H48" s="334" t="s">
        <v>735</v>
      </c>
    </row>
    <row r="49" spans="2:8">
      <c r="B49" s="120"/>
      <c r="C49" s="120"/>
      <c r="D49" s="120"/>
      <c r="E49" s="501">
        <v>0.05</v>
      </c>
      <c r="F49" s="29">
        <v>149525.29999999999</v>
      </c>
      <c r="G49" s="503">
        <v>0.56200000000000006</v>
      </c>
      <c r="H49" s="36" t="str">
        <f>+IF(G49&gt;$F$43,"FACTIBLE LA INVERSION", "NO FACTIBLE")</f>
        <v>FACTIBLE LA INVERSION</v>
      </c>
    </row>
    <row r="50" spans="2:8">
      <c r="B50" s="120"/>
      <c r="C50" s="120"/>
      <c r="D50" s="120"/>
      <c r="E50" s="390">
        <v>0</v>
      </c>
      <c r="F50" s="29">
        <v>75154.83</v>
      </c>
      <c r="G50" s="514">
        <v>0.33500000000000002</v>
      </c>
      <c r="H50" s="36" t="str">
        <f t="shared" ref="H50:H55" si="2">+IF(G50&gt;$F$43,"FACTIBLE LA INVERSION", "NO FACTIBLE")</f>
        <v>FACTIBLE LA INVERSION</v>
      </c>
    </row>
    <row r="51" spans="2:8">
      <c r="B51" s="120"/>
      <c r="C51" s="120"/>
      <c r="D51" s="120"/>
      <c r="E51" s="390">
        <v>-2</v>
      </c>
      <c r="F51" s="29">
        <v>45406.65</v>
      </c>
      <c r="G51" s="514">
        <v>0.24199999999999999</v>
      </c>
      <c r="H51" s="36" t="str">
        <f t="shared" si="2"/>
        <v>FACTIBLE LA INVERSION</v>
      </c>
    </row>
    <row r="52" spans="2:8">
      <c r="B52" s="120"/>
      <c r="C52" s="120"/>
      <c r="D52" s="120"/>
      <c r="E52" s="501">
        <v>-0.05</v>
      </c>
      <c r="F52" s="29">
        <v>784.37</v>
      </c>
      <c r="G52" s="503">
        <v>9.6000000000000002E-2</v>
      </c>
      <c r="H52" s="36" t="str">
        <f t="shared" si="2"/>
        <v>FACTIBLE LA INVERSION</v>
      </c>
    </row>
    <row r="53" spans="2:8">
      <c r="B53" s="120"/>
      <c r="C53" s="120"/>
      <c r="D53" s="120"/>
      <c r="E53" s="501">
        <v>-0.1</v>
      </c>
      <c r="F53" s="29">
        <v>73586.09</v>
      </c>
      <c r="G53" s="29">
        <v>-17</v>
      </c>
      <c r="H53" s="36" t="str">
        <f t="shared" si="2"/>
        <v>NO FACTIBLE</v>
      </c>
    </row>
    <row r="54" spans="2:8">
      <c r="B54" s="120"/>
      <c r="C54" s="120"/>
      <c r="D54" s="120"/>
      <c r="E54" s="501">
        <v>-0.15</v>
      </c>
      <c r="F54" s="29">
        <v>147956.56</v>
      </c>
      <c r="G54" s="29"/>
      <c r="H54" s="36" t="str">
        <f t="shared" si="2"/>
        <v>NO FACTIBLE</v>
      </c>
    </row>
    <row r="55" spans="2:8" ht="13.5" thickBot="1">
      <c r="B55" s="120"/>
      <c r="C55" s="120"/>
      <c r="D55" s="120"/>
      <c r="E55" s="502">
        <v>-0.2</v>
      </c>
      <c r="F55" s="37">
        <v>222327.02</v>
      </c>
      <c r="G55" s="37"/>
      <c r="H55" s="36" t="str">
        <f t="shared" si="2"/>
        <v>NO FACTIBLE</v>
      </c>
    </row>
    <row r="56" spans="2:8">
      <c r="B56" s="120"/>
      <c r="C56" s="120"/>
      <c r="D56" s="120"/>
      <c r="E56" s="120"/>
      <c r="F56" s="120"/>
      <c r="G56" s="120"/>
      <c r="H56" s="120"/>
    </row>
    <row r="57" spans="2:8">
      <c r="B57" s="120"/>
      <c r="C57" s="120"/>
      <c r="D57" s="120"/>
      <c r="E57" s="120"/>
      <c r="F57" s="120"/>
      <c r="G57" s="120"/>
      <c r="H57" s="120"/>
    </row>
    <row r="58" spans="2:8">
      <c r="B58" s="120"/>
      <c r="C58" s="120"/>
      <c r="D58" s="120"/>
      <c r="E58" s="120"/>
      <c r="F58" s="120"/>
      <c r="G58" s="120"/>
      <c r="H58" s="120"/>
    </row>
    <row r="59" spans="2:8">
      <c r="B59" s="120"/>
      <c r="C59" s="120"/>
      <c r="D59" s="120"/>
      <c r="E59" s="120"/>
      <c r="F59" s="120"/>
      <c r="G59" s="120"/>
      <c r="H59" s="120"/>
    </row>
    <row r="60" spans="2:8">
      <c r="B60" s="120"/>
      <c r="C60" s="120"/>
      <c r="D60" s="120"/>
      <c r="E60" s="120"/>
      <c r="F60" s="120"/>
      <c r="G60" s="120"/>
      <c r="H60" s="120"/>
    </row>
    <row r="61" spans="2:8">
      <c r="B61" s="120"/>
      <c r="C61" s="120"/>
      <c r="D61" s="120"/>
      <c r="E61" s="120"/>
      <c r="F61" s="120"/>
      <c r="G61" s="120"/>
      <c r="H61" s="120"/>
    </row>
    <row r="62" spans="2:8">
      <c r="B62" s="120"/>
      <c r="C62" s="120"/>
      <c r="D62" s="120"/>
      <c r="E62" s="120"/>
      <c r="F62" s="120"/>
      <c r="G62" s="120"/>
      <c r="H62" s="120"/>
    </row>
    <row r="63" spans="2:8">
      <c r="B63" s="120"/>
      <c r="C63" s="120"/>
      <c r="D63" s="120"/>
      <c r="E63" s="120"/>
      <c r="F63" s="120"/>
      <c r="G63" s="120"/>
      <c r="H63" s="120"/>
    </row>
    <row r="64" spans="2:8">
      <c r="B64" s="120"/>
      <c r="C64" s="120"/>
      <c r="D64" s="120"/>
      <c r="E64" s="120"/>
      <c r="F64" s="120"/>
      <c r="G64" s="120"/>
      <c r="H64" s="120"/>
    </row>
    <row r="65" spans="2:8">
      <c r="B65" s="120"/>
      <c r="C65" s="120"/>
      <c r="D65" s="120"/>
      <c r="E65" s="120"/>
      <c r="F65" s="120"/>
      <c r="G65" s="120"/>
      <c r="H65" s="120"/>
    </row>
    <row r="66" spans="2:8">
      <c r="B66" s="120"/>
      <c r="C66" s="120"/>
      <c r="D66" s="120"/>
      <c r="E66" s="120"/>
      <c r="F66" s="120"/>
      <c r="G66" s="120"/>
      <c r="H66" s="120"/>
    </row>
    <row r="67" spans="2:8">
      <c r="B67" s="120"/>
      <c r="C67" s="120"/>
      <c r="D67" s="120"/>
      <c r="E67" s="120"/>
      <c r="F67" s="120"/>
      <c r="G67" s="120"/>
      <c r="H67" s="120"/>
    </row>
    <row r="68" spans="2:8">
      <c r="B68" s="120"/>
      <c r="C68" s="120"/>
      <c r="D68" s="120"/>
      <c r="E68" s="120"/>
      <c r="F68" s="120"/>
      <c r="G68" s="120"/>
      <c r="H68" s="120"/>
    </row>
    <row r="69" spans="2:8">
      <c r="B69" s="120"/>
      <c r="C69" s="120"/>
      <c r="D69" s="120"/>
      <c r="E69" s="120"/>
      <c r="F69" s="120"/>
      <c r="G69" s="120"/>
      <c r="H69" s="120"/>
    </row>
    <row r="70" spans="2:8">
      <c r="B70" s="120"/>
      <c r="C70" s="120"/>
      <c r="D70" s="120"/>
      <c r="E70" s="120"/>
      <c r="F70" s="120"/>
      <c r="G70" s="120"/>
      <c r="H70" s="120"/>
    </row>
    <row r="71" spans="2:8">
      <c r="B71" s="120"/>
      <c r="C71" s="120"/>
      <c r="D71" s="120"/>
      <c r="E71" s="120"/>
      <c r="F71" s="120"/>
      <c r="G71" s="120"/>
      <c r="H71" s="120"/>
    </row>
    <row r="72" spans="2:8">
      <c r="B72" s="120"/>
      <c r="C72" s="120"/>
      <c r="D72" s="120"/>
      <c r="E72" s="120"/>
      <c r="F72" s="120"/>
      <c r="G72" s="120"/>
      <c r="H72" s="120"/>
    </row>
    <row r="73" spans="2:8">
      <c r="B73" s="120"/>
      <c r="C73" s="120"/>
      <c r="D73" s="120"/>
      <c r="E73" s="120"/>
      <c r="F73" s="120"/>
      <c r="G73" s="120"/>
      <c r="H73" s="120"/>
    </row>
    <row r="74" spans="2:8">
      <c r="B74" s="120"/>
      <c r="C74" s="120"/>
      <c r="D74" s="120"/>
      <c r="E74" s="120"/>
      <c r="F74" s="120"/>
      <c r="G74" s="120"/>
      <c r="H74" s="120"/>
    </row>
    <row r="75" spans="2:8">
      <c r="B75" s="120"/>
      <c r="C75" s="120"/>
      <c r="D75" s="120"/>
      <c r="E75" s="120"/>
      <c r="F75" s="120"/>
      <c r="G75" s="120"/>
      <c r="H75" s="120"/>
    </row>
    <row r="76" spans="2:8">
      <c r="B76" s="120"/>
      <c r="C76" s="120"/>
      <c r="D76" s="120"/>
      <c r="E76" s="120"/>
      <c r="F76" s="120"/>
      <c r="G76" s="120"/>
      <c r="H76" s="120"/>
    </row>
    <row r="77" spans="2:8">
      <c r="B77" s="120"/>
      <c r="C77" s="120"/>
      <c r="D77" s="120"/>
      <c r="E77" s="120"/>
      <c r="F77" s="120"/>
      <c r="G77" s="120"/>
      <c r="H77" s="120"/>
    </row>
    <row r="78" spans="2:8">
      <c r="B78" s="120"/>
      <c r="C78" s="120"/>
      <c r="D78" s="120"/>
      <c r="E78" s="120"/>
      <c r="F78" s="120"/>
      <c r="G78" s="120"/>
      <c r="H78" s="120"/>
    </row>
    <row r="79" spans="2:8">
      <c r="B79" s="120"/>
      <c r="C79" s="120"/>
      <c r="D79" s="120"/>
      <c r="E79" s="120"/>
      <c r="F79" s="120"/>
      <c r="G79" s="120"/>
      <c r="H79" s="120"/>
    </row>
    <row r="80" spans="2:8">
      <c r="B80" s="120"/>
      <c r="C80" s="120"/>
      <c r="D80" s="120"/>
      <c r="E80" s="120"/>
      <c r="F80" s="120"/>
      <c r="G80" s="120"/>
      <c r="H80" s="120"/>
    </row>
    <row r="81" spans="2:8">
      <c r="B81" s="120"/>
      <c r="C81" s="120"/>
      <c r="D81" s="120"/>
      <c r="E81" s="120"/>
      <c r="F81" s="120"/>
      <c r="G81" s="120"/>
      <c r="H81" s="120"/>
    </row>
    <row r="82" spans="2:8">
      <c r="B82" s="120"/>
      <c r="C82" s="120"/>
      <c r="D82" s="120"/>
      <c r="E82" s="120"/>
      <c r="F82" s="120"/>
      <c r="G82" s="120"/>
      <c r="H82" s="120"/>
    </row>
    <row r="83" spans="2:8">
      <c r="B83" s="120"/>
      <c r="C83" s="120"/>
      <c r="D83" s="120"/>
      <c r="E83" s="120"/>
      <c r="F83" s="120"/>
      <c r="G83" s="120"/>
      <c r="H83" s="120"/>
    </row>
    <row r="84" spans="2:8">
      <c r="B84" s="120"/>
      <c r="C84" s="120"/>
      <c r="D84" s="120"/>
      <c r="E84" s="120"/>
      <c r="F84" s="120"/>
      <c r="G84" s="120"/>
      <c r="H84" s="120"/>
    </row>
  </sheetData>
  <mergeCells count="4">
    <mergeCell ref="B3:G3"/>
    <mergeCell ref="B4:H4"/>
    <mergeCell ref="B5:G5"/>
    <mergeCell ref="J5:O5"/>
  </mergeCells>
  <phoneticPr fontId="65" type="noConversion"/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4"/>
  <sheetViews>
    <sheetView workbookViewId="0">
      <selection activeCell="F24" sqref="F24"/>
    </sheetView>
  </sheetViews>
  <sheetFormatPr baseColWidth="10" defaultRowHeight="12.75"/>
  <cols>
    <col min="2" max="2" width="4.7109375" customWidth="1"/>
    <col min="3" max="3" width="41.7109375" customWidth="1"/>
    <col min="5" max="5" width="11.5703125" bestFit="1" customWidth="1"/>
  </cols>
  <sheetData>
    <row r="3" spans="1:18" ht="15.75">
      <c r="C3" s="519" t="s">
        <v>703</v>
      </c>
      <c r="D3" s="519"/>
      <c r="E3" s="519"/>
      <c r="F3" s="519"/>
      <c r="G3" s="519"/>
      <c r="H3" s="519"/>
      <c r="I3" s="519"/>
      <c r="J3" s="519"/>
      <c r="K3" s="461"/>
      <c r="L3" s="461"/>
      <c r="M3" s="461"/>
      <c r="N3" s="461"/>
    </row>
    <row r="4" spans="1:18">
      <c r="B4" s="18"/>
      <c r="C4" s="3" t="s">
        <v>700</v>
      </c>
      <c r="I4" s="3" t="s">
        <v>701</v>
      </c>
      <c r="J4" s="3"/>
      <c r="Q4" s="3" t="s">
        <v>702</v>
      </c>
      <c r="R4" s="3"/>
    </row>
    <row r="7" spans="1:18" ht="16.5">
      <c r="A7" s="2"/>
    </row>
    <row r="8" spans="1:18" ht="16.5">
      <c r="A8" s="1"/>
      <c r="C8" t="s">
        <v>699</v>
      </c>
      <c r="D8" s="101">
        <f>+Costos!C68</f>
        <v>2.8901974363379974</v>
      </c>
      <c r="I8" t="s">
        <v>699</v>
      </c>
      <c r="J8" s="101">
        <f>+Costos!F68</f>
        <v>2.8866054110756751</v>
      </c>
      <c r="K8" s="101"/>
      <c r="L8" s="101"/>
      <c r="M8" s="101"/>
      <c r="N8" s="101"/>
      <c r="P8" t="s">
        <v>699</v>
      </c>
      <c r="Q8" s="101">
        <f>+Costos!J68</f>
        <v>2.5433774045137296</v>
      </c>
    </row>
    <row r="9" spans="1:18">
      <c r="C9" s="253" t="s">
        <v>704</v>
      </c>
      <c r="D9">
        <f>+Costos!C64</f>
        <v>1.0813756613756613</v>
      </c>
      <c r="I9" s="253" t="s">
        <v>704</v>
      </c>
      <c r="J9">
        <f>+Costos!F64</f>
        <v>1.3569488536155205</v>
      </c>
      <c r="P9" s="253" t="s">
        <v>704</v>
      </c>
      <c r="Q9">
        <f>+Costos!J64</f>
        <v>1.136490299823633</v>
      </c>
    </row>
    <row r="10" spans="1:18">
      <c r="C10" s="253" t="s">
        <v>705</v>
      </c>
      <c r="D10">
        <f>+Costos!C65*Poblacion!M49</f>
        <v>7805.920799999999</v>
      </c>
      <c r="E10" s="101"/>
      <c r="I10" s="253" t="s">
        <v>705</v>
      </c>
      <c r="J10">
        <f>+D10</f>
        <v>7805.920799999999</v>
      </c>
      <c r="P10" s="253" t="s">
        <v>705</v>
      </c>
      <c r="Q10">
        <f>+J10</f>
        <v>7805.920799999999</v>
      </c>
    </row>
    <row r="13" spans="1:18" ht="15.75">
      <c r="C13" s="477" t="s">
        <v>706</v>
      </c>
      <c r="I13" s="477" t="s">
        <v>706</v>
      </c>
      <c r="P13" s="477" t="s">
        <v>706</v>
      </c>
    </row>
    <row r="15" spans="1:18" ht="13.5" thickBot="1"/>
    <row r="16" spans="1:18">
      <c r="C16" s="40"/>
      <c r="D16" s="42"/>
      <c r="I16" s="40"/>
      <c r="J16" s="42"/>
      <c r="K16" s="15"/>
      <c r="L16" s="15"/>
      <c r="M16" s="15"/>
      <c r="N16" s="15"/>
      <c r="P16" s="40"/>
      <c r="Q16" s="42"/>
    </row>
    <row r="17" spans="2:17">
      <c r="C17" s="478" t="s">
        <v>707</v>
      </c>
      <c r="D17" s="28">
        <f>+D10/(D8-D9)</f>
        <v>4315.472595503521</v>
      </c>
      <c r="I17" s="478" t="s">
        <v>707</v>
      </c>
      <c r="J17" s="28">
        <f>+J10/(J8-J9)</f>
        <v>5103.0545137275576</v>
      </c>
      <c r="K17" s="15"/>
      <c r="L17" s="15"/>
      <c r="M17" s="15"/>
      <c r="N17" s="15"/>
      <c r="P17" s="478" t="s">
        <v>707</v>
      </c>
      <c r="Q17" s="28">
        <f>+Q10/(Q8-Q9)</f>
        <v>5548.363314993534</v>
      </c>
    </row>
    <row r="18" spans="2:17" ht="13.5" thickBot="1">
      <c r="C18" s="128"/>
      <c r="D18" s="130"/>
      <c r="I18" s="128"/>
      <c r="J18" s="130"/>
      <c r="K18" s="15"/>
      <c r="L18" s="15"/>
      <c r="M18" s="15"/>
      <c r="N18" s="15"/>
      <c r="P18" s="128"/>
      <c r="Q18" s="130"/>
    </row>
    <row r="20" spans="2:17" ht="15.75">
      <c r="B20" s="479" t="s">
        <v>708</v>
      </c>
      <c r="I20" s="479" t="s">
        <v>709</v>
      </c>
      <c r="P20" s="479" t="s">
        <v>710</v>
      </c>
    </row>
    <row r="22" spans="2:17" ht="13.5" thickBot="1"/>
    <row r="23" spans="2:17">
      <c r="B23" s="523" t="s">
        <v>739</v>
      </c>
      <c r="C23" s="524"/>
      <c r="D23" s="527">
        <f>D17+J17+Q17</f>
        <v>14966.890424224614</v>
      </c>
    </row>
    <row r="24" spans="2:17" ht="13.5" thickBot="1">
      <c r="B24" s="525"/>
      <c r="C24" s="526"/>
      <c r="D24" s="528"/>
    </row>
  </sheetData>
  <mergeCells count="3">
    <mergeCell ref="C3:J3"/>
    <mergeCell ref="B23:C24"/>
    <mergeCell ref="D23:D24"/>
  </mergeCells>
  <phoneticPr fontId="65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I30"/>
  <sheetViews>
    <sheetView workbookViewId="0">
      <selection activeCell="G16" sqref="B16:G16"/>
    </sheetView>
  </sheetViews>
  <sheetFormatPr baseColWidth="10" defaultRowHeight="12.75"/>
  <cols>
    <col min="1" max="1" width="11.42578125" style="15"/>
    <col min="2" max="2" width="17.7109375" style="15" customWidth="1"/>
    <col min="3" max="3" width="15.5703125" style="15" bestFit="1" customWidth="1"/>
    <col min="4" max="4" width="14.7109375" style="15" bestFit="1" customWidth="1"/>
    <col min="5" max="5" width="12.85546875" style="15" bestFit="1" customWidth="1"/>
    <col min="6" max="6" width="13.28515625" style="15" bestFit="1" customWidth="1"/>
    <col min="7" max="7" width="12.7109375" style="15" bestFit="1" customWidth="1"/>
    <col min="8" max="16384" width="11.42578125" style="15"/>
  </cols>
  <sheetData>
    <row r="4" spans="1:9" ht="15.75">
      <c r="B4" s="529"/>
      <c r="C4" s="529"/>
      <c r="D4" s="529"/>
      <c r="E4" s="529"/>
      <c r="F4" s="529"/>
      <c r="G4" s="529"/>
      <c r="H4" s="529"/>
      <c r="I4" s="529"/>
    </row>
    <row r="6" spans="1:9" s="120" customFormat="1">
      <c r="B6" s="530"/>
      <c r="C6" s="530"/>
      <c r="D6" s="530"/>
      <c r="E6" s="530"/>
      <c r="F6" s="530"/>
      <c r="G6" s="530"/>
      <c r="H6" s="530"/>
    </row>
    <row r="7" spans="1:9" s="120" customFormat="1">
      <c r="B7" s="530"/>
      <c r="C7" s="530"/>
      <c r="D7" s="530"/>
      <c r="E7" s="530"/>
      <c r="F7" s="530"/>
      <c r="G7" s="530"/>
      <c r="H7" s="530"/>
    </row>
    <row r="8" spans="1:9" s="120" customFormat="1" ht="16.5">
      <c r="A8" s="394"/>
      <c r="B8" s="370"/>
      <c r="C8" s="531" t="s">
        <v>671</v>
      </c>
      <c r="D8" s="532"/>
      <c r="E8" s="532"/>
      <c r="F8" s="532"/>
      <c r="G8" s="532"/>
    </row>
    <row r="9" spans="1:9" s="120" customFormat="1" ht="15.75">
      <c r="B9" s="370"/>
      <c r="C9" s="532"/>
      <c r="D9" s="532"/>
      <c r="E9" s="532"/>
      <c r="F9" s="532"/>
      <c r="G9" s="532"/>
      <c r="H9" s="393"/>
      <c r="I9" s="393"/>
    </row>
    <row r="10" spans="1:9" s="120" customFormat="1" ht="15.75">
      <c r="B10" s="370"/>
      <c r="C10"/>
      <c r="D10"/>
      <c r="E10"/>
      <c r="F10"/>
      <c r="G10"/>
      <c r="H10" s="395"/>
      <c r="I10" s="396"/>
    </row>
    <row r="11" spans="1:9" s="120" customFormat="1" ht="15.75">
      <c r="B11" s="370"/>
      <c r="C11" s="533" t="s">
        <v>672</v>
      </c>
      <c r="D11" s="533" t="s">
        <v>673</v>
      </c>
      <c r="E11" s="533" t="s">
        <v>674</v>
      </c>
      <c r="F11" s="533" t="s">
        <v>675</v>
      </c>
      <c r="G11" s="533" t="s">
        <v>676</v>
      </c>
      <c r="H11" s="395"/>
      <c r="I11" s="396"/>
    </row>
    <row r="12" spans="1:9" s="120" customFormat="1" ht="15.75">
      <c r="B12" s="370"/>
      <c r="C12" s="533"/>
      <c r="D12" s="533"/>
      <c r="E12" s="533"/>
      <c r="F12" s="533"/>
      <c r="G12" s="533"/>
      <c r="H12" s="395"/>
      <c r="I12" s="396"/>
    </row>
    <row r="13" spans="1:9" s="120" customFormat="1" ht="15.75">
      <c r="B13" s="370"/>
      <c r="C13" s="454">
        <v>1</v>
      </c>
      <c r="D13" s="455">
        <f>Inversion!L6</f>
        <v>64087.550690101736</v>
      </c>
      <c r="E13" s="455">
        <f>'flujo Cja Acc'!D30</f>
        <v>5769.5661931549002</v>
      </c>
      <c r="F13" s="456">
        <f>+D13*TMAR!$C$18</f>
        <v>8823.5554316682646</v>
      </c>
      <c r="G13" s="455">
        <f>+E13-F13</f>
        <v>-3053.9892385133644</v>
      </c>
      <c r="H13" s="395"/>
      <c r="I13" s="396"/>
    </row>
    <row r="14" spans="1:9" s="120" customFormat="1" ht="15.75">
      <c r="B14" s="370"/>
      <c r="C14" s="457">
        <v>2</v>
      </c>
      <c r="D14" s="378">
        <f>+D13-G13</f>
        <v>67141.539928615093</v>
      </c>
      <c r="E14" s="378">
        <f>'flujo Cja Acc'!E30</f>
        <v>10856.019650560072</v>
      </c>
      <c r="F14" s="456">
        <f>+D14*TMAR!$C$18</f>
        <v>9244.0277861828672</v>
      </c>
      <c r="G14" s="378">
        <f>+E14-F14</f>
        <v>1611.9918643772053</v>
      </c>
      <c r="H14" s="395"/>
      <c r="I14" s="396"/>
    </row>
    <row r="15" spans="1:9" s="120" customFormat="1">
      <c r="B15" s="370"/>
      <c r="C15" s="473">
        <v>3</v>
      </c>
      <c r="D15" s="474">
        <f>+D14-G14</f>
        <v>65529.54806423789</v>
      </c>
      <c r="E15" s="475">
        <f>'flujo Cja Acc'!F30</f>
        <v>16144.175669765504</v>
      </c>
      <c r="F15" s="476">
        <f>+D15*TMAR!$C$18</f>
        <v>9022.0892128161158</v>
      </c>
      <c r="G15" s="474">
        <f>+E15-F15</f>
        <v>7122.0864569493879</v>
      </c>
    </row>
    <row r="16" spans="1:9" s="120" customFormat="1">
      <c r="B16" s="370"/>
      <c r="C16" s="409">
        <v>4</v>
      </c>
      <c r="D16" s="98">
        <f>+D15-G15</f>
        <v>58407.461607288504</v>
      </c>
      <c r="E16" s="378">
        <f>'flujo Cja Acc'!G30</f>
        <v>21645.241768222786</v>
      </c>
      <c r="F16" s="456">
        <f>+D16*TMAR!$C$18</f>
        <v>8041.5224106004607</v>
      </c>
      <c r="G16" s="98">
        <f>+E16-F16</f>
        <v>13603.719357622325</v>
      </c>
    </row>
    <row r="17" spans="2:7" s="120" customFormat="1">
      <c r="B17" s="370"/>
      <c r="C17" s="19">
        <v>5</v>
      </c>
      <c r="D17" s="57">
        <f>+D16-G16</f>
        <v>44803.742249666175</v>
      </c>
      <c r="E17" s="378">
        <f>'flujo Cja Acc'!H30</f>
        <v>66096.100701973017</v>
      </c>
      <c r="F17" s="456">
        <f>+D17*TMAR!$C$18</f>
        <v>6168.5662664459578</v>
      </c>
      <c r="G17" s="57">
        <f>+E17-F17</f>
        <v>59927.534435527057</v>
      </c>
    </row>
    <row r="18" spans="2:7" s="120" customFormat="1">
      <c r="B18" s="370"/>
      <c r="C18"/>
      <c r="D18"/>
      <c r="E18"/>
      <c r="F18"/>
      <c r="G18"/>
    </row>
    <row r="19" spans="2:7" s="120" customFormat="1">
      <c r="B19" s="370"/>
      <c r="C19" s="260"/>
      <c r="D19" s="260"/>
      <c r="E19" s="260"/>
      <c r="F19" s="260"/>
      <c r="G19" s="260"/>
    </row>
    <row r="20" spans="2:7" s="120" customFormat="1">
      <c r="B20" s="370"/>
      <c r="C20" s="260"/>
      <c r="D20" s="260"/>
      <c r="E20" s="260"/>
      <c r="F20" s="260"/>
      <c r="G20" s="260"/>
    </row>
    <row r="21" spans="2:7" s="120" customFormat="1">
      <c r="B21" s="370"/>
      <c r="C21" s="260"/>
      <c r="D21" s="260"/>
      <c r="E21" s="260"/>
      <c r="F21" s="260"/>
      <c r="G21" s="260"/>
    </row>
    <row r="22" spans="2:7" s="120" customFormat="1"/>
    <row r="23" spans="2:7">
      <c r="B23" s="120"/>
      <c r="C23" s="120"/>
      <c r="D23" s="120"/>
      <c r="E23" s="120"/>
      <c r="F23" s="120"/>
      <c r="G23" s="120"/>
    </row>
    <row r="24" spans="2:7">
      <c r="B24" s="370"/>
      <c r="C24" s="370"/>
      <c r="D24" s="120"/>
      <c r="E24" s="120"/>
      <c r="F24" s="120"/>
      <c r="G24" s="120"/>
    </row>
    <row r="25" spans="2:7">
      <c r="B25" s="370"/>
      <c r="C25" s="260"/>
      <c r="D25" s="120"/>
      <c r="E25" s="120"/>
      <c r="F25" s="120"/>
      <c r="G25" s="120"/>
    </row>
    <row r="26" spans="2:7">
      <c r="B26" s="370"/>
      <c r="C26" s="260"/>
      <c r="D26" s="120"/>
      <c r="E26" s="120"/>
      <c r="F26" s="120"/>
      <c r="G26" s="120"/>
    </row>
    <row r="27" spans="2:7">
      <c r="B27" s="370"/>
      <c r="C27" s="260"/>
      <c r="D27" s="120"/>
      <c r="E27" s="120"/>
      <c r="F27" s="120"/>
      <c r="G27" s="120"/>
    </row>
    <row r="28" spans="2:7">
      <c r="B28" s="370"/>
      <c r="C28" s="260"/>
    </row>
    <row r="29" spans="2:7">
      <c r="B29" s="370"/>
      <c r="C29" s="260"/>
    </row>
    <row r="30" spans="2:7">
      <c r="B30" s="120"/>
      <c r="C30" s="120"/>
    </row>
  </sheetData>
  <mergeCells count="8">
    <mergeCell ref="B4:I4"/>
    <mergeCell ref="B6:H7"/>
    <mergeCell ref="C8:G9"/>
    <mergeCell ref="C11:C12"/>
    <mergeCell ref="D11:D12"/>
    <mergeCell ref="E11:E12"/>
    <mergeCell ref="F11:F12"/>
    <mergeCell ref="G11:G12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I29"/>
  <sheetViews>
    <sheetView workbookViewId="0">
      <selection activeCell="C27" sqref="C27"/>
    </sheetView>
  </sheetViews>
  <sheetFormatPr baseColWidth="10" defaultRowHeight="12.75"/>
  <cols>
    <col min="2" max="2" width="29.42578125" customWidth="1"/>
    <col min="3" max="3" width="11.7109375" bestFit="1" customWidth="1"/>
  </cols>
  <sheetData>
    <row r="2" spans="2:9">
      <c r="E2" s="3"/>
    </row>
    <row r="3" spans="2:9">
      <c r="B3" s="520"/>
      <c r="C3" s="520"/>
      <c r="D3" s="520"/>
      <c r="E3" s="520"/>
      <c r="F3" s="520"/>
      <c r="G3" s="520"/>
    </row>
    <row r="4" spans="2:9">
      <c r="B4" s="520" t="s">
        <v>649</v>
      </c>
      <c r="C4" s="520"/>
      <c r="D4" s="520"/>
      <c r="E4" s="520"/>
      <c r="F4" s="520"/>
      <c r="G4" s="520"/>
      <c r="H4" s="520"/>
      <c r="I4" s="237"/>
    </row>
    <row r="5" spans="2:9">
      <c r="I5" s="237"/>
    </row>
    <row r="6" spans="2:9">
      <c r="B6" s="17" t="s">
        <v>611</v>
      </c>
      <c r="C6" s="17" t="s">
        <v>626</v>
      </c>
      <c r="D6" s="17" t="s">
        <v>354</v>
      </c>
      <c r="E6" s="17" t="s">
        <v>355</v>
      </c>
      <c r="F6" s="17" t="s">
        <v>356</v>
      </c>
      <c r="G6" s="17" t="s">
        <v>357</v>
      </c>
      <c r="H6" s="17" t="s">
        <v>358</v>
      </c>
      <c r="I6" s="237"/>
    </row>
    <row r="7" spans="2:9">
      <c r="B7" s="9" t="s">
        <v>612</v>
      </c>
      <c r="C7" s="8"/>
      <c r="D7" s="416">
        <f>+'flujo Cja Acc'!D7</f>
        <v>608860.63931397058</v>
      </c>
      <c r="E7" s="416">
        <f>+'flujo Cja Acc'!E7</f>
        <v>627126.45849338931</v>
      </c>
      <c r="F7" s="416">
        <f>+'flujo Cja Acc'!F7</f>
        <v>645940.25224819104</v>
      </c>
      <c r="G7" s="416">
        <f>+'flujo Cja Acc'!G7</f>
        <v>665318.45981563674</v>
      </c>
      <c r="H7" s="416">
        <f>+'flujo Cja Acc'!H7</f>
        <v>685278.01361010596</v>
      </c>
      <c r="I7" s="237"/>
    </row>
    <row r="8" spans="2:9">
      <c r="B8" s="9" t="s">
        <v>627</v>
      </c>
      <c r="C8" s="8"/>
      <c r="D8" s="416">
        <f>'flujo Cja Acc'!D8</f>
        <v>571256.89766382275</v>
      </c>
      <c r="E8" s="416">
        <f>'flujo Cja Acc'!E8</f>
        <v>582136.60459373752</v>
      </c>
      <c r="F8" s="416">
        <f>'flujo Cja Acc'!F8</f>
        <v>593342.70273154951</v>
      </c>
      <c r="G8" s="416">
        <f>'flujo Cja Acc'!G8</f>
        <v>604884.98381349607</v>
      </c>
      <c r="H8" s="416">
        <f>'flujo Cja Acc'!H8</f>
        <v>616773.53332790104</v>
      </c>
      <c r="I8" s="237"/>
    </row>
    <row r="9" spans="2:9">
      <c r="B9" s="331" t="s">
        <v>628</v>
      </c>
      <c r="C9" s="331"/>
      <c r="D9" s="426">
        <f>+'flujo Cja Acc'!D9</f>
        <v>362656.89766382275</v>
      </c>
      <c r="E9" s="426">
        <f>+'flujo Cja Acc'!E9</f>
        <v>373536.60459373746</v>
      </c>
      <c r="F9" s="426">
        <f>+'flujo Cja Acc'!F9</f>
        <v>384742.70273154957</v>
      </c>
      <c r="G9" s="426">
        <f>+'flujo Cja Acc'!G9</f>
        <v>396284.98381349607</v>
      </c>
      <c r="H9" s="426">
        <f>+'flujo Cja Acc'!H9</f>
        <v>408173.53332790098</v>
      </c>
      <c r="I9" s="237"/>
    </row>
    <row r="10" spans="2:9">
      <c r="B10" s="9" t="s">
        <v>629</v>
      </c>
      <c r="C10" s="9"/>
      <c r="D10" s="416">
        <f>SUM(D11:D13)</f>
        <v>208600</v>
      </c>
      <c r="E10" s="416">
        <f>SUM(E11:E13)</f>
        <v>208600</v>
      </c>
      <c r="F10" s="416">
        <f>SUM(F11:F13)</f>
        <v>208600</v>
      </c>
      <c r="G10" s="416">
        <f>SUM(G11:G13)</f>
        <v>208600</v>
      </c>
      <c r="H10" s="416">
        <f>SUM(H11:H13)</f>
        <v>208600</v>
      </c>
      <c r="I10" s="237"/>
    </row>
    <row r="11" spans="2:9">
      <c r="B11" s="8" t="s">
        <v>630</v>
      </c>
      <c r="C11" s="8"/>
      <c r="D11" s="57">
        <f>+'flujo Cja Acc'!D12</f>
        <v>43200</v>
      </c>
      <c r="E11" s="57">
        <f>+'flujo Cja Acc'!E12</f>
        <v>43200</v>
      </c>
      <c r="F11" s="57">
        <f>+'flujo Cja Acc'!F12</f>
        <v>43200</v>
      </c>
      <c r="G11" s="57">
        <f>+'flujo Cja Acc'!G12</f>
        <v>43200</v>
      </c>
      <c r="H11" s="57">
        <f>+'flujo Cja Acc'!H12</f>
        <v>43200</v>
      </c>
      <c r="I11" s="237"/>
    </row>
    <row r="12" spans="2:9">
      <c r="B12" s="331" t="s">
        <v>691</v>
      </c>
      <c r="C12" s="8"/>
      <c r="D12" s="57">
        <f>'flujo Cja Acc'!D11</f>
        <v>41400</v>
      </c>
      <c r="E12" s="57">
        <f>'flujo Cja Acc'!E11</f>
        <v>41400</v>
      </c>
      <c r="F12" s="57">
        <f>'flujo Cja Acc'!F11</f>
        <v>41400</v>
      </c>
      <c r="G12" s="57">
        <f>'flujo Cja Acc'!G11</f>
        <v>41400</v>
      </c>
      <c r="H12" s="57">
        <f>'flujo Cja Acc'!H11</f>
        <v>41400</v>
      </c>
      <c r="I12" s="237"/>
    </row>
    <row r="13" spans="2:9">
      <c r="B13" s="8" t="s">
        <v>631</v>
      </c>
      <c r="C13" s="8"/>
      <c r="D13" s="8">
        <f>+'flujo Cja Acc'!D13</f>
        <v>124000</v>
      </c>
      <c r="E13" s="8">
        <f>+'flujo Cja Acc'!E13</f>
        <v>124000</v>
      </c>
      <c r="F13" s="8">
        <f>+'flujo Cja Acc'!F13</f>
        <v>124000</v>
      </c>
      <c r="G13" s="8">
        <f>+'flujo Cja Acc'!G13</f>
        <v>124000</v>
      </c>
      <c r="H13" s="8">
        <f>+'flujo Cja Acc'!H13</f>
        <v>124000</v>
      </c>
      <c r="I13" s="237"/>
    </row>
    <row r="14" spans="2:9">
      <c r="B14" s="9" t="s">
        <v>632</v>
      </c>
      <c r="C14" s="8"/>
      <c r="D14" s="416">
        <f>+D7-D8</f>
        <v>37603.741650147829</v>
      </c>
      <c r="E14" s="416">
        <f>+E7-E8</f>
        <v>44989.853899651789</v>
      </c>
      <c r="F14" s="416">
        <f>+F7-F8</f>
        <v>52597.549516641535</v>
      </c>
      <c r="G14" s="416">
        <f>+G7-G8</f>
        <v>60433.476002140669</v>
      </c>
      <c r="H14" s="416">
        <f>+H7-H8</f>
        <v>68504.480282204924</v>
      </c>
      <c r="I14" s="237"/>
    </row>
    <row r="15" spans="2:9">
      <c r="B15" s="331" t="s">
        <v>633</v>
      </c>
      <c r="C15" s="8"/>
      <c r="D15" s="57">
        <f>+'flujo Cja Acc'!D15</f>
        <v>3530.6</v>
      </c>
      <c r="E15" s="57">
        <f>+'flujo Cja Acc'!E15</f>
        <v>3530.6</v>
      </c>
      <c r="F15" s="57">
        <f>+'flujo Cja Acc'!F15</f>
        <v>3530.6</v>
      </c>
      <c r="G15" s="57">
        <f>+'flujo Cja Acc'!G15</f>
        <v>3530.6</v>
      </c>
      <c r="H15" s="57">
        <f>+'flujo Cja Acc'!H15</f>
        <v>3530.6</v>
      </c>
      <c r="I15" s="120"/>
    </row>
    <row r="16" spans="2:9">
      <c r="B16" s="331" t="s">
        <v>615</v>
      </c>
      <c r="C16" s="8"/>
      <c r="D16" s="57">
        <f>+'flujo Cja Acc'!D16</f>
        <v>7388.0499999999993</v>
      </c>
      <c r="E16" s="57">
        <f>+'flujo Cja Acc'!E16</f>
        <v>7388.0499999999993</v>
      </c>
      <c r="F16" s="57">
        <f>+'flujo Cja Acc'!F16</f>
        <v>7388.0499999999993</v>
      </c>
      <c r="G16" s="57">
        <f>+'flujo Cja Acc'!G16</f>
        <v>7388.0499999999993</v>
      </c>
      <c r="H16" s="57">
        <f>+'flujo Cja Acc'!H16</f>
        <v>7388.0499999999993</v>
      </c>
      <c r="I16" s="120"/>
    </row>
    <row r="17" spans="2:9">
      <c r="B17" s="436" t="s">
        <v>636</v>
      </c>
      <c r="C17" s="437"/>
      <c r="D17" s="438">
        <f>+D14-D15-D16</f>
        <v>26685.091650147831</v>
      </c>
      <c r="E17" s="438">
        <f>+E14-E15-E16</f>
        <v>34071.203899651795</v>
      </c>
      <c r="F17" s="438">
        <f>+F14-F15-F16</f>
        <v>41678.899516641541</v>
      </c>
      <c r="G17" s="438">
        <f>+G14-G15-G16</f>
        <v>49514.826002140675</v>
      </c>
      <c r="H17" s="438">
        <f>+H14-H15-H16</f>
        <v>57585.83028220493</v>
      </c>
      <c r="I17" s="120"/>
    </row>
    <row r="18" spans="2:9">
      <c r="B18" s="331" t="s">
        <v>637</v>
      </c>
      <c r="C18" s="8"/>
      <c r="D18" s="8">
        <f>+D17*25%</f>
        <v>6671.2729125369578</v>
      </c>
      <c r="E18" s="8">
        <f>+E17*25%</f>
        <v>8517.8009749129487</v>
      </c>
      <c r="F18" s="8">
        <f>+F17*25%</f>
        <v>10419.724879160385</v>
      </c>
      <c r="G18" s="8">
        <f>+G17*25%</f>
        <v>12378.706500535169</v>
      </c>
      <c r="H18" s="8">
        <f>+H17*25%</f>
        <v>14396.457570551232</v>
      </c>
      <c r="I18" s="120"/>
    </row>
    <row r="19" spans="2:9">
      <c r="B19" s="331" t="s">
        <v>622</v>
      </c>
      <c r="C19" s="8"/>
      <c r="D19" s="8">
        <f>+D17*15%</f>
        <v>4002.7637475221745</v>
      </c>
      <c r="E19" s="8">
        <f>+E17*15%</f>
        <v>5110.6805849477687</v>
      </c>
      <c r="F19" s="8">
        <f>+F17*15%</f>
        <v>6251.8349274962311</v>
      </c>
      <c r="G19" s="8">
        <f>+G17*15%</f>
        <v>7427.2239003211007</v>
      </c>
      <c r="H19" s="8">
        <f>+H17*15%</f>
        <v>8637.8745423307391</v>
      </c>
      <c r="I19" s="120"/>
    </row>
    <row r="20" spans="2:9">
      <c r="B20" s="439" t="s">
        <v>638</v>
      </c>
      <c r="C20" s="440"/>
      <c r="D20" s="441">
        <f>+D17-D18-D19</f>
        <v>16011.054990088698</v>
      </c>
      <c r="E20" s="441">
        <f>+E17-E18-E19</f>
        <v>20442.722339791078</v>
      </c>
      <c r="F20" s="441">
        <f>+F17-F18-F19</f>
        <v>25007.339709984924</v>
      </c>
      <c r="G20" s="441">
        <f>+G17-G18-G19</f>
        <v>29708.895601284406</v>
      </c>
      <c r="H20" s="441">
        <f>+H17-H18-H19</f>
        <v>34551.498169322957</v>
      </c>
      <c r="I20" s="120"/>
    </row>
    <row r="21" spans="2:9">
      <c r="B21" s="331" t="s">
        <v>639</v>
      </c>
      <c r="C21" s="8"/>
      <c r="D21" s="57">
        <f>+D15+D16</f>
        <v>10918.65</v>
      </c>
      <c r="E21" s="57">
        <f>+E15+E16</f>
        <v>10918.65</v>
      </c>
      <c r="F21" s="57">
        <f>+F15+F16</f>
        <v>10918.65</v>
      </c>
      <c r="G21" s="57">
        <f>+G15+G16</f>
        <v>10918.65</v>
      </c>
      <c r="H21" s="57">
        <f>+H15+H16</f>
        <v>10918.65</v>
      </c>
      <c r="I21" s="120"/>
    </row>
    <row r="22" spans="2:9">
      <c r="B22" s="331" t="s">
        <v>642</v>
      </c>
      <c r="C22" s="57">
        <f>'flujo Cja Acc'!C26</f>
        <v>-62069.52</v>
      </c>
      <c r="D22" s="8"/>
      <c r="E22" s="8"/>
      <c r="F22" s="8"/>
      <c r="G22" s="8"/>
      <c r="H22" s="8"/>
      <c r="I22" s="120"/>
    </row>
    <row r="23" spans="2:9">
      <c r="B23" s="331" t="s">
        <v>609</v>
      </c>
      <c r="C23" s="8"/>
      <c r="D23" s="8"/>
      <c r="E23" s="8"/>
      <c r="F23" s="8"/>
      <c r="G23" s="8"/>
      <c r="H23" s="57">
        <f>+'flujo Cja Acc'!H27</f>
        <v>15344.25</v>
      </c>
      <c r="I23" s="120"/>
    </row>
    <row r="24" spans="2:9">
      <c r="B24" s="331" t="s">
        <v>141</v>
      </c>
      <c r="C24" s="57">
        <f>+'flujo Cja Acc'!C28</f>
        <v>-23380.54758680231</v>
      </c>
      <c r="D24" s="8"/>
      <c r="E24" s="8"/>
      <c r="F24" s="8"/>
      <c r="G24" s="8"/>
      <c r="H24" s="8"/>
      <c r="I24" s="120"/>
    </row>
    <row r="25" spans="2:9">
      <c r="B25" s="331" t="s">
        <v>643</v>
      </c>
      <c r="D25" s="8"/>
      <c r="E25" s="8"/>
      <c r="F25" s="8"/>
      <c r="G25" s="8"/>
      <c r="H25" s="444">
        <f>-C24</f>
        <v>23380.54758680231</v>
      </c>
      <c r="I25" s="120"/>
    </row>
    <row r="26" spans="2:9">
      <c r="B26" s="427" t="s">
        <v>650</v>
      </c>
      <c r="C26" s="442">
        <f>SUM(C22:C24)</f>
        <v>-85450.06758680231</v>
      </c>
      <c r="D26" s="442">
        <f>+D20+D21</f>
        <v>26929.7049900887</v>
      </c>
      <c r="E26" s="442">
        <f>+E20+E21</f>
        <v>31361.37233979108</v>
      </c>
      <c r="F26" s="442">
        <f>+F20+F21</f>
        <v>35925.989709984926</v>
      </c>
      <c r="G26" s="442">
        <f>+G20+G21</f>
        <v>40627.545601284408</v>
      </c>
      <c r="H26" s="442">
        <f>+H20+H21+H23+H25</f>
        <v>84194.945756125264</v>
      </c>
      <c r="I26" s="120"/>
    </row>
    <row r="27" spans="2:9">
      <c r="B27" s="443" t="s">
        <v>651</v>
      </c>
      <c r="C27" s="433">
        <f>+TMAR!C19</f>
        <v>9.3482427648409319E-2</v>
      </c>
    </row>
    <row r="28" spans="2:9">
      <c r="B28" s="67" t="s">
        <v>646</v>
      </c>
      <c r="C28" s="471">
        <f>IRR(C26:H26)</f>
        <v>0.33534320211117102</v>
      </c>
    </row>
    <row r="29" spans="2:9">
      <c r="B29" s="9" t="s">
        <v>647</v>
      </c>
      <c r="C29" s="434">
        <f>NPV(C27,D26:H26)+C26</f>
        <v>75154.832376682883</v>
      </c>
    </row>
  </sheetData>
  <mergeCells count="2">
    <mergeCell ref="B3:G3"/>
    <mergeCell ref="B4:H4"/>
  </mergeCells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I58"/>
  <sheetViews>
    <sheetView topLeftCell="A40" workbookViewId="0">
      <selection activeCell="C31" sqref="C31"/>
    </sheetView>
  </sheetViews>
  <sheetFormatPr baseColWidth="10" defaultRowHeight="12.75"/>
  <cols>
    <col min="2" max="2" width="18.140625" customWidth="1"/>
    <col min="3" max="3" width="19.140625" customWidth="1"/>
    <col min="6" max="6" width="13.5703125" customWidth="1"/>
    <col min="7" max="7" width="15.7109375" customWidth="1"/>
    <col min="8" max="8" width="15" customWidth="1"/>
  </cols>
  <sheetData>
    <row r="2" spans="2:9">
      <c r="E2" s="3"/>
    </row>
    <row r="4" spans="2:9">
      <c r="B4" s="520" t="s">
        <v>625</v>
      </c>
      <c r="C4" s="520"/>
      <c r="D4" s="520"/>
      <c r="E4" s="520"/>
      <c r="F4" s="520"/>
      <c r="G4" s="520"/>
      <c r="H4" s="520"/>
      <c r="I4" s="3"/>
    </row>
    <row r="5" spans="2:9">
      <c r="I5" s="3"/>
    </row>
    <row r="6" spans="2:9">
      <c r="B6" s="17" t="s">
        <v>611</v>
      </c>
      <c r="C6" s="17" t="s">
        <v>626</v>
      </c>
      <c r="D6" s="17" t="s">
        <v>354</v>
      </c>
      <c r="E6" s="17" t="s">
        <v>355</v>
      </c>
      <c r="F6" s="17" t="s">
        <v>356</v>
      </c>
      <c r="G6" s="17" t="s">
        <v>357</v>
      </c>
      <c r="H6" s="17" t="s">
        <v>358</v>
      </c>
      <c r="I6" s="3"/>
    </row>
    <row r="7" spans="2:9">
      <c r="B7" s="9" t="s">
        <v>612</v>
      </c>
      <c r="C7" s="8"/>
      <c r="D7" s="416">
        <f>+Ingresos!C16</f>
        <v>608860.63931397058</v>
      </c>
      <c r="E7" s="416">
        <f>+Ingresos!D16</f>
        <v>627126.45849338931</v>
      </c>
      <c r="F7" s="416">
        <f>+Ingresos!E16</f>
        <v>645940.25224819104</v>
      </c>
      <c r="G7" s="416">
        <f>+Ingresos!F16</f>
        <v>665318.45981563674</v>
      </c>
      <c r="H7" s="416">
        <f>+Ingresos!G16</f>
        <v>685278.01361010596</v>
      </c>
      <c r="I7" s="3"/>
    </row>
    <row r="8" spans="2:9">
      <c r="B8" s="9" t="s">
        <v>627</v>
      </c>
      <c r="C8" s="8"/>
      <c r="D8" s="416">
        <f>D9+D10</f>
        <v>571256.89766382275</v>
      </c>
      <c r="E8" s="416">
        <f>E9+E10</f>
        <v>582136.60459373752</v>
      </c>
      <c r="F8" s="416">
        <f>F9+F10</f>
        <v>593342.70273154951</v>
      </c>
      <c r="G8" s="416">
        <f>G9+G10</f>
        <v>604884.98381349607</v>
      </c>
      <c r="H8" s="416">
        <f>H9+H10</f>
        <v>616773.53332790104</v>
      </c>
      <c r="I8" s="3"/>
    </row>
    <row r="9" spans="2:9">
      <c r="B9" s="331" t="s">
        <v>628</v>
      </c>
      <c r="C9" s="331"/>
      <c r="D9" s="426">
        <f>+'Estado de Resultados'!C7</f>
        <v>362656.89766382275</v>
      </c>
      <c r="E9" s="426">
        <f>+'Estado de Resultados'!D7</f>
        <v>373536.60459373746</v>
      </c>
      <c r="F9" s="426">
        <f>+'Estado de Resultados'!E7</f>
        <v>384742.70273154957</v>
      </c>
      <c r="G9" s="426">
        <f>+'Estado de Resultados'!F7</f>
        <v>396284.98381349607</v>
      </c>
      <c r="H9" s="426">
        <f>+'Estado de Resultados'!G7</f>
        <v>408173.53332790098</v>
      </c>
      <c r="I9" s="3"/>
    </row>
    <row r="10" spans="2:9">
      <c r="B10" s="9" t="s">
        <v>629</v>
      </c>
      <c r="C10" s="9"/>
      <c r="D10" s="416">
        <f>SUM(D11:D13)</f>
        <v>208600</v>
      </c>
      <c r="E10" s="416">
        <f>SUM(E11:E13)</f>
        <v>208600</v>
      </c>
      <c r="F10" s="416">
        <f>SUM(F11:F13)</f>
        <v>208600</v>
      </c>
      <c r="G10" s="416">
        <f>SUM(G11:G13)</f>
        <v>208600</v>
      </c>
      <c r="H10" s="416">
        <f>SUM(H11:H13)</f>
        <v>208600</v>
      </c>
      <c r="I10" s="3"/>
    </row>
    <row r="11" spans="2:9">
      <c r="B11" s="331" t="s">
        <v>692</v>
      </c>
      <c r="C11" s="331"/>
      <c r="D11" s="426">
        <f>'Estado de Resultados'!C10</f>
        <v>41400</v>
      </c>
      <c r="E11" s="426">
        <f>'Estado de Resultados'!D10</f>
        <v>41400</v>
      </c>
      <c r="F11" s="426">
        <f>'Estado de Resultados'!E10</f>
        <v>41400</v>
      </c>
      <c r="G11" s="426">
        <f>'Estado de Resultados'!F10</f>
        <v>41400</v>
      </c>
      <c r="H11" s="426">
        <f>'Estado de Resultados'!G10</f>
        <v>41400</v>
      </c>
      <c r="I11" s="460"/>
    </row>
    <row r="12" spans="2:9">
      <c r="B12" s="8" t="s">
        <v>630</v>
      </c>
      <c r="C12" s="8"/>
      <c r="D12" s="57">
        <f>+'Estado de Resultados'!C11</f>
        <v>43200</v>
      </c>
      <c r="E12" s="57">
        <f>+'Estado de Resultados'!D11</f>
        <v>43200</v>
      </c>
      <c r="F12" s="57">
        <f>+'Estado de Resultados'!E11</f>
        <v>43200</v>
      </c>
      <c r="G12" s="57">
        <f>+'Estado de Resultados'!F11</f>
        <v>43200</v>
      </c>
      <c r="H12" s="57">
        <f>+'Estado de Resultados'!G11</f>
        <v>43200</v>
      </c>
      <c r="I12" s="460"/>
    </row>
    <row r="13" spans="2:9">
      <c r="B13" s="8" t="s">
        <v>631</v>
      </c>
      <c r="C13" s="8"/>
      <c r="D13" s="8">
        <f>+'Estado de Resultados'!C14</f>
        <v>124000</v>
      </c>
      <c r="E13" s="8">
        <f>+'Estado de Resultados'!D14</f>
        <v>124000</v>
      </c>
      <c r="F13" s="8">
        <f>+'Estado de Resultados'!E14</f>
        <v>124000</v>
      </c>
      <c r="G13" s="8">
        <f>+'Estado de Resultados'!F14</f>
        <v>124000</v>
      </c>
      <c r="H13" s="8">
        <f>+'Estado de Resultados'!G14</f>
        <v>124000</v>
      </c>
      <c r="I13" s="3"/>
    </row>
    <row r="14" spans="2:9">
      <c r="B14" s="9" t="s">
        <v>632</v>
      </c>
      <c r="C14" s="8"/>
      <c r="D14" s="416">
        <f>+D7-D8</f>
        <v>37603.741650147829</v>
      </c>
      <c r="E14" s="416">
        <f>+E7-E8</f>
        <v>44989.853899651789</v>
      </c>
      <c r="F14" s="416">
        <f>+F7-F8</f>
        <v>52597.549516641535</v>
      </c>
      <c r="G14" s="416">
        <f>+G7-G8</f>
        <v>60433.476002140669</v>
      </c>
      <c r="H14" s="416">
        <f>+H7-H8</f>
        <v>68504.480282204924</v>
      </c>
      <c r="I14" s="3"/>
    </row>
    <row r="15" spans="2:9">
      <c r="B15" s="331" t="s">
        <v>633</v>
      </c>
      <c r="C15" s="8"/>
      <c r="D15" s="57">
        <f>+'Estado de Resultados'!C12</f>
        <v>3530.6</v>
      </c>
      <c r="E15" s="57">
        <f>+'Estado de Resultados'!D12</f>
        <v>3530.6</v>
      </c>
      <c r="F15" s="57">
        <f>+'Estado de Resultados'!E12</f>
        <v>3530.6</v>
      </c>
      <c r="G15" s="57">
        <f>+'Estado de Resultados'!F12</f>
        <v>3530.6</v>
      </c>
      <c r="H15" s="57">
        <f>+'Estado de Resultados'!G12</f>
        <v>3530.6</v>
      </c>
      <c r="I15" s="3"/>
    </row>
    <row r="16" spans="2:9">
      <c r="B16" s="331" t="s">
        <v>615</v>
      </c>
      <c r="C16" s="8"/>
      <c r="D16" s="57">
        <f>+'Estado de Resultados'!C13</f>
        <v>7388.0499999999993</v>
      </c>
      <c r="E16" s="57">
        <f>+'Estado de Resultados'!D13</f>
        <v>7388.0499999999993</v>
      </c>
      <c r="F16" s="57">
        <f>+'Estado de Resultados'!E13</f>
        <v>7388.0499999999993</v>
      </c>
      <c r="G16" s="57">
        <f>+'Estado de Resultados'!F13</f>
        <v>7388.0499999999993</v>
      </c>
      <c r="H16" s="57">
        <f>+'Estado de Resultados'!G13</f>
        <v>7388.0499999999993</v>
      </c>
    </row>
    <row r="17" spans="2:8">
      <c r="B17" s="9" t="s">
        <v>634</v>
      </c>
      <c r="C17" s="8"/>
      <c r="D17" s="416">
        <f>+D14-D15-D16</f>
        <v>26685.091650147831</v>
      </c>
      <c r="E17" s="416">
        <f>+E14-E15-E16</f>
        <v>34071.203899651795</v>
      </c>
      <c r="F17" s="416">
        <f>+F14-F15-F16</f>
        <v>41678.899516641541</v>
      </c>
      <c r="G17" s="416">
        <f>+G14-G15-G16</f>
        <v>49514.826002140675</v>
      </c>
      <c r="H17" s="416">
        <f>+H14-H15-H16</f>
        <v>57585.83028220493</v>
      </c>
    </row>
    <row r="18" spans="2:8">
      <c r="B18" s="331" t="s">
        <v>635</v>
      </c>
      <c r="C18" s="8"/>
      <c r="D18" s="57">
        <f>+'Estado de Resultados'!C17</f>
        <v>6729.1928224606818</v>
      </c>
      <c r="E18" s="57">
        <f>+'Estado de Resultados'!D17</f>
        <v>5637.8826429560277</v>
      </c>
      <c r="F18" s="57">
        <f>+'Estado de Resultados'!E17</f>
        <v>4431.9848946033853</v>
      </c>
      <c r="G18" s="57">
        <f>+'Estado de Resultados'!F17</f>
        <v>3099.4678826737149</v>
      </c>
      <c r="H18" s="57">
        <f>+'Estado de Resultados'!G17</f>
        <v>1627.0365844914293</v>
      </c>
    </row>
    <row r="19" spans="2:8">
      <c r="B19" s="427" t="s">
        <v>636</v>
      </c>
      <c r="C19" s="428"/>
      <c r="D19" s="418">
        <f>+D17-D18</f>
        <v>19955.89882768715</v>
      </c>
      <c r="E19" s="418">
        <f>+E17-E18</f>
        <v>28433.321256695766</v>
      </c>
      <c r="F19" s="418">
        <f>+F17-F18</f>
        <v>37246.914622038152</v>
      </c>
      <c r="G19" s="418">
        <f>+G17-G18</f>
        <v>46415.35811946696</v>
      </c>
      <c r="H19" s="418">
        <f>+H17-H18</f>
        <v>55958.793697713503</v>
      </c>
    </row>
    <row r="20" spans="2:8">
      <c r="B20" s="331" t="s">
        <v>637</v>
      </c>
      <c r="C20" s="8"/>
      <c r="D20" s="8">
        <f>D19*0.25</f>
        <v>4988.9747069217874</v>
      </c>
      <c r="E20" s="8">
        <f>+E19*25%</f>
        <v>7108.3303141739416</v>
      </c>
      <c r="F20" s="8">
        <f>+F19*25%</f>
        <v>9311.7286555095379</v>
      </c>
      <c r="G20" s="8">
        <f>+G19*25%</f>
        <v>11603.83952986674</v>
      </c>
      <c r="H20" s="8">
        <f>+H19*25%</f>
        <v>13989.698424428376</v>
      </c>
    </row>
    <row r="21" spans="2:8">
      <c r="B21" s="331" t="s">
        <v>622</v>
      </c>
      <c r="C21" s="8"/>
      <c r="D21" s="8">
        <f>D19*0.15</f>
        <v>2993.3848241530723</v>
      </c>
      <c r="E21" s="8">
        <f>+E19*15%</f>
        <v>4264.9981885043644</v>
      </c>
      <c r="F21" s="8">
        <f>+F19*15%</f>
        <v>5587.0371933057222</v>
      </c>
      <c r="G21" s="8">
        <f>+G19*15%</f>
        <v>6962.3037179200437</v>
      </c>
      <c r="H21" s="8">
        <f>+H19*15%</f>
        <v>8393.8190546570258</v>
      </c>
    </row>
    <row r="22" spans="2:8">
      <c r="B22" s="429" t="s">
        <v>638</v>
      </c>
      <c r="C22" s="408"/>
      <c r="D22" s="430">
        <f>+D19-D20-D21</f>
        <v>11973.539296612289</v>
      </c>
      <c r="E22" s="430">
        <f>+E19-E20-E21</f>
        <v>17059.992754017461</v>
      </c>
      <c r="F22" s="430">
        <f>+F19-F20-F21</f>
        <v>22348.148773222892</v>
      </c>
      <c r="G22" s="430">
        <f>+G19-G20-G21</f>
        <v>27849.214871680178</v>
      </c>
      <c r="H22" s="430">
        <f>+H19-H20-H21</f>
        <v>33575.276218628103</v>
      </c>
    </row>
    <row r="23" spans="2:8">
      <c r="B23" s="331" t="s">
        <v>639</v>
      </c>
      <c r="C23" s="8"/>
      <c r="D23" s="57">
        <f>+D15+D16</f>
        <v>10918.65</v>
      </c>
      <c r="E23" s="57">
        <f>+E15+E16</f>
        <v>10918.65</v>
      </c>
      <c r="F23" s="57">
        <f>+F15+F16</f>
        <v>10918.65</v>
      </c>
      <c r="G23" s="57">
        <f>+G15+G16</f>
        <v>10918.65</v>
      </c>
      <c r="H23" s="57">
        <f>+H15+H16</f>
        <v>10918.65</v>
      </c>
    </row>
    <row r="24" spans="2:8">
      <c r="B24" s="331" t="s">
        <v>640</v>
      </c>
      <c r="C24" s="8"/>
      <c r="D24" s="57">
        <f>+Inversion!Q34</f>
        <v>17122.62310345739</v>
      </c>
      <c r="E24" s="57">
        <f>+Inversion!Q35</f>
        <v>17122.62310345739</v>
      </c>
      <c r="F24" s="57">
        <f>+Inversion!Q36</f>
        <v>17122.62310345739</v>
      </c>
      <c r="G24" s="57">
        <f>+Inversion!Q37</f>
        <v>17122.62310345739</v>
      </c>
      <c r="H24" s="57">
        <f>+Inversion!Q38</f>
        <v>17122.62310345739</v>
      </c>
    </row>
    <row r="25" spans="2:8">
      <c r="B25" s="331" t="s">
        <v>641</v>
      </c>
      <c r="C25" s="57">
        <f>+Inversion!U33</f>
        <v>64087.550690101736</v>
      </c>
      <c r="D25" s="8"/>
      <c r="E25" s="8"/>
      <c r="F25" s="8"/>
      <c r="G25" s="8"/>
      <c r="H25" s="8"/>
    </row>
    <row r="26" spans="2:8">
      <c r="B26" s="331" t="s">
        <v>642</v>
      </c>
      <c r="C26" s="57">
        <f>-Inversion!J22</f>
        <v>-62069.52</v>
      </c>
      <c r="D26" s="8"/>
      <c r="E26" s="8"/>
      <c r="F26" s="8"/>
      <c r="G26" s="8"/>
      <c r="H26" s="8"/>
    </row>
    <row r="27" spans="2:8">
      <c r="B27" s="331" t="s">
        <v>609</v>
      </c>
      <c r="C27" s="8"/>
      <c r="D27" s="8"/>
      <c r="E27" s="8"/>
      <c r="F27" s="8"/>
      <c r="G27" s="8"/>
      <c r="H27" s="57">
        <f>+Depreciaciones!H35</f>
        <v>15344.25</v>
      </c>
    </row>
    <row r="28" spans="2:8">
      <c r="B28" s="331" t="s">
        <v>141</v>
      </c>
      <c r="C28" s="57">
        <f>+'Capital de Trabajo'!B80</f>
        <v>-23380.54758680231</v>
      </c>
      <c r="D28" s="8"/>
      <c r="E28" s="8"/>
      <c r="F28" s="8"/>
      <c r="G28" s="8"/>
      <c r="H28" s="8"/>
    </row>
    <row r="29" spans="2:8">
      <c r="B29" s="331" t="s">
        <v>643</v>
      </c>
      <c r="C29" s="101"/>
      <c r="D29" s="8"/>
      <c r="E29" s="8"/>
      <c r="F29" s="8"/>
      <c r="G29" s="8"/>
      <c r="H29" s="57">
        <f>-C28</f>
        <v>23380.54758680231</v>
      </c>
    </row>
    <row r="30" spans="2:8">
      <c r="B30" s="431" t="s">
        <v>644</v>
      </c>
      <c r="C30" s="432">
        <f>SUM(C25:C28)</f>
        <v>-21362.51689670057</v>
      </c>
      <c r="D30" s="432">
        <f>+D22+D23-D24</f>
        <v>5769.5661931549002</v>
      </c>
      <c r="E30" s="432">
        <f>+E22+E23-E24</f>
        <v>10856.019650560072</v>
      </c>
      <c r="F30" s="432">
        <f>+F22+F23-F24</f>
        <v>16144.175669765504</v>
      </c>
      <c r="G30" s="432">
        <f>+G22+G23-G24</f>
        <v>21645.241768222786</v>
      </c>
      <c r="H30" s="432">
        <f>+H22+H23-H24+H27+H29</f>
        <v>66096.100701973017</v>
      </c>
    </row>
    <row r="31" spans="2:8">
      <c r="B31" s="67" t="s">
        <v>645</v>
      </c>
      <c r="C31" s="433">
        <f>+TMAR!C18</f>
        <v>0.13767971059363726</v>
      </c>
    </row>
    <row r="32" spans="2:8">
      <c r="B32" s="67" t="s">
        <v>646</v>
      </c>
      <c r="C32" s="472">
        <f>IRR(C30:H30)</f>
        <v>0.60074118686554556</v>
      </c>
      <c r="E32" s="311"/>
    </row>
    <row r="33" spans="1:8">
      <c r="B33" s="9" t="s">
        <v>647</v>
      </c>
      <c r="C33" s="434">
        <f>NPV(C31,D30:H30)+C30</f>
        <v>50660.284208280355</v>
      </c>
    </row>
    <row r="36" spans="1:8">
      <c r="B36" t="s">
        <v>652</v>
      </c>
      <c r="C36" s="480" t="s">
        <v>647</v>
      </c>
    </row>
    <row r="37" spans="1:8">
      <c r="A37" s="481" t="s">
        <v>711</v>
      </c>
      <c r="B37" s="123">
        <f>C31</f>
        <v>0.13767971059363726</v>
      </c>
      <c r="C37" s="482">
        <f>C33</f>
        <v>50660.284208280355</v>
      </c>
    </row>
    <row r="38" spans="1:8">
      <c r="A38" s="483">
        <v>0.05</v>
      </c>
      <c r="B38" s="249">
        <f>B37+A38</f>
        <v>0.18767971059363725</v>
      </c>
      <c r="C38" s="482">
        <f>NPV(B38,D30:H30)+C30</f>
        <v>39675.46381701254</v>
      </c>
    </row>
    <row r="39" spans="1:8">
      <c r="B39" s="484">
        <f>+B37-A38</f>
        <v>8.7679710593637258E-2</v>
      </c>
      <c r="C39" s="482">
        <f>NPV(B39,D30:H30)+C30</f>
        <v>64547.8802174468</v>
      </c>
    </row>
    <row r="40" spans="1:8">
      <c r="C40" s="485"/>
    </row>
    <row r="45" spans="1:8" ht="26.25">
      <c r="B45" s="534" t="s">
        <v>712</v>
      </c>
      <c r="C45" s="534"/>
      <c r="D45" s="534"/>
      <c r="E45" s="534"/>
      <c r="F45" s="534"/>
      <c r="G45" s="534"/>
      <c r="H45" s="534"/>
    </row>
    <row r="46" spans="1:8">
      <c r="B46" s="8" t="s">
        <v>713</v>
      </c>
      <c r="C46" s="8" t="s">
        <v>714</v>
      </c>
      <c r="D46" s="8" t="s">
        <v>715</v>
      </c>
      <c r="E46" s="8" t="s">
        <v>716</v>
      </c>
      <c r="F46" s="8" t="s">
        <v>717</v>
      </c>
      <c r="G46" s="8" t="s">
        <v>718</v>
      </c>
      <c r="H46" s="8" t="s">
        <v>719</v>
      </c>
    </row>
    <row r="47" spans="1:8">
      <c r="B47" s="8" t="s">
        <v>720</v>
      </c>
      <c r="C47" s="122">
        <v>0.15</v>
      </c>
      <c r="D47" s="486">
        <f>C39</f>
        <v>64547.8802174468</v>
      </c>
      <c r="E47" s="486">
        <f>+D47*C47</f>
        <v>9682.18203261702</v>
      </c>
      <c r="F47" s="486">
        <f>D47-$E$50</f>
        <v>16198.384764298607</v>
      </c>
      <c r="G47" s="486">
        <f>+F47^2</f>
        <v>262387668.97226125</v>
      </c>
      <c r="H47" s="486">
        <f>+G47*C47</f>
        <v>39358150.345839188</v>
      </c>
    </row>
    <row r="48" spans="1:8">
      <c r="B48" s="8" t="s">
        <v>721</v>
      </c>
      <c r="C48" s="122">
        <v>0.45</v>
      </c>
      <c r="D48" s="486">
        <f>C33</f>
        <v>50660.284208280355</v>
      </c>
      <c r="E48" s="486">
        <f>+D48*C48</f>
        <v>22797.12789372616</v>
      </c>
      <c r="F48" s="486">
        <f>D48-$E$50</f>
        <v>2310.7887551321619</v>
      </c>
      <c r="G48" s="486">
        <f>+F48^2</f>
        <v>5339744.6708452469</v>
      </c>
      <c r="H48" s="486">
        <f>+G48*C48</f>
        <v>2402885.1018803613</v>
      </c>
    </row>
    <row r="49" spans="2:8">
      <c r="B49" s="8" t="s">
        <v>722</v>
      </c>
      <c r="C49" s="122">
        <v>0.4</v>
      </c>
      <c r="D49" s="486">
        <f>C38</f>
        <v>39675.46381701254</v>
      </c>
      <c r="E49" s="486">
        <f>+D49*C49</f>
        <v>15870.185526805017</v>
      </c>
      <c r="F49" s="486">
        <f>D49-$E$50</f>
        <v>-8674.0316361356527</v>
      </c>
      <c r="G49" s="486">
        <f>+F49^2</f>
        <v>75238824.824682146</v>
      </c>
      <c r="H49" s="486">
        <f>+G49*C49</f>
        <v>30095529.929872859</v>
      </c>
    </row>
    <row r="50" spans="2:8">
      <c r="B50" s="8" t="s">
        <v>723</v>
      </c>
      <c r="C50" s="122">
        <f>SUM(C47:C49)</f>
        <v>1</v>
      </c>
      <c r="D50" s="486" t="s">
        <v>724</v>
      </c>
      <c r="E50" s="57">
        <f>SUM(E47:E49)</f>
        <v>48349.495453148193</v>
      </c>
      <c r="F50" s="57"/>
      <c r="G50" s="57">
        <f>SUM(G47:G49)</f>
        <v>342966238.46778864</v>
      </c>
      <c r="H50" s="57">
        <f>SUM(H47:H49)</f>
        <v>71856565.377592415</v>
      </c>
    </row>
    <row r="52" spans="2:8">
      <c r="D52" s="8" t="s">
        <v>725</v>
      </c>
      <c r="E52" s="57">
        <f>SQRT(H50)</f>
        <v>8476.825194469473</v>
      </c>
    </row>
    <row r="54" spans="2:8">
      <c r="D54" s="8" t="s">
        <v>726</v>
      </c>
      <c r="E54" s="8" t="s">
        <v>727</v>
      </c>
      <c r="F54" s="8" t="s">
        <v>728</v>
      </c>
    </row>
    <row r="55" spans="2:8">
      <c r="D55" s="122">
        <v>0.68</v>
      </c>
      <c r="E55" s="57">
        <f>+E50-E52</f>
        <v>39872.670258678721</v>
      </c>
      <c r="F55" s="57">
        <f>+E50+E52</f>
        <v>56826.320647617664</v>
      </c>
    </row>
    <row r="56" spans="2:8">
      <c r="D56" s="122">
        <v>0.95</v>
      </c>
      <c r="E56" s="57">
        <f>+E50-2*E52</f>
        <v>31395.845064209247</v>
      </c>
      <c r="F56" s="57">
        <f>+E50+2*E52</f>
        <v>65303.145842087135</v>
      </c>
    </row>
    <row r="57" spans="2:8">
      <c r="D57" s="122">
        <v>0.99</v>
      </c>
      <c r="E57" s="57">
        <f>+E50-3*E52</f>
        <v>22919.019869739772</v>
      </c>
      <c r="F57" s="57">
        <f>+E50+3*E52</f>
        <v>73779.971036556613</v>
      </c>
    </row>
    <row r="58" spans="2:8">
      <c r="B58" s="15"/>
      <c r="C58" s="15"/>
      <c r="D58" s="15"/>
      <c r="E58" s="15"/>
      <c r="F58" s="15"/>
      <c r="G58" s="15"/>
      <c r="H58" s="15"/>
    </row>
  </sheetData>
  <mergeCells count="2">
    <mergeCell ref="B4:H4"/>
    <mergeCell ref="B45:H45"/>
  </mergeCells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4:G38"/>
  <sheetViews>
    <sheetView topLeftCell="A16" workbookViewId="0">
      <selection activeCell="D18" sqref="D18"/>
    </sheetView>
  </sheetViews>
  <sheetFormatPr baseColWidth="10" defaultRowHeight="12.75"/>
  <cols>
    <col min="2" max="2" width="20.5703125" customWidth="1"/>
  </cols>
  <sheetData>
    <row r="4" spans="2:6">
      <c r="B4" s="536" t="s">
        <v>652</v>
      </c>
      <c r="C4" s="536"/>
    </row>
    <row r="6" spans="2:6">
      <c r="B6" s="8" t="s">
        <v>653</v>
      </c>
      <c r="C6" s="377">
        <f>+G38</f>
        <v>1.4368120695309936</v>
      </c>
    </row>
    <row r="7" spans="2:6">
      <c r="B7" s="8" t="s">
        <v>529</v>
      </c>
      <c r="C7" s="122">
        <f>Inversion!L6/Inversion!J20</f>
        <v>0.75</v>
      </c>
    </row>
    <row r="8" spans="2:6">
      <c r="B8" s="8" t="s">
        <v>654</v>
      </c>
      <c r="C8" s="244">
        <f>+(1-C7)</f>
        <v>0.25</v>
      </c>
    </row>
    <row r="9" spans="2:6">
      <c r="B9" s="8" t="s">
        <v>698</v>
      </c>
      <c r="C9" s="445">
        <f>+F9</f>
        <v>8.1799999999999998E-2</v>
      </c>
      <c r="D9">
        <v>818</v>
      </c>
      <c r="E9">
        <f>+D9/100</f>
        <v>8.18</v>
      </c>
      <c r="F9">
        <f>+E9/100</f>
        <v>8.1799999999999998E-2</v>
      </c>
    </row>
    <row r="10" spans="2:6">
      <c r="B10" s="8" t="s">
        <v>655</v>
      </c>
      <c r="C10" s="446">
        <v>3.6999999999999998E-2</v>
      </c>
      <c r="E10" s="447">
        <v>5.0140000000000002</v>
      </c>
      <c r="F10">
        <f>+E10/100</f>
        <v>5.0140000000000004E-2</v>
      </c>
    </row>
    <row r="11" spans="2:6">
      <c r="B11" s="8" t="s">
        <v>656</v>
      </c>
      <c r="C11" s="8">
        <f>F10</f>
        <v>5.0140000000000004E-2</v>
      </c>
    </row>
    <row r="12" spans="2:6">
      <c r="B12" s="29" t="s">
        <v>657</v>
      </c>
      <c r="C12" s="462">
        <f>Inversion!R25</f>
        <v>0.105</v>
      </c>
    </row>
    <row r="13" spans="2:6">
      <c r="B13" s="29" t="s">
        <v>658</v>
      </c>
      <c r="C13" s="8">
        <v>0.25</v>
      </c>
    </row>
    <row r="14" spans="2:6">
      <c r="B14" s="29" t="s">
        <v>659</v>
      </c>
      <c r="C14" s="8">
        <f>1-C13</f>
        <v>0.75</v>
      </c>
    </row>
    <row r="15" spans="2:6">
      <c r="B15" s="29"/>
      <c r="C15" s="8"/>
    </row>
    <row r="16" spans="2:6">
      <c r="B16" s="8" t="s">
        <v>655</v>
      </c>
      <c r="C16" s="448">
        <f>+C9+C10</f>
        <v>0.11879999999999999</v>
      </c>
    </row>
    <row r="17" spans="2:6">
      <c r="B17" s="8" t="s">
        <v>660</v>
      </c>
      <c r="C17" s="449">
        <f>+C11-C10</f>
        <v>1.3140000000000006E-2</v>
      </c>
    </row>
    <row r="18" spans="2:6">
      <c r="B18" s="450" t="s">
        <v>661</v>
      </c>
      <c r="C18" s="451">
        <f>+C16+C6*C17</f>
        <v>0.13767971059363726</v>
      </c>
    </row>
    <row r="19" spans="2:6">
      <c r="B19" s="450" t="s">
        <v>662</v>
      </c>
      <c r="C19" s="451">
        <f>+(C12*C14*C7)+(C18*C8)</f>
        <v>9.3482427648409319E-2</v>
      </c>
    </row>
    <row r="22" spans="2:6">
      <c r="B22" t="s">
        <v>663</v>
      </c>
    </row>
    <row r="23" spans="2:6">
      <c r="B23" t="s">
        <v>664</v>
      </c>
    </row>
    <row r="24" spans="2:6">
      <c r="B24" t="s">
        <v>665</v>
      </c>
    </row>
    <row r="25" spans="2:6">
      <c r="B25" t="s">
        <v>666</v>
      </c>
    </row>
    <row r="27" spans="2:6">
      <c r="B27" s="3" t="s">
        <v>651</v>
      </c>
    </row>
    <row r="28" spans="2:6">
      <c r="B28" t="s">
        <v>667</v>
      </c>
    </row>
    <row r="31" spans="2:6">
      <c r="B31" s="520" t="s">
        <v>668</v>
      </c>
      <c r="C31" s="520"/>
      <c r="D31" s="520"/>
      <c r="E31" s="520"/>
      <c r="F31" s="520"/>
    </row>
    <row r="32" spans="2:6">
      <c r="C32" s="535" t="s">
        <v>696</v>
      </c>
      <c r="D32" s="535" t="s">
        <v>695</v>
      </c>
      <c r="E32" s="535" t="s">
        <v>697</v>
      </c>
      <c r="F32" s="535" t="s">
        <v>121</v>
      </c>
    </row>
    <row r="33" spans="2:7">
      <c r="C33" s="535"/>
      <c r="D33" s="535"/>
      <c r="E33" s="535"/>
      <c r="F33" s="535"/>
    </row>
    <row r="34" spans="2:7">
      <c r="B34" s="8" t="s">
        <v>669</v>
      </c>
      <c r="C34">
        <v>0.44</v>
      </c>
      <c r="D34">
        <v>2.08</v>
      </c>
      <c r="E34" s="8">
        <v>1.61</v>
      </c>
      <c r="F34" s="8">
        <v>0.35</v>
      </c>
    </row>
    <row r="35" spans="2:7">
      <c r="B35" s="8" t="s">
        <v>694</v>
      </c>
      <c r="C35" s="8">
        <v>5.63</v>
      </c>
      <c r="D35" s="8">
        <v>2.78</v>
      </c>
      <c r="E35" s="8">
        <v>22.08</v>
      </c>
      <c r="F35" s="8">
        <f>SUM(C35:E35)</f>
        <v>30.49</v>
      </c>
      <c r="G35" s="8"/>
    </row>
    <row r="36" spans="2:7">
      <c r="B36" s="15"/>
      <c r="C36" s="15"/>
      <c r="D36" s="15"/>
      <c r="E36" s="15"/>
      <c r="F36" s="15"/>
    </row>
    <row r="37" spans="2:7">
      <c r="B37" s="535" t="s">
        <v>670</v>
      </c>
      <c r="C37" s="8"/>
      <c r="D37" s="8"/>
      <c r="E37" s="8"/>
      <c r="F37" s="8"/>
      <c r="G37" s="17"/>
    </row>
    <row r="38" spans="2:7" ht="12.75" customHeight="1">
      <c r="B38" s="535" t="s">
        <v>670</v>
      </c>
      <c r="C38" s="377">
        <f>+C34*(C35/F35)</f>
        <v>8.1246310265660884E-2</v>
      </c>
      <c r="D38" s="452">
        <f>+D34*(D35/F35)</f>
        <v>0.18964906526730074</v>
      </c>
      <c r="E38" s="452">
        <f>+E34*(E35/F35)</f>
        <v>1.1659166939980321</v>
      </c>
      <c r="F38" s="453">
        <f>SUM(C38:E38)</f>
        <v>1.4368120695309936</v>
      </c>
      <c r="G38" s="377">
        <f>F38</f>
        <v>1.4368120695309936</v>
      </c>
    </row>
  </sheetData>
  <mergeCells count="7">
    <mergeCell ref="B37:B38"/>
    <mergeCell ref="B4:C4"/>
    <mergeCell ref="B31:F31"/>
    <mergeCell ref="C32:C33"/>
    <mergeCell ref="D32:D33"/>
    <mergeCell ref="E32:E33"/>
    <mergeCell ref="F32:F33"/>
  </mergeCells>
  <phoneticPr fontId="2" type="noConversion"/>
  <pageMargins left="0.7" right="0.7" top="0.75" bottom="0.75" header="0.3" footer="0.3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21"/>
  <sheetViews>
    <sheetView workbookViewId="0">
      <selection activeCell="C7" sqref="C7"/>
    </sheetView>
  </sheetViews>
  <sheetFormatPr baseColWidth="10" defaultRowHeight="12.75"/>
  <cols>
    <col min="2" max="2" width="29.42578125" customWidth="1"/>
  </cols>
  <sheetData>
    <row r="2" spans="2:9">
      <c r="E2" s="3"/>
    </row>
    <row r="3" spans="2:9">
      <c r="B3" s="520" t="s">
        <v>610</v>
      </c>
      <c r="C3" s="520"/>
      <c r="D3" s="520"/>
      <c r="E3" s="520"/>
      <c r="F3" s="520"/>
      <c r="G3" s="520"/>
    </row>
    <row r="4" spans="2:9">
      <c r="H4" s="3"/>
      <c r="I4" s="3"/>
    </row>
    <row r="5" spans="2:9">
      <c r="B5" s="17" t="s">
        <v>611</v>
      </c>
      <c r="C5" s="17" t="s">
        <v>354</v>
      </c>
      <c r="D5" s="17" t="s">
        <v>355</v>
      </c>
      <c r="E5" s="17" t="s">
        <v>356</v>
      </c>
      <c r="F5" s="17" t="s">
        <v>357</v>
      </c>
      <c r="G5" s="17" t="s">
        <v>358</v>
      </c>
      <c r="H5" s="3"/>
      <c r="I5" s="3"/>
    </row>
    <row r="6" spans="2:9">
      <c r="B6" s="8" t="s">
        <v>612</v>
      </c>
      <c r="C6" s="8">
        <f>+Ingresos!C16</f>
        <v>608860.63931397058</v>
      </c>
      <c r="D6" s="8">
        <f>+Ingresos!D16</f>
        <v>627126.45849338931</v>
      </c>
      <c r="E6" s="8">
        <f>+Ingresos!E16</f>
        <v>645940.25224819104</v>
      </c>
      <c r="F6" s="8">
        <f>+Ingresos!F16</f>
        <v>665318.45981563674</v>
      </c>
      <c r="G6" s="8">
        <f>+Ingresos!G16</f>
        <v>685278.01361010596</v>
      </c>
      <c r="H6" s="3"/>
      <c r="I6" s="3"/>
    </row>
    <row r="7" spans="2:9">
      <c r="B7" s="8" t="s">
        <v>613</v>
      </c>
      <c r="C7" s="57">
        <f>+Costos!F8+Costos!F20+Costos!I35+Costos!F45+Costos!G56</f>
        <v>362656.89766382275</v>
      </c>
      <c r="D7" s="8">
        <f>+C7*1.03</f>
        <v>373536.60459373746</v>
      </c>
      <c r="E7" s="8">
        <f>+D7*1.03</f>
        <v>384742.70273154957</v>
      </c>
      <c r="F7" s="8">
        <f>+E7*1.03</f>
        <v>396284.98381349607</v>
      </c>
      <c r="G7" s="8">
        <f>+F7*1.03</f>
        <v>408173.53332790098</v>
      </c>
      <c r="H7" s="3"/>
      <c r="I7" s="3"/>
    </row>
    <row r="8" spans="2:9">
      <c r="B8" s="9" t="s">
        <v>624</v>
      </c>
      <c r="C8" s="416">
        <f>+C6-C7</f>
        <v>246203.74165014783</v>
      </c>
      <c r="D8" s="416">
        <f>+D6-D7</f>
        <v>253589.85389965185</v>
      </c>
      <c r="E8" s="416">
        <f>+E6-E7</f>
        <v>261197.54951664148</v>
      </c>
      <c r="F8" s="416">
        <f>+F6-F7</f>
        <v>269033.47600214067</v>
      </c>
      <c r="G8" s="416">
        <f>+G6-G7</f>
        <v>277104.48028220498</v>
      </c>
      <c r="H8" s="3"/>
      <c r="I8" s="3"/>
    </row>
    <row r="9" spans="2:9">
      <c r="B9" s="9" t="s">
        <v>154</v>
      </c>
      <c r="C9" s="416">
        <f>SUM(C10:C14)</f>
        <v>219518.65000000002</v>
      </c>
      <c r="D9" s="416">
        <f>SUM(D10:D14)</f>
        <v>219518.65000000002</v>
      </c>
      <c r="E9" s="416">
        <f>SUM(E10:E14)</f>
        <v>219518.65000000002</v>
      </c>
      <c r="F9" s="416">
        <f>SUM(F10:F14)</f>
        <v>219518.65000000002</v>
      </c>
      <c r="G9" s="416">
        <f>SUM(G10:G14)</f>
        <v>219518.65000000002</v>
      </c>
      <c r="H9" s="3"/>
      <c r="I9" s="3"/>
    </row>
    <row r="10" spans="2:9">
      <c r="B10" s="331" t="s">
        <v>691</v>
      </c>
      <c r="C10" s="426">
        <f>+Gastos!E34</f>
        <v>41400</v>
      </c>
      <c r="D10" s="426">
        <f t="shared" ref="D10:G11" si="0">+C10</f>
        <v>41400</v>
      </c>
      <c r="E10" s="426">
        <f t="shared" si="0"/>
        <v>41400</v>
      </c>
      <c r="F10" s="426">
        <f t="shared" si="0"/>
        <v>41400</v>
      </c>
      <c r="G10" s="426">
        <f t="shared" si="0"/>
        <v>41400</v>
      </c>
      <c r="H10" s="3"/>
      <c r="I10" s="3"/>
    </row>
    <row r="11" spans="2:9">
      <c r="B11" s="8" t="s">
        <v>203</v>
      </c>
      <c r="C11" s="8">
        <f>+Gastos!F10</f>
        <v>43200</v>
      </c>
      <c r="D11" s="8">
        <f t="shared" si="0"/>
        <v>43200</v>
      </c>
      <c r="E11" s="8">
        <f t="shared" si="0"/>
        <v>43200</v>
      </c>
      <c r="F11" s="8">
        <f t="shared" si="0"/>
        <v>43200</v>
      </c>
      <c r="G11" s="8">
        <f t="shared" si="0"/>
        <v>43200</v>
      </c>
      <c r="H11" s="3"/>
      <c r="I11" s="3"/>
    </row>
    <row r="12" spans="2:9">
      <c r="B12" s="8" t="s">
        <v>614</v>
      </c>
      <c r="C12" s="57">
        <f>+Amortizacion!D12</f>
        <v>3530.6</v>
      </c>
      <c r="D12" s="57">
        <f>+Amortizacion!E12</f>
        <v>3530.6</v>
      </c>
      <c r="E12" s="57">
        <f>+Amortizacion!F12</f>
        <v>3530.6</v>
      </c>
      <c r="F12" s="57">
        <f>+Amortizacion!G12</f>
        <v>3530.6</v>
      </c>
      <c r="G12" s="57">
        <f>+Amortizacion!H12</f>
        <v>3530.6</v>
      </c>
      <c r="H12" s="3"/>
      <c r="I12" s="3"/>
    </row>
    <row r="13" spans="2:9">
      <c r="B13" s="8" t="s">
        <v>615</v>
      </c>
      <c r="C13" s="57">
        <f>+Depreciaciones!E35</f>
        <v>7388.0499999999993</v>
      </c>
      <c r="D13" s="57">
        <f t="shared" ref="D13:G14" si="1">+C13</f>
        <v>7388.0499999999993</v>
      </c>
      <c r="E13" s="57">
        <f t="shared" si="1"/>
        <v>7388.0499999999993</v>
      </c>
      <c r="F13" s="57">
        <f t="shared" si="1"/>
        <v>7388.0499999999993</v>
      </c>
      <c r="G13" s="57">
        <f t="shared" si="1"/>
        <v>7388.0499999999993</v>
      </c>
      <c r="H13" s="3"/>
      <c r="I13" s="3"/>
    </row>
    <row r="14" spans="2:9">
      <c r="B14" s="8" t="s">
        <v>616</v>
      </c>
      <c r="C14" s="8">
        <f>+Gastos!F17</f>
        <v>124000</v>
      </c>
      <c r="D14" s="8">
        <f t="shared" si="1"/>
        <v>124000</v>
      </c>
      <c r="E14" s="8">
        <f t="shared" si="1"/>
        <v>124000</v>
      </c>
      <c r="F14" s="8">
        <f t="shared" si="1"/>
        <v>124000</v>
      </c>
      <c r="G14" s="8">
        <f t="shared" si="1"/>
        <v>124000</v>
      </c>
      <c r="H14" s="3"/>
      <c r="I14" s="3"/>
    </row>
    <row r="15" spans="2:9">
      <c r="B15" s="9" t="s">
        <v>617</v>
      </c>
      <c r="C15" s="416">
        <f>+C8-C9</f>
        <v>26685.091650147806</v>
      </c>
      <c r="D15" s="416">
        <f>+D8-D9</f>
        <v>34071.203899651824</v>
      </c>
      <c r="E15" s="416">
        <f>+E8-E9</f>
        <v>41678.899516641453</v>
      </c>
      <c r="F15" s="416">
        <f>+F8-F9</f>
        <v>49514.826002140646</v>
      </c>
      <c r="G15" s="416">
        <f>+G8-G9</f>
        <v>57585.830282204959</v>
      </c>
      <c r="H15" s="3"/>
      <c r="I15" s="3"/>
    </row>
    <row r="16" spans="2:9">
      <c r="B16" s="8" t="s">
        <v>618</v>
      </c>
      <c r="C16" s="101">
        <f>+C17</f>
        <v>6729.1928224606818</v>
      </c>
      <c r="D16" s="101">
        <f>+D17</f>
        <v>5637.8826429560277</v>
      </c>
      <c r="E16" s="101">
        <f>+E17</f>
        <v>4431.9848946033853</v>
      </c>
      <c r="F16" s="101">
        <f>+F17</f>
        <v>3099.4678826737149</v>
      </c>
      <c r="G16" s="101">
        <f>+G17</f>
        <v>1627.0365844914293</v>
      </c>
    </row>
    <row r="17" spans="2:7">
      <c r="B17" s="8" t="s">
        <v>619</v>
      </c>
      <c r="C17" s="57">
        <f>+Inversion!R34</f>
        <v>6729.1928224606818</v>
      </c>
      <c r="D17" s="57">
        <f>+Inversion!R35</f>
        <v>5637.8826429560277</v>
      </c>
      <c r="E17" s="57">
        <f>+Inversion!R36</f>
        <v>4431.9848946033853</v>
      </c>
      <c r="F17" s="57">
        <f>+Inversion!R37</f>
        <v>3099.4678826737149</v>
      </c>
      <c r="G17" s="57">
        <f>+Inversion!R38</f>
        <v>1627.0365844914293</v>
      </c>
    </row>
    <row r="18" spans="2:7">
      <c r="B18" s="9" t="s">
        <v>620</v>
      </c>
      <c r="C18" s="416">
        <f>+C15-C16</f>
        <v>19955.898827687124</v>
      </c>
      <c r="D18" s="416">
        <f>+D15-D16</f>
        <v>28433.321256695795</v>
      </c>
      <c r="E18" s="416">
        <f>+E15-E16</f>
        <v>37246.914622038064</v>
      </c>
      <c r="F18" s="416">
        <f>+F15-F16</f>
        <v>46415.358119466931</v>
      </c>
      <c r="G18" s="416">
        <f>+G15-G16</f>
        <v>55958.793697713532</v>
      </c>
    </row>
    <row r="19" spans="2:7">
      <c r="B19" s="8" t="s">
        <v>621</v>
      </c>
      <c r="C19" s="57">
        <f>+C18*25%</f>
        <v>4988.974706921781</v>
      </c>
      <c r="D19" s="57">
        <f>+D18*25%</f>
        <v>7108.3303141739489</v>
      </c>
      <c r="E19" s="57">
        <f>+E18*25%</f>
        <v>9311.7286555095161</v>
      </c>
      <c r="F19" s="57">
        <f>+F18*25%</f>
        <v>11603.839529866733</v>
      </c>
      <c r="G19" s="57">
        <f>+G18*25%</f>
        <v>13989.698424428383</v>
      </c>
    </row>
    <row r="20" spans="2:7">
      <c r="B20" s="8" t="s">
        <v>622</v>
      </c>
      <c r="C20" s="57">
        <f>+C18*15%</f>
        <v>2993.3848241530686</v>
      </c>
      <c r="D20" s="57">
        <f>+D18*15%</f>
        <v>4264.998188504369</v>
      </c>
      <c r="E20" s="57">
        <f>+E18*15%</f>
        <v>5587.0371933057095</v>
      </c>
      <c r="F20" s="57">
        <f>+F18*15%</f>
        <v>6962.3037179200392</v>
      </c>
      <c r="G20" s="57">
        <f>+G18*15%</f>
        <v>8393.8190546570295</v>
      </c>
    </row>
    <row r="21" spans="2:7">
      <c r="B21" s="417" t="s">
        <v>623</v>
      </c>
      <c r="C21" s="418">
        <f>+C18-C19-C20</f>
        <v>11973.539296612274</v>
      </c>
      <c r="D21" s="418">
        <f>+D18-D19-D20</f>
        <v>17059.992754017476</v>
      </c>
      <c r="E21" s="418">
        <f>+E18-E19-E20</f>
        <v>22348.148773222838</v>
      </c>
      <c r="F21" s="418">
        <f>+F18-F19-F20</f>
        <v>27849.21487168016</v>
      </c>
      <c r="G21" s="418">
        <f>+G18-G19-G20</f>
        <v>33575.276218628118</v>
      </c>
    </row>
  </sheetData>
  <mergeCells count="1">
    <mergeCell ref="B3:G3"/>
  </mergeCells>
  <phoneticPr fontId="2" type="noConversion"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4:J41"/>
  <sheetViews>
    <sheetView topLeftCell="A19" workbookViewId="0">
      <selection activeCell="J21" sqref="J21"/>
    </sheetView>
  </sheetViews>
  <sheetFormatPr baseColWidth="10" defaultRowHeight="12.75"/>
  <cols>
    <col min="2" max="2" width="25.42578125" customWidth="1"/>
    <col min="4" max="4" width="16.140625" bestFit="1" customWidth="1"/>
  </cols>
  <sheetData>
    <row r="4" spans="1:9">
      <c r="B4" s="18"/>
    </row>
    <row r="5" spans="1:9">
      <c r="B5" s="520" t="s">
        <v>601</v>
      </c>
      <c r="C5" s="520"/>
      <c r="D5" s="520"/>
      <c r="E5" s="520"/>
      <c r="F5" s="520"/>
      <c r="G5" s="520"/>
      <c r="H5" s="520"/>
    </row>
    <row r="7" spans="1:9" ht="16.5" customHeight="1" thickBot="1">
      <c r="A7" s="406"/>
    </row>
    <row r="8" spans="1:9" ht="16.5">
      <c r="A8" s="235"/>
      <c r="B8" s="545" t="s">
        <v>137</v>
      </c>
      <c r="C8" s="537" t="s">
        <v>602</v>
      </c>
      <c r="D8" s="537" t="s">
        <v>603</v>
      </c>
      <c r="E8" s="537" t="s">
        <v>604</v>
      </c>
      <c r="F8" s="537" t="s">
        <v>605</v>
      </c>
      <c r="G8" s="537" t="s">
        <v>606</v>
      </c>
      <c r="H8" s="539" t="s">
        <v>607</v>
      </c>
    </row>
    <row r="9" spans="1:9">
      <c r="A9" s="15"/>
      <c r="B9" s="546"/>
      <c r="C9" s="538"/>
      <c r="D9" s="538"/>
      <c r="E9" s="538"/>
      <c r="F9" s="538"/>
      <c r="G9" s="538"/>
      <c r="H9" s="540"/>
    </row>
    <row r="10" spans="1:9">
      <c r="A10" s="15"/>
      <c r="B10" s="411" t="s">
        <v>1</v>
      </c>
      <c r="C10" s="407"/>
      <c r="D10" s="407"/>
      <c r="E10" s="407"/>
      <c r="F10" s="407"/>
      <c r="G10" s="407"/>
      <c r="H10" s="410"/>
    </row>
    <row r="11" spans="1:9">
      <c r="A11" s="15"/>
      <c r="B11" s="72" t="str">
        <f>+Inversion!C52</f>
        <v>Aire acondicionado</v>
      </c>
      <c r="C11" s="79">
        <f>+Inversion!H52</f>
        <v>560</v>
      </c>
      <c r="D11" s="19">
        <v>10</v>
      </c>
      <c r="E11" s="57">
        <f>+C11/D11</f>
        <v>56</v>
      </c>
      <c r="F11" s="19">
        <v>5</v>
      </c>
      <c r="G11" s="57">
        <f>+E11*F11</f>
        <v>280</v>
      </c>
      <c r="H11" s="412">
        <f>-G11+C11</f>
        <v>280</v>
      </c>
    </row>
    <row r="12" spans="1:9">
      <c r="A12" s="15"/>
      <c r="B12" s="72" t="str">
        <f>+Inversion!C53</f>
        <v>alarmas de seguridad</v>
      </c>
      <c r="C12" s="79">
        <f>+Inversion!H53</f>
        <v>1000</v>
      </c>
      <c r="D12" s="19">
        <v>10</v>
      </c>
      <c r="E12" s="8">
        <f>+C12/D12</f>
        <v>100</v>
      </c>
      <c r="F12" s="19">
        <v>5</v>
      </c>
      <c r="G12" s="57">
        <f>+E12*F12</f>
        <v>500</v>
      </c>
      <c r="H12" s="412">
        <f t="shared" ref="H12:H34" si="0">-G12+C12</f>
        <v>500</v>
      </c>
      <c r="I12">
        <v>500</v>
      </c>
    </row>
    <row r="13" spans="1:9">
      <c r="A13" s="15"/>
      <c r="B13" s="72" t="str">
        <f>+Inversion!C54</f>
        <v>camaras de frio</v>
      </c>
      <c r="C13" s="79">
        <f>+Inversion!H54</f>
        <v>9000</v>
      </c>
      <c r="D13" s="19">
        <v>10</v>
      </c>
      <c r="E13" s="8">
        <f>+C13/D13</f>
        <v>900</v>
      </c>
      <c r="F13" s="19">
        <v>5</v>
      </c>
      <c r="G13" s="57">
        <f>+E13*F13</f>
        <v>4500</v>
      </c>
      <c r="H13" s="412">
        <f t="shared" si="0"/>
        <v>4500</v>
      </c>
      <c r="I13">
        <v>4500</v>
      </c>
    </row>
    <row r="14" spans="1:9">
      <c r="A14" s="15"/>
      <c r="B14" s="72" t="str">
        <f>+Inversion!C55</f>
        <v>extintores</v>
      </c>
      <c r="C14" s="79">
        <f>+Inversion!H55</f>
        <v>72</v>
      </c>
      <c r="D14" s="19">
        <v>10</v>
      </c>
      <c r="E14" s="8">
        <f>+C14/D14</f>
        <v>7.2</v>
      </c>
      <c r="F14" s="19">
        <v>5</v>
      </c>
      <c r="G14" s="57">
        <f>+E14*F14</f>
        <v>36</v>
      </c>
      <c r="H14" s="412">
        <f t="shared" si="0"/>
        <v>36</v>
      </c>
      <c r="I14">
        <v>36</v>
      </c>
    </row>
    <row r="15" spans="1:9">
      <c r="A15" s="15"/>
      <c r="B15" s="411" t="str">
        <f>+Inversion!C64</f>
        <v>Equipos y Maquinarias</v>
      </c>
      <c r="C15" s="79"/>
      <c r="D15" s="19"/>
      <c r="E15" s="8"/>
      <c r="F15" s="19"/>
      <c r="G15" s="57"/>
      <c r="H15" s="412"/>
    </row>
    <row r="16" spans="1:9">
      <c r="A16" s="15"/>
      <c r="B16" s="72" t="str">
        <f>+Inversion!C65</f>
        <v>Hornos Ahumadores</v>
      </c>
      <c r="C16" s="79">
        <f>+Inversion!H65</f>
        <v>11137.5</v>
      </c>
      <c r="D16" s="19">
        <v>10</v>
      </c>
      <c r="E16" s="8">
        <f>+C16/D16</f>
        <v>1113.75</v>
      </c>
      <c r="F16" s="19">
        <v>5</v>
      </c>
      <c r="G16" s="57">
        <f t="shared" ref="G16:G22" si="1">+E16*F16</f>
        <v>5568.75</v>
      </c>
      <c r="H16" s="412">
        <f t="shared" si="0"/>
        <v>5568.75</v>
      </c>
      <c r="I16">
        <v>5568.75</v>
      </c>
    </row>
    <row r="17" spans="1:9">
      <c r="A17" s="15"/>
      <c r="B17" s="72" t="str">
        <f>+Inversion!C66</f>
        <v>Empacadoras</v>
      </c>
      <c r="C17" s="79">
        <f>+Inversion!H66</f>
        <v>2600</v>
      </c>
      <c r="D17" s="19">
        <v>10</v>
      </c>
      <c r="E17" s="8">
        <f t="shared" ref="E17:E34" si="2">+C17/D17</f>
        <v>260</v>
      </c>
      <c r="F17" s="19">
        <v>5</v>
      </c>
      <c r="G17" s="57">
        <f t="shared" si="1"/>
        <v>1300</v>
      </c>
      <c r="H17" s="412">
        <f t="shared" si="0"/>
        <v>1300</v>
      </c>
      <c r="I17">
        <v>260</v>
      </c>
    </row>
    <row r="18" spans="1:9">
      <c r="A18" s="15"/>
      <c r="B18" s="72" t="str">
        <f>+Inversion!C67</f>
        <v>Selladoras</v>
      </c>
      <c r="C18" s="79">
        <f>+Inversion!H67</f>
        <v>1500</v>
      </c>
      <c r="D18" s="19">
        <v>10</v>
      </c>
      <c r="E18" s="8">
        <f t="shared" si="2"/>
        <v>150</v>
      </c>
      <c r="F18" s="19">
        <v>5</v>
      </c>
      <c r="G18" s="57">
        <f t="shared" si="1"/>
        <v>750</v>
      </c>
      <c r="H18" s="412">
        <f t="shared" si="0"/>
        <v>750</v>
      </c>
      <c r="I18">
        <v>750</v>
      </c>
    </row>
    <row r="19" spans="1:9">
      <c r="B19" s="72" t="str">
        <f>+Inversion!C68</f>
        <v>Balanzas electronicas</v>
      </c>
      <c r="C19" s="79">
        <f>+Inversion!H68</f>
        <v>119</v>
      </c>
      <c r="D19" s="19">
        <v>10</v>
      </c>
      <c r="E19" s="8">
        <f t="shared" si="2"/>
        <v>11.9</v>
      </c>
      <c r="F19" s="19">
        <v>5</v>
      </c>
      <c r="G19" s="57">
        <f t="shared" si="1"/>
        <v>59.5</v>
      </c>
      <c r="H19" s="412">
        <f t="shared" si="0"/>
        <v>59.5</v>
      </c>
      <c r="I19">
        <v>59.5</v>
      </c>
    </row>
    <row r="20" spans="1:9">
      <c r="B20" s="72" t="str">
        <f>+Inversion!C69</f>
        <v>Equipos de Refrigeracion</v>
      </c>
      <c r="C20" s="79">
        <f>+Inversion!H69</f>
        <v>4500</v>
      </c>
      <c r="D20" s="409">
        <v>10</v>
      </c>
      <c r="E20" s="8">
        <f t="shared" si="2"/>
        <v>450</v>
      </c>
      <c r="F20" s="409">
        <v>5</v>
      </c>
      <c r="G20" s="98">
        <f t="shared" si="1"/>
        <v>2250</v>
      </c>
      <c r="H20" s="412">
        <f t="shared" si="0"/>
        <v>2250</v>
      </c>
      <c r="I20">
        <v>2250</v>
      </c>
    </row>
    <row r="21" spans="1:9">
      <c r="B21" s="72" t="str">
        <f>+Inversion!C70</f>
        <v>Vehiculos</v>
      </c>
      <c r="C21" s="79">
        <f>+Inversion!H70</f>
        <v>16000</v>
      </c>
      <c r="D21" s="409">
        <v>5</v>
      </c>
      <c r="E21" s="8">
        <f t="shared" si="2"/>
        <v>3200</v>
      </c>
      <c r="F21" s="409">
        <v>5</v>
      </c>
      <c r="G21" s="98">
        <f t="shared" si="1"/>
        <v>16000</v>
      </c>
      <c r="H21" s="412">
        <f t="shared" si="0"/>
        <v>0</v>
      </c>
      <c r="I21">
        <v>16000</v>
      </c>
    </row>
    <row r="22" spans="1:9">
      <c r="B22" s="72" t="str">
        <f>+Inversion!C71</f>
        <v>Gas Industrial</v>
      </c>
      <c r="C22" s="79">
        <f>+Inversion!H71</f>
        <v>200</v>
      </c>
      <c r="D22" s="409">
        <v>10</v>
      </c>
      <c r="E22" s="8">
        <f t="shared" si="2"/>
        <v>20</v>
      </c>
      <c r="F22" s="409">
        <v>5</v>
      </c>
      <c r="G22" s="98">
        <f t="shared" si="1"/>
        <v>100</v>
      </c>
      <c r="H22" s="412">
        <f t="shared" si="0"/>
        <v>100</v>
      </c>
      <c r="I22">
        <v>100</v>
      </c>
    </row>
    <row r="23" spans="1:9">
      <c r="B23" s="411" t="str">
        <f>+Inversion!C33</f>
        <v>MUEBLES Y ENSERES</v>
      </c>
      <c r="C23" s="8"/>
      <c r="D23" s="8"/>
      <c r="E23" s="8"/>
      <c r="F23" s="8"/>
      <c r="G23" s="98"/>
      <c r="H23" s="412"/>
    </row>
    <row r="24" spans="1:9">
      <c r="B24" s="72" t="str">
        <f>+Inversion!C36</f>
        <v>Escritorios</v>
      </c>
      <c r="C24" s="8">
        <f>+Inversion!H36</f>
        <v>360</v>
      </c>
      <c r="D24" s="409">
        <v>5</v>
      </c>
      <c r="E24" s="8">
        <f t="shared" si="2"/>
        <v>72</v>
      </c>
      <c r="F24" s="409">
        <v>5</v>
      </c>
      <c r="G24" s="98">
        <f t="shared" ref="G24:G34" si="3">+E24*F24</f>
        <v>360</v>
      </c>
      <c r="H24" s="412">
        <f t="shared" si="0"/>
        <v>0</v>
      </c>
      <c r="I24">
        <v>360</v>
      </c>
    </row>
    <row r="25" spans="1:9">
      <c r="B25" s="72" t="str">
        <f>+Inversion!C37</f>
        <v>Mesas de reuniones</v>
      </c>
      <c r="C25" s="8">
        <f>+Inversion!H37</f>
        <v>240</v>
      </c>
      <c r="D25" s="409">
        <v>5</v>
      </c>
      <c r="E25" s="8">
        <f t="shared" si="2"/>
        <v>48</v>
      </c>
      <c r="F25" s="409">
        <v>5</v>
      </c>
      <c r="G25" s="98">
        <f t="shared" si="3"/>
        <v>240</v>
      </c>
      <c r="H25" s="412">
        <f t="shared" si="0"/>
        <v>0</v>
      </c>
      <c r="I25">
        <v>240</v>
      </c>
    </row>
    <row r="26" spans="1:9">
      <c r="B26" s="72" t="str">
        <f>+Inversion!C38</f>
        <v>sillones ejecutivos</v>
      </c>
      <c r="C26" s="8">
        <f>+Inversion!H38</f>
        <v>450</v>
      </c>
      <c r="D26" s="409">
        <v>5</v>
      </c>
      <c r="E26" s="8">
        <f t="shared" si="2"/>
        <v>90</v>
      </c>
      <c r="F26" s="409">
        <v>5</v>
      </c>
      <c r="G26" s="98">
        <f t="shared" si="3"/>
        <v>450</v>
      </c>
      <c r="H26" s="412">
        <f t="shared" si="0"/>
        <v>0</v>
      </c>
      <c r="I26">
        <v>450</v>
      </c>
    </row>
    <row r="27" spans="1:9">
      <c r="B27" s="72" t="str">
        <f>+Inversion!C39</f>
        <v>Sillas</v>
      </c>
      <c r="C27" s="8">
        <f>+Inversion!H39</f>
        <v>91</v>
      </c>
      <c r="D27" s="409">
        <v>5</v>
      </c>
      <c r="E27" s="8">
        <f t="shared" si="2"/>
        <v>18.2</v>
      </c>
      <c r="F27" s="409">
        <v>5</v>
      </c>
      <c r="G27" s="98">
        <f t="shared" si="3"/>
        <v>91</v>
      </c>
      <c r="H27" s="412">
        <f t="shared" si="0"/>
        <v>0</v>
      </c>
      <c r="I27">
        <v>91</v>
      </c>
    </row>
    <row r="28" spans="1:9">
      <c r="B28" s="72" t="str">
        <f>+Inversion!C40</f>
        <v>Archivadores</v>
      </c>
      <c r="C28" s="8">
        <f>+Inversion!H40</f>
        <v>930</v>
      </c>
      <c r="D28" s="409">
        <v>5</v>
      </c>
      <c r="E28" s="8">
        <f t="shared" si="2"/>
        <v>186</v>
      </c>
      <c r="F28" s="409">
        <v>5</v>
      </c>
      <c r="G28" s="98">
        <f t="shared" si="3"/>
        <v>930</v>
      </c>
      <c r="H28" s="412">
        <f t="shared" si="0"/>
        <v>0</v>
      </c>
      <c r="I28">
        <v>930</v>
      </c>
    </row>
    <row r="29" spans="1:9">
      <c r="B29" s="72" t="str">
        <f>+Inversion!C41</f>
        <v>Mesas de plastico</v>
      </c>
      <c r="C29" s="8">
        <f>+Inversion!H41</f>
        <v>195</v>
      </c>
      <c r="D29" s="409">
        <v>5</v>
      </c>
      <c r="E29" s="8">
        <f t="shared" si="2"/>
        <v>39</v>
      </c>
      <c r="F29" s="409">
        <v>5</v>
      </c>
      <c r="G29" s="98">
        <f t="shared" si="3"/>
        <v>195</v>
      </c>
      <c r="H29" s="412">
        <f t="shared" si="0"/>
        <v>0</v>
      </c>
      <c r="I29">
        <v>195</v>
      </c>
    </row>
    <row r="30" spans="1:9">
      <c r="B30" s="72" t="str">
        <f>+Inversion!C42</f>
        <v>sofa</v>
      </c>
      <c r="C30" s="8">
        <f>+Inversion!H42</f>
        <v>860</v>
      </c>
      <c r="D30" s="409">
        <v>5</v>
      </c>
      <c r="E30" s="8">
        <f t="shared" si="2"/>
        <v>172</v>
      </c>
      <c r="F30" s="409">
        <v>5</v>
      </c>
      <c r="G30" s="98">
        <f t="shared" si="3"/>
        <v>860</v>
      </c>
      <c r="H30" s="412">
        <f t="shared" si="0"/>
        <v>0</v>
      </c>
      <c r="I30">
        <v>860</v>
      </c>
    </row>
    <row r="31" spans="1:9">
      <c r="B31" s="411" t="str">
        <f>+Inversion!C24</f>
        <v>EQUIPOS DE OFICINA</v>
      </c>
      <c r="C31" s="8"/>
      <c r="D31" s="8"/>
      <c r="E31" s="8"/>
      <c r="F31" s="8"/>
      <c r="G31" s="98"/>
      <c r="H31" s="412"/>
    </row>
    <row r="32" spans="1:9">
      <c r="B32" s="72" t="str">
        <f>+Inversion!C28</f>
        <v>Computadoras</v>
      </c>
      <c r="C32" s="8">
        <f>+Inversion!H28</f>
        <v>1318</v>
      </c>
      <c r="D32" s="409">
        <v>3</v>
      </c>
      <c r="E32" s="8">
        <f>+C32/D32</f>
        <v>439.33333333333331</v>
      </c>
      <c r="F32" s="409">
        <v>3</v>
      </c>
      <c r="G32" s="98">
        <f>+E32*F32</f>
        <v>1318</v>
      </c>
      <c r="H32" s="412">
        <f t="shared" si="0"/>
        <v>0</v>
      </c>
      <c r="I32">
        <v>439.33333333333331</v>
      </c>
    </row>
    <row r="33" spans="2:10">
      <c r="B33" s="72" t="str">
        <f>+Inversion!C29</f>
        <v>Fax</v>
      </c>
      <c r="C33" s="8">
        <f>+Inversion!H29</f>
        <v>130</v>
      </c>
      <c r="D33" s="409">
        <v>3</v>
      </c>
      <c r="E33" s="8">
        <f>+C33/D33</f>
        <v>43.333333333333336</v>
      </c>
      <c r="F33" s="409">
        <v>3</v>
      </c>
      <c r="G33" s="98">
        <f>+E33*F33</f>
        <v>130</v>
      </c>
      <c r="H33" s="412">
        <f t="shared" si="0"/>
        <v>0</v>
      </c>
      <c r="I33">
        <v>43.333333333333336</v>
      </c>
    </row>
    <row r="34" spans="2:10">
      <c r="B34" s="72" t="str">
        <f>+Inversion!C30</f>
        <v>Telefono</v>
      </c>
      <c r="C34" s="8">
        <f>+Inversion!H30</f>
        <v>34</v>
      </c>
      <c r="D34" s="409">
        <v>3</v>
      </c>
      <c r="E34" s="8">
        <f t="shared" si="2"/>
        <v>11.333333333333334</v>
      </c>
      <c r="F34" s="409">
        <v>3</v>
      </c>
      <c r="G34" s="98">
        <f t="shared" si="3"/>
        <v>34</v>
      </c>
      <c r="H34" s="412">
        <f t="shared" si="0"/>
        <v>0</v>
      </c>
      <c r="I34">
        <v>11.333333333333334</v>
      </c>
    </row>
    <row r="35" spans="2:10" ht="13.5" thickBot="1">
      <c r="B35" s="413"/>
      <c r="C35" s="541" t="s">
        <v>608</v>
      </c>
      <c r="D35" s="541"/>
      <c r="E35" s="414">
        <f>SUM(E11:E34)</f>
        <v>7388.0499999999993</v>
      </c>
      <c r="F35" s="541" t="s">
        <v>609</v>
      </c>
      <c r="G35" s="541"/>
      <c r="H35" s="415">
        <f>SUM(H11:H34)</f>
        <v>15344.25</v>
      </c>
    </row>
    <row r="36" spans="2:10" ht="13.5" thickBot="1"/>
    <row r="37" spans="2:10" ht="15.75">
      <c r="B37" s="542" t="s">
        <v>347</v>
      </c>
      <c r="C37" s="543"/>
      <c r="D37" s="543"/>
      <c r="E37" s="543"/>
      <c r="F37" s="543"/>
      <c r="G37" s="543"/>
      <c r="H37" s="543"/>
      <c r="I37" s="544"/>
    </row>
    <row r="38" spans="2:10" ht="16.5">
      <c r="B38" s="161"/>
      <c r="C38" s="8"/>
      <c r="D38" s="8"/>
      <c r="E38" s="8" t="s">
        <v>354</v>
      </c>
      <c r="F38" s="8" t="s">
        <v>355</v>
      </c>
      <c r="G38" s="8" t="s">
        <v>356</v>
      </c>
      <c r="H38" s="8" t="s">
        <v>357</v>
      </c>
      <c r="I38" s="25" t="s">
        <v>358</v>
      </c>
    </row>
    <row r="39" spans="2:10">
      <c r="B39" s="72" t="s">
        <v>346</v>
      </c>
      <c r="C39" s="8"/>
      <c r="D39" s="8">
        <f>+Amortizacion!C9</f>
        <v>15653</v>
      </c>
      <c r="E39" s="8">
        <f>+Amortizacion!D9</f>
        <v>3130.6</v>
      </c>
      <c r="F39" s="8">
        <f>+Amortizacion!E9</f>
        <v>3130.6</v>
      </c>
      <c r="G39" s="8">
        <f>+Amortizacion!F9</f>
        <v>3130.6</v>
      </c>
      <c r="H39" s="8">
        <f>+Amortizacion!G9</f>
        <v>3130.6</v>
      </c>
      <c r="I39" s="8">
        <f>+Amortizacion!H9</f>
        <v>3130.6</v>
      </c>
      <c r="J39" s="8"/>
    </row>
    <row r="40" spans="2:10">
      <c r="B40" s="72" t="s">
        <v>359</v>
      </c>
      <c r="C40" s="8"/>
      <c r="D40" s="8">
        <f>+Amortizacion!C10</f>
        <v>500</v>
      </c>
      <c r="E40" s="8">
        <f>+Amortizacion!D10</f>
        <v>100</v>
      </c>
      <c r="F40" s="8">
        <f>+Amortizacion!E10</f>
        <v>100</v>
      </c>
      <c r="G40" s="8">
        <f>+Amortizacion!F10</f>
        <v>100</v>
      </c>
      <c r="H40" s="8">
        <f>+Amortizacion!G10</f>
        <v>100</v>
      </c>
      <c r="I40" s="8">
        <f>+Amortizacion!H10</f>
        <v>100</v>
      </c>
    </row>
    <row r="41" spans="2:10" ht="13.5" thickBot="1">
      <c r="B41" s="74" t="s">
        <v>360</v>
      </c>
      <c r="C41" s="26"/>
      <c r="D41" s="8">
        <f>+Amortizacion!C11</f>
        <v>1500</v>
      </c>
      <c r="E41" s="8">
        <f>+Amortizacion!D11</f>
        <v>300</v>
      </c>
      <c r="F41" s="8">
        <f>+Amortizacion!E11</f>
        <v>300</v>
      </c>
      <c r="G41" s="8">
        <f>+Amortizacion!F11</f>
        <v>300</v>
      </c>
      <c r="H41" s="8">
        <f>+Amortizacion!G11</f>
        <v>300</v>
      </c>
      <c r="I41" s="8">
        <f>+Amortizacion!H11</f>
        <v>300</v>
      </c>
    </row>
  </sheetData>
  <mergeCells count="11">
    <mergeCell ref="B5:H5"/>
    <mergeCell ref="B8:B9"/>
    <mergeCell ref="C8:C9"/>
    <mergeCell ref="D8:D9"/>
    <mergeCell ref="E8:E9"/>
    <mergeCell ref="F8:F9"/>
    <mergeCell ref="G8:G9"/>
    <mergeCell ref="H8:H9"/>
    <mergeCell ref="C35:D35"/>
    <mergeCell ref="F35:G35"/>
    <mergeCell ref="B37:I37"/>
  </mergeCells>
  <phoneticPr fontId="2" type="noConversion"/>
  <pageMargins left="0.75" right="0.75" top="1" bottom="1" header="0" footer="0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Gráficos</vt:lpstr>
      </vt:variant>
      <vt:variant>
        <vt:i4>1</vt:i4>
      </vt:variant>
    </vt:vector>
  </HeadingPairs>
  <TitlesOfParts>
    <vt:vector size="20" baseType="lpstr">
      <vt:lpstr>Analisis Sensibi Costos</vt:lpstr>
      <vt:lpstr>Analisis Sensibilidad Ingresos</vt:lpstr>
      <vt:lpstr>Analisis Volumen</vt:lpstr>
      <vt:lpstr>P. Recup</vt:lpstr>
      <vt:lpstr>Flujo de caja proyec</vt:lpstr>
      <vt:lpstr>flujo Cja Acc</vt:lpstr>
      <vt:lpstr>TMAR</vt:lpstr>
      <vt:lpstr>Estado de Resultados</vt:lpstr>
      <vt:lpstr>Depreciaciones</vt:lpstr>
      <vt:lpstr>Demanda</vt:lpstr>
      <vt:lpstr>Poblacion</vt:lpstr>
      <vt:lpstr>Ingresos</vt:lpstr>
      <vt:lpstr>Costos</vt:lpstr>
      <vt:lpstr>Gastos</vt:lpstr>
      <vt:lpstr>Inversion</vt:lpstr>
      <vt:lpstr>Amortizacion</vt:lpstr>
      <vt:lpstr>Capital de Trabajo</vt:lpstr>
      <vt:lpstr>Encuestas</vt:lpstr>
      <vt:lpstr>fuentes</vt:lpstr>
      <vt:lpstr>Gráfico1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silgivar</cp:lastModifiedBy>
  <dcterms:created xsi:type="dcterms:W3CDTF">2009-12-24T05:09:07Z</dcterms:created>
  <dcterms:modified xsi:type="dcterms:W3CDTF">2010-06-09T20:19:10Z</dcterms:modified>
</cp:coreProperties>
</file>