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ThisWorkbook" defaultThemeVersion="124226"/>
  <bookViews>
    <workbookView xWindow="120" yWindow="45" windowWidth="15135" windowHeight="8130" tabRatio="766" firstSheet="2" activeTab="7"/>
  </bookViews>
  <sheets>
    <sheet name="GASTOS FINANCIEROS(A)" sheetId="13" r:id="rId1"/>
    <sheet name="GASTOS CONSTITUCION(A.1)" sheetId="16" r:id="rId2"/>
    <sheet name="INV.OBRA CIVIL  MAQUINARIA(A.2)" sheetId="14" r:id="rId3"/>
    <sheet name="PROYECCION  INGRESOS (B)" sheetId="2" r:id="rId4"/>
    <sheet name="GASTOS EN PUBLICIDAD(C)" sheetId="15" r:id="rId5"/>
    <sheet name="GASTOS OPERATIVOS(D)" sheetId="3" r:id="rId6"/>
    <sheet name="SUELDOS Y SALARIOS(E)" sheetId="9" r:id="rId7"/>
    <sheet name="VALOR DE DESECHO Y TMAR(F)(F.1)" sheetId="6" r:id="rId8"/>
    <sheet name="CAPITAL TRABAJO(G)" sheetId="17" r:id="rId9"/>
    <sheet name="FLUJO DE CAJA(H)" sheetId="1" r:id="rId10"/>
    <sheet name="ESTADO RESULTADO(I)" sheetId="19" r:id="rId11"/>
    <sheet name="VAN Y TIR(J)(J.1)" sheetId="20" r:id="rId12"/>
    <sheet name="PAY BACK(K)" sheetId="18" r:id="rId13"/>
    <sheet name="ANALISIS DE SENSIBILIDAD(L)" sheetId="24" r:id="rId1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40000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'GASTOS FINANCIEROS(A)'!$B$1:$K$20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NumIterations" hidden="1">40000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24519"/>
</workbook>
</file>

<file path=xl/comments4.xml><?xml version="1.0" encoding="utf-8"?>
<comments xmlns="http://schemas.openxmlformats.org/spreadsheetml/2006/main">
  <authors>
    <author>Edcom</author>
  </authors>
  <commentList>
    <comment ref="A8" authorId="0">
      <text>
        <r>
          <rPr>
            <b/>
            <sz val="8"/>
            <rFont val="Tahoma"/>
            <family val="2"/>
          </rPr>
          <t>Edcom:</t>
        </r>
        <r>
          <rPr>
            <sz val="8"/>
            <rFont val="Tahoma"/>
            <family val="2"/>
          </rPr>
          <t xml:space="preserve">
Grupo de clientes que posiblemente me compraria el producto</t>
        </r>
      </text>
    </comment>
    <comment ref="A9" authorId="0">
      <text>
        <r>
          <rPr>
            <b/>
            <sz val="8"/>
            <rFont val="Tahoma"/>
            <family val="2"/>
          </rPr>
          <t>Edcom:</t>
        </r>
        <r>
          <rPr>
            <sz val="8"/>
            <rFont val="Tahoma"/>
            <family val="2"/>
          </rPr>
          <t xml:space="preserve">
¿ESTARIA DISPUESTO A COMPRAR TAL PRODUCTO?</t>
        </r>
      </text>
    </comment>
  </commentList>
</comments>
</file>

<file path=xl/comments9.xml><?xml version="1.0" encoding="utf-8"?>
<comments xmlns="http://schemas.openxmlformats.org/spreadsheetml/2006/main">
  <authors>
    <author>Edcom</author>
    <author>end3rkid</author>
  </authors>
  <commentList>
    <comment ref="B15" authorId="0">
      <text>
        <r>
          <rPr>
            <b/>
            <sz val="8"/>
            <rFont val="Tahoma"/>
            <family val="2"/>
          </rPr>
          <t>Edcom:</t>
        </r>
        <r>
          <rPr>
            <sz val="8"/>
            <rFont val="Tahoma"/>
            <family val="2"/>
          </rPr>
          <t xml:space="preserve">
BALANCE DE EPRSONAL</t>
        </r>
      </text>
    </comment>
    <comment ref="B18" authorId="1">
      <text>
        <r>
          <rPr>
            <b/>
            <sz val="8"/>
            <rFont val="Tahoma"/>
            <family val="2"/>
          </rPr>
          <t>end3rkid:</t>
        </r>
        <r>
          <rPr>
            <sz val="8"/>
            <rFont val="Tahoma"/>
            <family val="2"/>
          </rPr>
          <t xml:space="preserve">
Unidades de Producto</t>
        </r>
      </text>
    </comment>
  </commentList>
</comments>
</file>

<file path=xl/sharedStrings.xml><?xml version="1.0" encoding="utf-8"?>
<sst xmlns="http://schemas.openxmlformats.org/spreadsheetml/2006/main" count="490" uniqueCount="340">
  <si>
    <t>FLUJO DE EFECTIVO</t>
  </si>
  <si>
    <t>AÑO 0</t>
  </si>
  <si>
    <t>AÑO 1</t>
  </si>
  <si>
    <t>AÑO 2</t>
  </si>
  <si>
    <t>AÑO 3</t>
  </si>
  <si>
    <t>AÑO 4</t>
  </si>
  <si>
    <t>AÑO 5</t>
  </si>
  <si>
    <t>AÑO 8</t>
  </si>
  <si>
    <t>AÑO 9</t>
  </si>
  <si>
    <t>AÑO 10</t>
  </si>
  <si>
    <t>PRECIO</t>
  </si>
  <si>
    <t>MARGEN BRUTO</t>
  </si>
  <si>
    <t>SUELDOS Y SALARIOS</t>
  </si>
  <si>
    <t>UTILIDAD OPERATIVA</t>
  </si>
  <si>
    <t>U.A.I.</t>
  </si>
  <si>
    <t>UTILIDAD NETA</t>
  </si>
  <si>
    <t xml:space="preserve">GASTO DE DEPRECIACION </t>
  </si>
  <si>
    <t>INGRESOS VTA. (+)</t>
  </si>
  <si>
    <t>COSTO DE PRODUCCION (-)</t>
  </si>
  <si>
    <t>GASTOS OPERATIVOS (-)</t>
  </si>
  <si>
    <t>GASTOS FINANCIERO (PAGO DE INTERESES) (-)</t>
  </si>
  <si>
    <t>PARTICIPACION DE TRABAJADORES (15%) (-)</t>
  </si>
  <si>
    <t>INV. INICIAL EN OBRA FISICA (AÑO 0) (-)</t>
  </si>
  <si>
    <t>GASTOS DE CONSTITUCION (AÑO 0) (-)</t>
  </si>
  <si>
    <t>INV. INICIAL EN MAQUINARIAS Y EQUIPOS (AÑO 0) (-)</t>
  </si>
  <si>
    <t>CAPITAL DE TRABAJO (AÑO 0) (-)</t>
  </si>
  <si>
    <t>FLUJO NETO DE EFECTIVO</t>
  </si>
  <si>
    <t>TMAR</t>
  </si>
  <si>
    <t>VAN (VALOR ACTUAL NETO) (VALOR PRESENTE FLUJOS NETOS)</t>
  </si>
  <si>
    <t xml:space="preserve">TIR </t>
  </si>
  <si>
    <t>DETALLE DE PROYECCION DE INGRESOS</t>
  </si>
  <si>
    <t>POBLACION OBJETIVO</t>
  </si>
  <si>
    <t>DEMANDA POTENCIAL</t>
  </si>
  <si>
    <t>DEMANDA EFECTIVA</t>
  </si>
  <si>
    <t>CRITERIO DE PORTER (5% DE POBLAC. OBJETIVO)</t>
  </si>
  <si>
    <t>FRECUENCIA DE CONSUMO</t>
  </si>
  <si>
    <t>AÑO4</t>
  </si>
  <si>
    <t>DISPONIBILIDAD DE CONSUMO</t>
  </si>
  <si>
    <t>SERVICIOS BASICOS</t>
  </si>
  <si>
    <t>VALOR DE DESECHO DEL PROYECTO</t>
  </si>
  <si>
    <t>VD = (FC. PROMEDIO-DEP. ANUAL)/TMAR</t>
  </si>
  <si>
    <t>FLUJO CAJA PROM. ANUAL</t>
  </si>
  <si>
    <t>DEP. ANUAL</t>
  </si>
  <si>
    <t>VALOR DESECHO</t>
  </si>
  <si>
    <t>FLUJO CAJA PROMEDIO ANUAL</t>
  </si>
  <si>
    <t>SERVICIOS PRESTADOS</t>
  </si>
  <si>
    <t>DETALLE DEL PRECIO</t>
  </si>
  <si>
    <t>RANGO</t>
  </si>
  <si>
    <t>MEDIA SIMPLE</t>
  </si>
  <si>
    <t>PONDERADOR</t>
  </si>
  <si>
    <t>&gt;3000</t>
  </si>
  <si>
    <t>PRECIO TOTAL</t>
  </si>
  <si>
    <t>SUMINISTRO DE OFICINAS</t>
  </si>
  <si>
    <t>DETALLE DE GASTOS OPERATIVOS</t>
  </si>
  <si>
    <t>MANTENIMIENTO DE MAQUINARIAS</t>
  </si>
  <si>
    <t>Cargo</t>
  </si>
  <si>
    <t>numero de puesto</t>
  </si>
  <si>
    <t>total</t>
  </si>
  <si>
    <t>Gerente Tecnico</t>
  </si>
  <si>
    <t>Auxiliar contable</t>
  </si>
  <si>
    <t>Jefe administrativo</t>
  </si>
  <si>
    <t>Jefe tecnico</t>
  </si>
  <si>
    <t>Mecanicos</t>
  </si>
  <si>
    <t xml:space="preserve">electricista </t>
  </si>
  <si>
    <t>ayudantes</t>
  </si>
  <si>
    <t>ESTA INCLUIDOS LOS BENEFICIOS DE LEY</t>
  </si>
  <si>
    <t>TENDENCIA</t>
  </si>
  <si>
    <t>PRESUPUESTO DE LOS SUELDOS DE ACUERDO A LA INFLACION</t>
  </si>
  <si>
    <t>COMBUSTIBLES</t>
  </si>
  <si>
    <t>costo total</t>
  </si>
  <si>
    <t>Maquinas</t>
  </si>
  <si>
    <t>cantidad</t>
  </si>
  <si>
    <t>costo unitario</t>
  </si>
  <si>
    <t>vida util</t>
  </si>
  <si>
    <t>valor de desecho</t>
  </si>
  <si>
    <t>tornos</t>
  </si>
  <si>
    <t>taladros de banco</t>
  </si>
  <si>
    <t>taladros portatiles</t>
  </si>
  <si>
    <t>soldadoras electricas</t>
  </si>
  <si>
    <t>equipos de oxicorte</t>
  </si>
  <si>
    <t>Prensa hidraulica</t>
  </si>
  <si>
    <t>herramientas</t>
  </si>
  <si>
    <t>-</t>
  </si>
  <si>
    <t>pulidoras</t>
  </si>
  <si>
    <t xml:space="preserve">roladora </t>
  </si>
  <si>
    <t>fresadoras</t>
  </si>
  <si>
    <t>cizallas</t>
  </si>
  <si>
    <t>computador</t>
  </si>
  <si>
    <t>Vehiculos</t>
  </si>
  <si>
    <t>Camion repartidor</t>
  </si>
  <si>
    <t>DEPRECIACION</t>
  </si>
  <si>
    <t>IMPUESTO A LA RENTA (25%) (-)</t>
  </si>
  <si>
    <t>AÑO 6</t>
  </si>
  <si>
    <t>AÑO 7</t>
  </si>
  <si>
    <t>PROYECTO SIME</t>
  </si>
  <si>
    <t>Cuota</t>
  </si>
  <si>
    <t>interes</t>
  </si>
  <si>
    <t>Monto</t>
  </si>
  <si>
    <t>Pago</t>
  </si>
  <si>
    <t>Interes</t>
  </si>
  <si>
    <t>Amortizacion</t>
  </si>
  <si>
    <t>Saldo</t>
  </si>
  <si>
    <t xml:space="preserve">Tiempo </t>
  </si>
  <si>
    <t>10 años</t>
  </si>
  <si>
    <t xml:space="preserve">Préstamo Bancario    </t>
  </si>
  <si>
    <t>Descripción</t>
  </si>
  <si>
    <t>unidad de medida</t>
  </si>
  <si>
    <t xml:space="preserve">Cantidad </t>
  </si>
  <si>
    <t>Costo unitario</t>
  </si>
  <si>
    <t>Reparación del Piso de Concreto</t>
  </si>
  <si>
    <t>m2</t>
  </si>
  <si>
    <t>Pintura de las Paredes</t>
  </si>
  <si>
    <t>Reparación del techo</t>
  </si>
  <si>
    <t>Conexiones de Electricidad</t>
  </si>
  <si>
    <t>Reconstrucción de la Oficina</t>
  </si>
  <si>
    <t>Total de inversion total de obras fisicas</t>
  </si>
  <si>
    <t>PRESUPUESTO DE OBRA FISICA</t>
  </si>
  <si>
    <t xml:space="preserve">GASTOS DE PUBLICIDAD </t>
  </si>
  <si>
    <t>diarios</t>
  </si>
  <si>
    <t xml:space="preserve">ordinario </t>
  </si>
  <si>
    <t>domingo</t>
  </si>
  <si>
    <t>el universo</t>
  </si>
  <si>
    <t>expreso</t>
  </si>
  <si>
    <t>PROYECCION EN PUBLICIDAD</t>
  </si>
  <si>
    <t>metroquil</t>
  </si>
  <si>
    <t>año1</t>
  </si>
  <si>
    <t>año 2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</si>
  <si>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</si>
  <si>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</si>
  <si>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</si>
  <si>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</si>
  <si>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</si>
  <si>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</si>
  <si>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</si>
  <si>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</si>
  <si>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extra</t>
  </si>
  <si>
    <t>telegrafo</t>
  </si>
  <si>
    <t>Subtotal</t>
  </si>
  <si>
    <t>Mensual</t>
  </si>
  <si>
    <t>mensual</t>
  </si>
  <si>
    <t>ANUAL</t>
  </si>
  <si>
    <t>ordinario:lunes -sabado</t>
  </si>
  <si>
    <t>MENSUAL</t>
  </si>
  <si>
    <t>iva incluido</t>
  </si>
  <si>
    <t>GASTOS DE CONSTITUCION DE LA EMPRESA SIME</t>
  </si>
  <si>
    <t>Gastos de constitucion</t>
  </si>
  <si>
    <t>Aspectos legales</t>
  </si>
  <si>
    <t>RENOVACION</t>
  </si>
  <si>
    <t>Servicios legales</t>
  </si>
  <si>
    <t>Cuenta integracion capital</t>
  </si>
  <si>
    <t xml:space="preserve">Notarizar escritura </t>
  </si>
  <si>
    <t>Afiliaciacion camara produccion</t>
  </si>
  <si>
    <t>Registro comercial</t>
  </si>
  <si>
    <t>10 AÑOS</t>
  </si>
  <si>
    <t>PROYECCION DE GASTOS DE CONSTITUCION</t>
  </si>
  <si>
    <t>Registro marca</t>
  </si>
  <si>
    <t>AÑO1</t>
  </si>
  <si>
    <t>AÑO2</t>
  </si>
  <si>
    <t>AÑO3</t>
  </si>
  <si>
    <t>AÑO5</t>
  </si>
  <si>
    <t>AÑO6</t>
  </si>
  <si>
    <t>AÑO7</t>
  </si>
  <si>
    <t>AÑO8</t>
  </si>
  <si>
    <t>AÑO9</t>
  </si>
  <si>
    <t>AÑO10</t>
  </si>
  <si>
    <t>Certificacion notario</t>
  </si>
  <si>
    <t>Aspectos tributarios</t>
  </si>
  <si>
    <t>Obtencion del ruc</t>
  </si>
  <si>
    <t>Permiso cuerpo bomberos</t>
  </si>
  <si>
    <t>1 AÑO</t>
  </si>
  <si>
    <t>Permiso del municipio</t>
  </si>
  <si>
    <t>Total anual</t>
  </si>
  <si>
    <t>SUMINISTRO DE OFICINA</t>
  </si>
  <si>
    <t xml:space="preserve">COMBUSTIBLES </t>
  </si>
  <si>
    <t>GASTOS DE PUBLICIDAD</t>
  </si>
  <si>
    <t>GASTOS DEPRECIACION DE MAQUINARIAS</t>
  </si>
  <si>
    <t>GASTOS DEPRECIACION DE EQUIPOS COMPUTACION</t>
  </si>
  <si>
    <t>total  Anual</t>
  </si>
  <si>
    <t>Presupuesto  del Personal</t>
  </si>
  <si>
    <t>unitario mensual</t>
  </si>
  <si>
    <t>Total Mensual</t>
  </si>
  <si>
    <t>Porcentaje inflacion</t>
  </si>
  <si>
    <t>Disponibilidad del consumo</t>
  </si>
  <si>
    <t>Remuneracion Anual</t>
  </si>
  <si>
    <t>Consumo Kw/hora</t>
  </si>
  <si>
    <t>Kw/hora</t>
  </si>
  <si>
    <t>Horas /día</t>
  </si>
  <si>
    <t>Diario</t>
  </si>
  <si>
    <t>Anual</t>
  </si>
  <si>
    <t>Coste Kw/Hora</t>
  </si>
  <si>
    <t>Total Costo Consumo Anual</t>
  </si>
  <si>
    <t xml:space="preserve">Total </t>
  </si>
  <si>
    <t>consumo de energia</t>
  </si>
  <si>
    <t>Cantidad</t>
  </si>
  <si>
    <t>aire condicionado</t>
  </si>
  <si>
    <t>luminarias</t>
  </si>
  <si>
    <t>Equipos y maquinaria</t>
  </si>
  <si>
    <t>Gastos Servicios Básicos</t>
  </si>
  <si>
    <t>Total Consumo de Agua</t>
  </si>
  <si>
    <t>Teléfono</t>
  </si>
  <si>
    <t>Internet</t>
  </si>
  <si>
    <t>Total Servicios Básicos</t>
  </si>
  <si>
    <t xml:space="preserve">Total Consumo Energía </t>
  </si>
  <si>
    <t>Muebles y Enseres</t>
  </si>
  <si>
    <t>Depreciación total anual</t>
  </si>
  <si>
    <t>Armario</t>
  </si>
  <si>
    <t>Escritorio</t>
  </si>
  <si>
    <t>Silla para computadora</t>
  </si>
  <si>
    <t>Archivadores</t>
  </si>
  <si>
    <t>Depreciación anual</t>
  </si>
  <si>
    <t>depreciacion acumulada</t>
  </si>
  <si>
    <t>Equipo computacion</t>
  </si>
  <si>
    <t>sillas</t>
  </si>
  <si>
    <t>mesa computador</t>
  </si>
  <si>
    <t>Depreciacion</t>
  </si>
  <si>
    <t>inversion</t>
  </si>
  <si>
    <t>valor desecho</t>
  </si>
  <si>
    <t>INVENTARIO INICIAL ACTIVOS FIJOS</t>
  </si>
  <si>
    <t>Tecnologia</t>
  </si>
  <si>
    <t>Depreciacion vehiculo</t>
  </si>
  <si>
    <t>Depreciacion equipos computacion</t>
  </si>
  <si>
    <t>Depreciaciones Maquinarias</t>
  </si>
  <si>
    <t>Depreciaciones muebles y enseres</t>
  </si>
  <si>
    <t>Gastos Depreciacion</t>
  </si>
  <si>
    <t>total Depreciacion</t>
  </si>
  <si>
    <t>GASTOS DEPRECIACION MUEBLES ENSERES</t>
  </si>
  <si>
    <t>GASTOS DEPRECIACION VEHICULOS</t>
  </si>
  <si>
    <t>Gastos combustibles</t>
  </si>
  <si>
    <t>camion de 20 toneladas</t>
  </si>
  <si>
    <t>precio/galon</t>
  </si>
  <si>
    <t>anual</t>
  </si>
  <si>
    <t xml:space="preserve">20 galones </t>
  </si>
  <si>
    <t>Capacidad tanque</t>
  </si>
  <si>
    <t>Frecuencia de uso(Dias)</t>
  </si>
  <si>
    <t>Galones /dia</t>
  </si>
  <si>
    <t>Total galones (mensual)</t>
  </si>
  <si>
    <t>FLUJO NETO DE EFECTIVO ACUMULADO</t>
  </si>
  <si>
    <t>MÉTODO DÉFICIT MÁXIMO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</si>
  <si>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</si>
  <si>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</si>
  <si>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</si>
  <si>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</si>
  <si>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</si>
  <si>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</si>
  <si>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</si>
  <si>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</si>
  <si>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</si>
  <si>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</si>
  <si>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</si>
  <si>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</si>
  <si>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 Mensual $</t>
  </si>
  <si>
    <t>Flujo Mensual</t>
  </si>
  <si>
    <t>Saldo Acumulado</t>
  </si>
  <si>
    <t>Cantidad de servicios contratados</t>
  </si>
  <si>
    <t>Precio Por servicio</t>
  </si>
  <si>
    <t>CANTIDAD SERVICOS CONTRADOS</t>
  </si>
  <si>
    <t>PRECIO POR SERVICIOS</t>
  </si>
  <si>
    <t xml:space="preserve">GASTOS DEPRECIACION DE EQUIPOS </t>
  </si>
  <si>
    <t xml:space="preserve">DETALLE DE LOS INGRESOS </t>
  </si>
  <si>
    <t>CANTIDAD DEMANDADA</t>
  </si>
  <si>
    <t>PRECIO POR SERVICIO</t>
  </si>
  <si>
    <t>INGRESO</t>
  </si>
  <si>
    <t>PROYECCIONES DE INGRESOS</t>
  </si>
  <si>
    <t xml:space="preserve">TOTAL </t>
  </si>
  <si>
    <t>CALENDARIO DE REEINVERSIONES DE ACTIVOS FIJOS</t>
  </si>
  <si>
    <t>CALENDARIO DE INGRESO POR VENTA DE ACTIVOS FIJOS REEMPLAZO</t>
  </si>
  <si>
    <t>CALCULANDO LA TMAR</t>
  </si>
  <si>
    <t>Ke = [ Rf + β ( Rm – Rf ) ] + Rp</t>
  </si>
  <si>
    <r>
      <t>tasa rentabilidad</t>
    </r>
    <r>
      <rPr>
        <b/>
        <sz val="11"/>
        <color theme="1"/>
        <rFont val="Calibri"/>
        <family val="2"/>
        <scheme val="minor"/>
      </rPr>
      <t xml:space="preserve"> Ke</t>
    </r>
    <r>
      <rPr>
        <sz val="11"/>
        <color theme="1"/>
        <rFont val="Calibri"/>
        <family val="2"/>
        <scheme val="minor"/>
      </rPr>
      <t>=</t>
    </r>
  </si>
  <si>
    <r>
      <t xml:space="preserve">Tasa libre de riesgo (Bonos del tesoro EEUU ) </t>
    </r>
    <r>
      <rPr>
        <b/>
        <sz val="11"/>
        <color theme="1"/>
        <rFont val="Calibri"/>
        <family val="2"/>
        <scheme val="minor"/>
      </rPr>
      <t>Rf</t>
    </r>
    <r>
      <rPr>
        <sz val="11"/>
        <color theme="1"/>
        <rFont val="Calibri"/>
        <family val="2"/>
        <scheme val="minor"/>
      </rPr>
      <t>=</t>
    </r>
  </si>
  <si>
    <r>
      <t xml:space="preserve">Coeficiente de riesgo del sector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</si>
  <si>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r>
      <t xml:space="preserve">Tasa de Rentabilidad del Mercado </t>
    </r>
    <r>
      <rPr>
        <b/>
        <sz val="11"/>
        <color theme="1"/>
        <rFont val="Calibri"/>
        <family val="2"/>
        <scheme val="minor"/>
      </rPr>
      <t>Rm</t>
    </r>
  </si>
  <si>
    <r>
      <t xml:space="preserve">Porcentaje riesgo país. </t>
    </r>
    <r>
      <rPr>
        <b/>
        <sz val="11"/>
        <color theme="1"/>
        <rFont val="Calibri"/>
        <family val="2"/>
        <scheme val="minor"/>
      </rPr>
      <t>Rp</t>
    </r>
  </si>
  <si>
    <t>rf : 2.83(Datos de la Reserva federal EEUU).</t>
  </si>
  <si>
    <t>rm : 20.83 (Yahoo finance).</t>
  </si>
  <si>
    <t>RPecu : 3.864 (Datos publicados el 14-01-2009).</t>
  </si>
  <si>
    <t>FUENTE INFORMACION</t>
  </si>
  <si>
    <t>Financiamiento</t>
  </si>
  <si>
    <t>Capital Propio</t>
  </si>
  <si>
    <t>CAPITAL REQUERIDO</t>
  </si>
  <si>
    <t>TOTAL</t>
  </si>
  <si>
    <t>TOTAL INVERSION</t>
  </si>
  <si>
    <t>PERIODO DE RECUPERACION</t>
  </si>
  <si>
    <t>FLUJO</t>
  </si>
  <si>
    <t>PR</t>
  </si>
  <si>
    <t>DATOS</t>
  </si>
  <si>
    <t>ULTIMO NEGATIVO</t>
  </si>
  <si>
    <t>FLUJO SIGUIENTE</t>
  </si>
  <si>
    <t>EMPRESAS</t>
  </si>
  <si>
    <t>REDUCIENDO</t>
  </si>
  <si>
    <t>AÑOS</t>
  </si>
  <si>
    <t>AÑO</t>
  </si>
  <si>
    <t>RANGO USO DEL SERVICIO POR MES</t>
  </si>
  <si>
    <t>DETALLE FRECUENCIA DE CONSUMO</t>
  </si>
  <si>
    <t>N-EMPRESAS</t>
  </si>
  <si>
    <t>ANEXO B</t>
  </si>
  <si>
    <t>ANEXO A</t>
  </si>
  <si>
    <t>anexo C</t>
  </si>
  <si>
    <t xml:space="preserve">Precio de publicidad  </t>
  </si>
  <si>
    <t>volantes</t>
  </si>
  <si>
    <t xml:space="preserve">GASTOS </t>
  </si>
  <si>
    <t>anexo E</t>
  </si>
  <si>
    <t>valor en libros</t>
  </si>
  <si>
    <t>DESCRIPCION</t>
  </si>
  <si>
    <t>ANEXO G</t>
  </si>
  <si>
    <t>anexo F</t>
  </si>
  <si>
    <t>β= 0.65 (Yahoo Finance).</t>
  </si>
  <si>
    <t>anexo H</t>
  </si>
  <si>
    <t>GASTOS DE AMORTIZACION</t>
  </si>
  <si>
    <t>VALOR DE DESECHO DEL PROYECTO (+) ) (AÑO 10)</t>
  </si>
  <si>
    <t xml:space="preserve">MANTENIMIENTO MAQUINARIAS </t>
  </si>
  <si>
    <t>COSTO DE PRODUCCION</t>
  </si>
  <si>
    <t>UTILIDAD BRUTA</t>
  </si>
  <si>
    <t>EBITDA</t>
  </si>
  <si>
    <t>AMORTIZACIONES</t>
  </si>
  <si>
    <t>OTROS GASTOS</t>
  </si>
  <si>
    <t>UTILIDAD OPERATIVA ANTES IMPUESTO</t>
  </si>
  <si>
    <t xml:space="preserve">INGRESOS POR SERVICIOS </t>
  </si>
  <si>
    <t>ESTADO DE RESULTADOS</t>
  </si>
  <si>
    <t>CALCULO DEL TIR Y VAN</t>
  </si>
  <si>
    <t>TASA</t>
  </si>
  <si>
    <t>FLUJOS</t>
  </si>
  <si>
    <t>VAN</t>
  </si>
  <si>
    <t>TIR</t>
  </si>
  <si>
    <t>anexo K</t>
  </si>
  <si>
    <t>tir</t>
  </si>
  <si>
    <t>tmar</t>
  </si>
  <si>
    <t>Punto critico</t>
  </si>
  <si>
    <t>Escenario</t>
  </si>
  <si>
    <t>Aumento de ingresos</t>
  </si>
  <si>
    <t>Disminucion de ingresos</t>
  </si>
  <si>
    <t>Analisis</t>
  </si>
  <si>
    <t>Variacion</t>
  </si>
  <si>
    <t>valor original</t>
  </si>
  <si>
    <t>años</t>
  </si>
  <si>
    <t>VARIACIONES DE LOS INGRESOS</t>
  </si>
  <si>
    <t>ANALISIS DE SENSABILIDAD DE UNA VARIABLE</t>
  </si>
  <si>
    <t>Se puede disminuir hasta 41%</t>
  </si>
  <si>
    <t>ANEXO L</t>
  </si>
  <si>
    <t>CAPACITACION</t>
  </si>
</sst>
</file>

<file path=xl/styles.xml><?xml version="1.0" encoding="utf-8"?>
<styleSheet xmlns="http://schemas.openxmlformats.org/spreadsheetml/2006/main">
  <numFmts count="7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&quot;$&quot;#,##0.00"/>
    <numFmt numFmtId="166" formatCode="_(&quot;$&quot;\ * #,##0_);_(&quot;$&quot;\ * \(#,##0\);_(&quot;$&quot;\ * &quot;-&quot;??_);_(@_)"/>
    <numFmt numFmtId="167" formatCode="[$$-2C0A]\ #,##0.0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color rgb="FFFF0000"/>
      <name val="Calibri"/>
      <family val="2"/>
      <scheme val="minor"/>
    </font>
    <font>
      <sz val="7.5"/>
      <color rgb="FF000066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505050"/>
      <name val="Arial"/>
      <family val="2"/>
    </font>
    <font>
      <b/>
      <sz val="9"/>
      <color rgb="FF505050"/>
      <name val="Arial"/>
      <family val="2"/>
    </font>
    <font>
      <sz val="8"/>
      <color rgb="FF505050"/>
      <name val="Arial"/>
      <family val="2"/>
    </font>
    <font>
      <b/>
      <sz val="8"/>
      <color rgb="FF505050"/>
      <name val="Arial"/>
      <family val="2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8"/>
      <color rgb="FF00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8" fillId="2" borderId="0" xfId="0" applyFont="1" applyFill="1" applyAlignment="1">
      <alignment wrapText="1"/>
    </xf>
    <xf numFmtId="10" fontId="0" fillId="0" borderId="0" xfId="0" applyNumberFormat="1"/>
    <xf numFmtId="0" fontId="9" fillId="0" borderId="1" xfId="0" applyFont="1" applyBorder="1" applyAlignment="1">
      <alignment horizontal="center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1" fontId="1" fillId="0" borderId="0" xfId="21" applyNumberFormat="1" applyAlignment="1">
      <alignment horizontal="right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21" applyFont="1" applyBorder="1" applyAlignment="1">
      <alignment horizontal="center"/>
      <protection/>
    </xf>
    <xf numFmtId="9" fontId="11" fillId="0" borderId="1" xfId="21" applyNumberFormat="1" applyFont="1" applyBorder="1" applyAlignment="1">
      <alignment horizontal="center"/>
      <protection/>
    </xf>
    <xf numFmtId="4" fontId="12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7" fillId="0" borderId="1" xfId="2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4" fillId="0" borderId="1" xfId="0" applyFont="1" applyBorder="1" applyAlignment="1">
      <alignment wrapText="1"/>
    </xf>
    <xf numFmtId="0" fontId="0" fillId="0" borderId="0" xfId="0" applyBorder="1"/>
    <xf numFmtId="0" fontId="1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/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20" fillId="4" borderId="1" xfId="0" applyFont="1" applyFill="1" applyBorder="1" applyAlignment="1">
      <alignment/>
    </xf>
    <xf numFmtId="0" fontId="11" fillId="4" borderId="1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44" fontId="10" fillId="5" borderId="15" xfId="20" applyFont="1" applyFill="1" applyBorder="1" applyAlignment="1">
      <alignment horizontal="center"/>
    </xf>
    <xf numFmtId="0" fontId="24" fillId="0" borderId="0" xfId="0" applyFont="1"/>
    <xf numFmtId="0" fontId="21" fillId="0" borderId="0" xfId="0" applyFont="1"/>
    <xf numFmtId="0" fontId="24" fillId="0" borderId="16" xfId="0" applyFont="1" applyBorder="1"/>
    <xf numFmtId="0" fontId="21" fillId="4" borderId="9" xfId="0" applyFont="1" applyFill="1" applyBorder="1" applyAlignment="1">
      <alignment horizontal="center"/>
    </xf>
    <xf numFmtId="0" fontId="25" fillId="0" borderId="9" xfId="25" applyFont="1" applyBorder="1">
      <alignment/>
      <protection/>
    </xf>
    <xf numFmtId="0" fontId="21" fillId="0" borderId="0" xfId="0" applyNumberFormat="1" applyFont="1" applyBorder="1"/>
    <xf numFmtId="0" fontId="24" fillId="0" borderId="0" xfId="0" applyNumberFormat="1" applyFont="1" applyBorder="1"/>
    <xf numFmtId="1" fontId="24" fillId="0" borderId="0" xfId="23" applyNumberFormat="1" applyFont="1"/>
    <xf numFmtId="165" fontId="24" fillId="0" borderId="0" xfId="0" applyNumberFormat="1" applyFont="1" applyBorder="1"/>
    <xf numFmtId="0" fontId="24" fillId="0" borderId="0" xfId="0" applyNumberFormat="1" applyFont="1"/>
    <xf numFmtId="165" fontId="24" fillId="0" borderId="0" xfId="0" applyNumberFormat="1" applyFont="1"/>
    <xf numFmtId="165" fontId="24" fillId="0" borderId="0" xfId="0" applyNumberFormat="1" applyFont="1" applyFill="1" applyBorder="1"/>
    <xf numFmtId="166" fontId="9" fillId="0" borderId="1" xfId="20" applyNumberFormat="1" applyFont="1" applyBorder="1" applyAlignment="1">
      <alignment horizontal="center"/>
    </xf>
    <xf numFmtId="166" fontId="26" fillId="6" borderId="9" xfId="20" applyNumberFormat="1" applyFont="1" applyFill="1" applyBorder="1"/>
    <xf numFmtId="1" fontId="24" fillId="0" borderId="9" xfId="0" applyNumberFormat="1" applyFont="1" applyBorder="1" applyAlignment="1">
      <alignment horizontal="center"/>
    </xf>
    <xf numFmtId="166" fontId="24" fillId="0" borderId="9" xfId="20" applyNumberFormat="1" applyFont="1" applyBorder="1" applyAlignment="1">
      <alignment horizontal="center"/>
    </xf>
    <xf numFmtId="0" fontId="25" fillId="7" borderId="9" xfId="25" applyFont="1" applyFill="1" applyBorder="1">
      <alignment/>
      <protection/>
    </xf>
    <xf numFmtId="166" fontId="24" fillId="7" borderId="9" xfId="20" applyNumberFormat="1" applyFont="1" applyFill="1" applyBorder="1" applyAlignment="1">
      <alignment horizontal="center"/>
    </xf>
    <xf numFmtId="0" fontId="21" fillId="7" borderId="9" xfId="0" applyNumberFormat="1" applyFont="1" applyFill="1" applyBorder="1"/>
    <xf numFmtId="166" fontId="26" fillId="7" borderId="9" xfId="20" applyNumberFormat="1" applyFont="1" applyFill="1" applyBorder="1"/>
    <xf numFmtId="0" fontId="2" fillId="8" borderId="1" xfId="0" applyFont="1" applyFill="1" applyBorder="1" applyAlignment="1">
      <alignment horizontal="center"/>
    </xf>
    <xf numFmtId="44" fontId="10" fillId="5" borderId="1" xfId="20" applyFont="1" applyFill="1" applyBorder="1"/>
    <xf numFmtId="0" fontId="11" fillId="4" borderId="17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0" fillId="0" borderId="0" xfId="0" applyNumberFormat="1"/>
    <xf numFmtId="9" fontId="0" fillId="0" borderId="0" xfId="22" applyFont="1" applyAlignment="1">
      <alignment horizontal="center"/>
    </xf>
    <xf numFmtId="0" fontId="0" fillId="8" borderId="1" xfId="0" applyFill="1" applyBorder="1"/>
    <xf numFmtId="0" fontId="27" fillId="0" borderId="1" xfId="0" applyFont="1" applyBorder="1"/>
    <xf numFmtId="0" fontId="0" fillId="8" borderId="1" xfId="0" applyFill="1" applyBorder="1" applyAlignment="1">
      <alignment horizontal="center"/>
    </xf>
    <xf numFmtId="0" fontId="25" fillId="0" borderId="0" xfId="21" applyFont="1" applyAlignment="1">
      <alignment horizontal="right"/>
      <protection/>
    </xf>
    <xf numFmtId="0" fontId="9" fillId="0" borderId="0" xfId="0" applyFont="1"/>
    <xf numFmtId="9" fontId="1" fillId="0" borderId="0" xfId="22" applyFont="1" applyAlignment="1">
      <alignment horizontal="right"/>
    </xf>
    <xf numFmtId="0" fontId="9" fillId="0" borderId="1" xfId="0" applyFont="1" applyBorder="1"/>
    <xf numFmtId="0" fontId="28" fillId="0" borderId="1" xfId="0" applyFont="1" applyBorder="1" applyAlignment="1">
      <alignment horizontal="center"/>
    </xf>
    <xf numFmtId="0" fontId="11" fillId="8" borderId="1" xfId="21" applyFont="1" applyFill="1" applyBorder="1" applyAlignment="1">
      <alignment horizontal="right"/>
      <protection/>
    </xf>
    <xf numFmtId="44" fontId="10" fillId="0" borderId="1" xfId="20" applyFont="1" applyBorder="1" applyAlignment="1">
      <alignment horizontal="center"/>
    </xf>
    <xf numFmtId="0" fontId="10" fillId="0" borderId="1" xfId="0" applyFont="1" applyBorder="1" applyAlignment="1">
      <alignment wrapText="1"/>
    </xf>
    <xf numFmtId="44" fontId="9" fillId="0" borderId="1" xfId="20" applyFont="1" applyBorder="1" applyAlignment="1">
      <alignment horizontal="center"/>
    </xf>
    <xf numFmtId="37" fontId="9" fillId="0" borderId="1" xfId="20" applyNumberFormat="1" applyFont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44" fontId="9" fillId="5" borderId="1" xfId="20" applyFont="1" applyFill="1" applyBorder="1" applyAlignment="1">
      <alignment horizontal="center"/>
    </xf>
    <xf numFmtId="44" fontId="29" fillId="5" borderId="1" xfId="20" applyFont="1" applyFill="1" applyBorder="1" applyAlignment="1">
      <alignment horizontal="center"/>
    </xf>
    <xf numFmtId="0" fontId="10" fillId="9" borderId="1" xfId="0" applyFont="1" applyFill="1" applyBorder="1" applyAlignment="1">
      <alignment wrapText="1"/>
    </xf>
    <xf numFmtId="44" fontId="9" fillId="9" borderId="1" xfId="20" applyFont="1" applyFill="1" applyBorder="1" applyAlignment="1">
      <alignment horizontal="center"/>
    </xf>
    <xf numFmtId="44" fontId="10" fillId="9" borderId="1" xfId="20" applyFont="1" applyFill="1" applyBorder="1" applyAlignment="1">
      <alignment horizontal="center"/>
    </xf>
    <xf numFmtId="0" fontId="30" fillId="0" borderId="1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44" fontId="9" fillId="8" borderId="1" xfId="20" applyFont="1" applyFill="1" applyBorder="1" applyAlignment="1">
      <alignment horizontal="center"/>
    </xf>
    <xf numFmtId="44" fontId="29" fillId="8" borderId="1" xfId="20" applyFont="1" applyFill="1" applyBorder="1" applyAlignment="1">
      <alignment horizontal="center"/>
    </xf>
    <xf numFmtId="44" fontId="10" fillId="8" borderId="1" xfId="20" applyFont="1" applyFill="1" applyBorder="1" applyAlignment="1">
      <alignment horizontal="center" wrapText="1"/>
    </xf>
    <xf numFmtId="0" fontId="10" fillId="10" borderId="1" xfId="0" applyFont="1" applyFill="1" applyBorder="1" applyAlignment="1">
      <alignment wrapText="1"/>
    </xf>
    <xf numFmtId="44" fontId="9" fillId="10" borderId="1" xfId="20" applyFont="1" applyFill="1" applyBorder="1" applyAlignment="1">
      <alignment horizontal="center"/>
    </xf>
    <xf numFmtId="44" fontId="29" fillId="10" borderId="1" xfId="20" applyFont="1" applyFill="1" applyBorder="1" applyAlignment="1">
      <alignment horizontal="center"/>
    </xf>
    <xf numFmtId="44" fontId="30" fillId="0" borderId="1" xfId="20" applyFont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4" fontId="29" fillId="3" borderId="1" xfId="20" applyFont="1" applyFill="1" applyBorder="1" applyAlignment="1">
      <alignment horizontal="center"/>
    </xf>
    <xf numFmtId="9" fontId="10" fillId="0" borderId="1" xfId="22" applyFont="1" applyBorder="1" applyAlignment="1">
      <alignment horizontal="center"/>
    </xf>
    <xf numFmtId="0" fontId="9" fillId="0" borderId="0" xfId="0" applyFont="1" applyAlignment="1">
      <alignment horizontal="center"/>
    </xf>
    <xf numFmtId="8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44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5" borderId="1" xfId="0" applyNumberFormat="1" applyFont="1" applyFill="1" applyBorder="1" applyAlignment="1">
      <alignment horizontal="center"/>
    </xf>
    <xf numFmtId="44" fontId="19" fillId="0" borderId="1" xfId="20" applyFont="1" applyBorder="1" applyAlignment="1">
      <alignment/>
    </xf>
    <xf numFmtId="44" fontId="31" fillId="4" borderId="1" xfId="20" applyFont="1" applyFill="1" applyBorder="1" applyAlignment="1">
      <alignment horizontal="center"/>
    </xf>
    <xf numFmtId="44" fontId="10" fillId="5" borderId="1" xfId="20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25" fillId="0" borderId="1" xfId="21" applyFont="1" applyBorder="1" applyAlignment="1">
      <alignment horizontal="center"/>
      <protection/>
    </xf>
    <xf numFmtId="2" fontId="21" fillId="0" borderId="1" xfId="21" applyNumberFormat="1" applyFont="1" applyBorder="1" applyAlignment="1">
      <alignment horizontal="center"/>
      <protection/>
    </xf>
    <xf numFmtId="2" fontId="32" fillId="0" borderId="1" xfId="21" applyNumberFormat="1" applyFont="1" applyBorder="1" applyAlignment="1">
      <alignment horizontal="center"/>
      <protection/>
    </xf>
    <xf numFmtId="2" fontId="25" fillId="0" borderId="1" xfId="21" applyNumberFormat="1" applyFont="1" applyBorder="1" applyAlignment="1">
      <alignment horizontal="center"/>
      <protection/>
    </xf>
    <xf numFmtId="1" fontId="25" fillId="0" borderId="1" xfId="21" applyNumberFormat="1" applyFont="1" applyBorder="1" applyAlignment="1">
      <alignment horizontal="center"/>
      <protection/>
    </xf>
    <xf numFmtId="1" fontId="21" fillId="0" borderId="1" xfId="21" applyNumberFormat="1" applyFont="1" applyBorder="1" applyAlignment="1">
      <alignment horizontal="center"/>
      <protection/>
    </xf>
    <xf numFmtId="44" fontId="25" fillId="0" borderId="1" xfId="20" applyFont="1" applyBorder="1" applyAlignment="1">
      <alignment horizontal="right"/>
    </xf>
    <xf numFmtId="9" fontId="9" fillId="0" borderId="1" xfId="0" applyNumberFormat="1" applyFont="1" applyBorder="1"/>
    <xf numFmtId="167" fontId="9" fillId="0" borderId="1" xfId="0" applyNumberFormat="1" applyFont="1" applyBorder="1"/>
    <xf numFmtId="0" fontId="25" fillId="8" borderId="1" xfId="21" applyFont="1" applyFill="1" applyBorder="1" applyAlignment="1">
      <alignment horizontal="right"/>
      <protection/>
    </xf>
    <xf numFmtId="167" fontId="25" fillId="8" borderId="1" xfId="21" applyNumberFormat="1" applyFont="1" applyFill="1" applyBorder="1" applyAlignment="1">
      <alignment horizontal="right"/>
      <protection/>
    </xf>
    <xf numFmtId="44" fontId="9" fillId="0" borderId="1" xfId="0" applyNumberFormat="1" applyFont="1" applyBorder="1"/>
    <xf numFmtId="9" fontId="9" fillId="0" borderId="1" xfId="22" applyFont="1" applyBorder="1"/>
    <xf numFmtId="44" fontId="30" fillId="0" borderId="1" xfId="0" applyNumberFormat="1" applyFont="1" applyBorder="1" applyAlignment="1">
      <alignment horizontal="center"/>
    </xf>
    <xf numFmtId="44" fontId="33" fillId="5" borderId="0" xfId="0" applyNumberFormat="1" applyFont="1" applyFill="1"/>
    <xf numFmtId="44" fontId="9" fillId="0" borderId="0" xfId="0" applyNumberFormat="1" applyFont="1"/>
    <xf numFmtId="44" fontId="10" fillId="0" borderId="1" xfId="0" applyNumberFormat="1" applyFont="1" applyBorder="1" applyAlignment="1">
      <alignment horizontal="center"/>
    </xf>
    <xf numFmtId="44" fontId="0" fillId="0" borderId="0" xfId="0" applyNumberFormat="1"/>
    <xf numFmtId="44" fontId="2" fillId="6" borderId="1" xfId="0" applyNumberFormat="1" applyFont="1" applyFill="1" applyBorder="1" applyAlignment="1">
      <alignment horizontal="center"/>
    </xf>
    <xf numFmtId="44" fontId="0" fillId="11" borderId="0" xfId="0" applyNumberFormat="1" applyFill="1"/>
    <xf numFmtId="0" fontId="9" fillId="8" borderId="1" xfId="0" applyFont="1" applyFill="1" applyBorder="1"/>
    <xf numFmtId="44" fontId="10" fillId="8" borderId="1" xfId="20" applyFont="1" applyFill="1" applyBorder="1" applyAlignment="1">
      <alignment horizontal="center"/>
    </xf>
    <xf numFmtId="0" fontId="35" fillId="0" borderId="0" xfId="0" applyFont="1" applyAlignment="1">
      <alignment wrapText="1"/>
    </xf>
    <xf numFmtId="43" fontId="35" fillId="0" borderId="0" xfId="0" applyNumberFormat="1" applyFont="1" applyAlignment="1">
      <alignment wrapText="1"/>
    </xf>
    <xf numFmtId="43" fontId="36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43" fontId="2" fillId="0" borderId="0" xfId="26" applyFont="1" applyAlignment="1">
      <alignment horizontal="center"/>
    </xf>
    <xf numFmtId="43" fontId="2" fillId="0" borderId="0" xfId="26" applyFont="1"/>
    <xf numFmtId="0" fontId="36" fillId="0" borderId="0" xfId="0" applyFont="1" applyAlignment="1">
      <alignment horizontal="left" wrapText="1"/>
    </xf>
    <xf numFmtId="43" fontId="9" fillId="0" borderId="1" xfId="26" applyFont="1" applyBorder="1" applyAlignment="1">
      <alignment horizontal="center"/>
    </xf>
    <xf numFmtId="43" fontId="9" fillId="5" borderId="1" xfId="0" applyNumberFormat="1" applyFont="1" applyFill="1" applyBorder="1" applyAlignment="1">
      <alignment horizontal="center"/>
    </xf>
    <xf numFmtId="43" fontId="9" fillId="5" borderId="1" xfId="26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 wrapText="1"/>
    </xf>
    <xf numFmtId="0" fontId="28" fillId="8" borderId="1" xfId="0" applyFont="1" applyFill="1" applyBorder="1" applyAlignment="1">
      <alignment horizontal="center"/>
    </xf>
    <xf numFmtId="43" fontId="9" fillId="11" borderId="1" xfId="0" applyNumberFormat="1" applyFont="1" applyFill="1" applyBorder="1" applyAlignment="1">
      <alignment horizontal="center"/>
    </xf>
    <xf numFmtId="9" fontId="9" fillId="0" borderId="1" xfId="22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6" fillId="8" borderId="1" xfId="0" applyFont="1" applyFill="1" applyBorder="1" applyAlignment="1">
      <alignment horizontal="center"/>
    </xf>
    <xf numFmtId="44" fontId="9" fillId="0" borderId="1" xfId="20" applyNumberFormat="1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4" fontId="39" fillId="0" borderId="0" xfId="20" applyFont="1" applyAlignment="1">
      <alignment horizontal="center"/>
    </xf>
    <xf numFmtId="44" fontId="10" fillId="8" borderId="1" xfId="0" applyNumberFormat="1" applyFont="1" applyFill="1" applyBorder="1"/>
    <xf numFmtId="10" fontId="10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33" fillId="0" borderId="1" xfId="20" applyFont="1" applyBorder="1" applyAlignment="1">
      <alignment horizontal="center"/>
    </xf>
    <xf numFmtId="44" fontId="0" fillId="0" borderId="1" xfId="2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4" xfId="0" applyFill="1" applyBorder="1"/>
    <xf numFmtId="0" fontId="2" fillId="11" borderId="1" xfId="0" applyFont="1" applyFill="1" applyBorder="1" applyAlignment="1">
      <alignment horizontal="center"/>
    </xf>
    <xf numFmtId="44" fontId="0" fillId="11" borderId="1" xfId="20" applyFont="1" applyFill="1" applyBorder="1" applyAlignment="1">
      <alignment horizontal="center"/>
    </xf>
    <xf numFmtId="0" fontId="0" fillId="11" borderId="1" xfId="0" applyFill="1" applyBorder="1"/>
    <xf numFmtId="0" fontId="2" fillId="11" borderId="1" xfId="0" applyFont="1" applyFill="1" applyBorder="1" applyAlignment="1">
      <alignment horizontal="left"/>
    </xf>
    <xf numFmtId="44" fontId="2" fillId="0" borderId="1" xfId="20" applyFont="1" applyBorder="1" applyAlignment="1">
      <alignment horizontal="center"/>
    </xf>
    <xf numFmtId="44" fontId="2" fillId="11" borderId="1" xfId="20" applyFont="1" applyFill="1" applyBorder="1" applyAlignment="1">
      <alignment horizontal="center"/>
    </xf>
    <xf numFmtId="44" fontId="2" fillId="8" borderId="1" xfId="0" applyNumberFormat="1" applyFont="1" applyFill="1" applyBorder="1"/>
    <xf numFmtId="44" fontId="0" fillId="8" borderId="1" xfId="0" applyNumberFormat="1" applyFill="1" applyBorder="1" applyAlignment="1">
      <alignment horizontal="center"/>
    </xf>
    <xf numFmtId="9" fontId="4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2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8" borderId="1" xfId="0" applyNumberFormat="1" applyFont="1" applyFill="1" applyBorder="1" applyAlignment="1">
      <alignment horizontal="center"/>
    </xf>
    <xf numFmtId="167" fontId="11" fillId="0" borderId="1" xfId="21" applyNumberFormat="1" applyFont="1" applyBorder="1" applyAlignment="1">
      <alignment horizontal="center"/>
      <protection/>
    </xf>
    <xf numFmtId="0" fontId="2" fillId="8" borderId="1" xfId="0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44" fontId="0" fillId="8" borderId="1" xfId="20" applyFon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center"/>
    </xf>
    <xf numFmtId="0" fontId="11" fillId="8" borderId="6" xfId="21" applyFont="1" applyFill="1" applyBorder="1" applyAlignment="1">
      <alignment horizontal="center"/>
      <protection/>
    </xf>
    <xf numFmtId="0" fontId="11" fillId="8" borderId="5" xfId="2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Porcentual" xfId="22"/>
    <cellStyle name="Porcentual 2" xfId="23"/>
    <cellStyle name="Euro" xfId="24"/>
    <cellStyle name="Normal 3" xfId="25"/>
    <cellStyle name="Millares" xfId="26"/>
  </cellStyles>
  <dxfs count="10"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  <vertical/>
        <horizontal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</dxf>
    <dxf>
      <border>
        <bottom style="thin"/>
        <vertical/>
        <horizontal/>
      </border>
    </dxf>
    <dxf>
      <font>
        <i val="0"/>
        <u val="none"/>
        <strike val="0"/>
        <sz val="8"/>
        <name val="Calibri"/>
        <color theme="1"/>
      </font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GASTOS DE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CONSTITUCION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CONSTITUCION(A.1)'!$E$9:$N$9</c:f>
              <c:strCache/>
            </c:strRef>
          </c:cat>
          <c:val>
            <c:numRef>
              <c:f>'GASTOS CONSTITUCION(A.1)'!$E$10:$N$10</c:f>
              <c:numCache/>
            </c:numRef>
          </c:val>
        </c:ser>
        <c:axId val="49982264"/>
        <c:axId val="47187193"/>
      </c:area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majorGridlines/>
        <c:delete val="0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9982264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Cantidad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Servicios Prestados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'PROYECCION  INGRESOS (B)'!$A$12</c:f>
              <c:strCache>
                <c:ptCount val="1"/>
                <c:pt idx="0">
                  <c:v>SERVICIOS PRESTADOS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'PROYECCION  INGRESOS (B)'!$B$5:$K$5</c:f>
              <c:strCache/>
            </c:strRef>
          </c:cat>
          <c:val>
            <c:numRef>
              <c:f>'PROYECCION  INGRESOS (B)'!$B$12:$K$12</c:f>
              <c:numCache/>
            </c:numRef>
          </c:val>
        </c:ser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b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2031554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" l="0.70000000000000062" r="0.70000000000000062" t="0.75000000000000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PROYECCIONES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DE INGRESOS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'PROYECCION  INGRESOS (B)'!$A$90</c:f>
              <c:strCache>
                <c:ptCount val="1"/>
                <c:pt idx="0">
                  <c:v>AÑO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(B)'!$D$90</c:f>
              <c:numCache/>
            </c:numRef>
          </c:val>
          <c:shape val="box"/>
        </c:ser>
        <c:ser>
          <c:idx val="1"/>
          <c:order val="1"/>
          <c:tx>
            <c:strRef>
              <c:f>'PROYECCION  INGRESOS (B)'!$A$91</c:f>
              <c:strCache>
                <c:ptCount val="1"/>
                <c:pt idx="0">
                  <c:v>AÑO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(B)'!$D$91</c:f>
              <c:numCache/>
            </c:numRef>
          </c:val>
          <c:shape val="box"/>
        </c:ser>
        <c:ser>
          <c:idx val="2"/>
          <c:order val="2"/>
          <c:tx>
            <c:strRef>
              <c:f>'PROYECCION  INGRESOS (B)'!$A$92</c:f>
              <c:strCache>
                <c:ptCount val="1"/>
                <c:pt idx="0">
                  <c:v>AÑO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(B)'!$D$92</c:f>
              <c:numCache/>
            </c:numRef>
          </c:val>
          <c:shape val="box"/>
        </c:ser>
        <c:ser>
          <c:idx val="3"/>
          <c:order val="3"/>
          <c:tx>
            <c:strRef>
              <c:f>'PROYECCION  INGRESOS (B)'!$A$93</c:f>
              <c:strCache>
                <c:ptCount val="1"/>
                <c:pt idx="0">
                  <c:v>AÑO4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(B)'!$D$93</c:f>
              <c:numCache/>
            </c:numRef>
          </c:val>
          <c:shape val="box"/>
        </c:ser>
        <c:ser>
          <c:idx val="4"/>
          <c:order val="4"/>
          <c:tx>
            <c:strRef>
              <c:f>'PROYECCION  INGRESOS (B)'!$A$94</c:f>
              <c:strCache>
                <c:ptCount val="1"/>
                <c:pt idx="0">
                  <c:v>AÑO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(B)'!$D$94</c:f>
              <c:numCache/>
            </c:numRef>
          </c:val>
          <c:shape val="box"/>
        </c:ser>
        <c:ser>
          <c:idx val="5"/>
          <c:order val="5"/>
          <c:tx>
            <c:strRef>
              <c:f>'PROYECCION  INGRESOS (B)'!$A$95</c:f>
              <c:strCache>
                <c:ptCount val="1"/>
                <c:pt idx="0">
                  <c:v>AÑO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(B)'!$D$95</c:f>
              <c:numCache/>
            </c:numRef>
          </c:val>
          <c:shape val="box"/>
        </c:ser>
        <c:ser>
          <c:idx val="6"/>
          <c:order val="6"/>
          <c:tx>
            <c:strRef>
              <c:f>'PROYECCION  INGRESOS (B)'!$A$96</c:f>
              <c:strCache>
                <c:ptCount val="1"/>
                <c:pt idx="0">
                  <c:v>AÑO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(B)'!$D$96</c:f>
              <c:numCache/>
            </c:numRef>
          </c:val>
          <c:shape val="box"/>
        </c:ser>
        <c:ser>
          <c:idx val="7"/>
          <c:order val="7"/>
          <c:tx>
            <c:strRef>
              <c:f>'PROYECCION  INGRESOS (B)'!$A$97</c:f>
              <c:strCache>
                <c:ptCount val="1"/>
                <c:pt idx="0">
                  <c:v>AÑO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(B)'!$D$97</c:f>
              <c:numCache/>
            </c:numRef>
          </c:val>
          <c:shape val="box"/>
        </c:ser>
        <c:ser>
          <c:idx val="8"/>
          <c:order val="8"/>
          <c:tx>
            <c:strRef>
              <c:f>'PROYECCION  INGRESOS (B)'!$A$98</c:f>
              <c:strCache>
                <c:ptCount val="1"/>
                <c:pt idx="0">
                  <c:v>AÑO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(B)'!$D$98</c:f>
              <c:numCache/>
            </c:numRef>
          </c:val>
          <c:shape val="box"/>
        </c:ser>
        <c:ser>
          <c:idx val="9"/>
          <c:order val="9"/>
          <c:tx>
            <c:strRef>
              <c:f>'PROYECCION  INGRESOS (B)'!$A$99</c:f>
              <c:strCache>
                <c:ptCount val="1"/>
                <c:pt idx="0">
                  <c:v>AÑO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'PROYECCION  INGRESOS (B)'!$D$99</c:f>
              <c:numCache/>
            </c:numRef>
          </c:val>
          <c:shape val="box"/>
        </c:ser>
        <c:shape val="box"/>
        <c:axId val="39725420"/>
        <c:axId val="21984461"/>
      </c:bar3DChart>
      <c:catAx>
        <c:axId val="39725420"/>
        <c:scaling>
          <c:orientation val="minMax"/>
        </c:scaling>
        <c:axPos val="b"/>
        <c:delete val="1"/>
        <c:majorTickMark val="none"/>
        <c:minorTickMark val="none"/>
        <c:tickLblPos val="nextTo"/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  <c:min val="100000"/>
        </c:scaling>
        <c:axPos val="l"/>
        <c:majorGridlines/>
        <c:delete val="0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9725420"/>
        <c:crosses val="autoZero"/>
        <c:crossBetween val="between"/>
        <c:dispUnits/>
      </c:valAx>
    </c:plotArea>
    <c:legend>
      <c:legendPos val="b"/>
      <c:legendEntry>
        <c:idx val="0"/>
        <c:txPr>
          <a:bodyPr vert="horz" rot="0"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GASTOS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 PUBLICIDAD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EN PUBLICIDAD(C)'!$E$7:$N$7</c:f>
              <c:strCache/>
            </c:strRef>
          </c:cat>
          <c:val>
            <c:numRef>
              <c:f>'GASTOS EN PUBLICIDAD(C)'!$E$8:$N$8</c:f>
              <c:numCache/>
            </c:numRef>
          </c:val>
          <c:shape val="cylinder"/>
        </c:ser>
        <c:gapWidth val="75"/>
        <c:shape val="cylinder"/>
        <c:axId val="63642422"/>
        <c:axId val="35910887"/>
      </c:bar3D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  <c:min val="500"/>
        </c:scaling>
        <c:axPos val="b"/>
        <c:majorGridlines/>
        <c:delete val="0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36424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GASTOS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OPERATIVOS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175"/>
          <c:y val="0.1255"/>
          <c:w val="0.83275"/>
          <c:h val="0.60875"/>
        </c:manualLayout>
      </c:layout>
      <c:lineChart>
        <c:grouping val="standard"/>
        <c:varyColors val="0"/>
        <c:ser>
          <c:idx val="0"/>
          <c:order val="0"/>
          <c:tx>
            <c:strRef>
              <c:f>'GASTOS OPERATIVOS(D)'!$B$5</c:f>
              <c:strCache>
                <c:ptCount val="1"/>
                <c:pt idx="0">
                  <c:v>SERVICIOS BASICOS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OPERATIVOS(D)'!$C$4:$L$4</c:f>
              <c:strCache/>
            </c:strRef>
          </c:cat>
          <c:val>
            <c:numRef>
              <c:f>'GASTOS OPERATIVOS(D)'!$C$5:$L$5</c:f>
              <c:numCache/>
            </c:numRef>
          </c:val>
          <c:smooth val="0"/>
        </c:ser>
        <c:ser>
          <c:idx val="1"/>
          <c:order val="1"/>
          <c:tx>
            <c:strRef>
              <c:f>'GASTOS OPERATIVOS(D)'!$B$6</c:f>
              <c:strCache>
                <c:ptCount val="1"/>
                <c:pt idx="0">
                  <c:v>SUMINISTRO DE OFICINAS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</c:marker>
          <c:cat>
            <c:strRef>
              <c:f>'GASTOS OPERATIVOS(D)'!$C$4:$L$4</c:f>
              <c:strCache/>
            </c:strRef>
          </c:cat>
          <c:val>
            <c:numRef>
              <c:f>'GASTOS OPERATIVOS(D)'!$C$6:$L$6</c:f>
              <c:numCache/>
            </c:numRef>
          </c:val>
          <c:smooth val="0"/>
        </c:ser>
        <c:ser>
          <c:idx val="2"/>
          <c:order val="2"/>
          <c:tx>
            <c:strRef>
              <c:f>'GASTOS OPERATIVOS(D)'!$B$7</c:f>
              <c:strCache>
                <c:ptCount val="1"/>
                <c:pt idx="0">
                  <c:v>MANTENIMIENTO DE MAQUINARIAS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OPERATIVOS(D)'!$C$4:$L$4</c:f>
              <c:strCache/>
            </c:strRef>
          </c:cat>
          <c:val>
            <c:numRef>
              <c:f>'GASTOS OPERATIVOS(D)'!$C$7:$L$7</c:f>
              <c:numCache/>
            </c:numRef>
          </c:val>
          <c:smooth val="0"/>
        </c:ser>
        <c:ser>
          <c:idx val="3"/>
          <c:order val="3"/>
          <c:tx>
            <c:strRef>
              <c:f>'GASTOS OPERATIVOS(D)'!$B$8</c:f>
              <c:strCache>
                <c:ptCount val="1"/>
                <c:pt idx="0">
                  <c:v>COMBUSTIBLES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OPERATIVOS(D)'!$C$4:$L$4</c:f>
              <c:strCache/>
            </c:strRef>
          </c:cat>
          <c:val>
            <c:numRef>
              <c:f>'GASTOS OPERATIVOS(D)'!$C$8:$L$8</c:f>
              <c:numCache/>
            </c:numRef>
          </c:val>
          <c:smooth val="0"/>
        </c:ser>
        <c:ser>
          <c:idx val="4"/>
          <c:order val="4"/>
          <c:tx>
            <c:strRef>
              <c:f>'GASTOS OPERATIVOS(D)'!$B$9</c:f>
              <c:strCache>
                <c:ptCount val="1"/>
                <c:pt idx="0">
                  <c:v>DEPRECIACION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OPERATIVOS(D)'!$C$4:$L$4</c:f>
              <c:strCache/>
            </c:strRef>
          </c:cat>
          <c:val>
            <c:numRef>
              <c:f>'GASTOS OPERATIVOS(D)'!$C$9:$L$9</c:f>
              <c:numCache/>
            </c:numRef>
          </c:val>
          <c:smooth val="0"/>
        </c:ser>
        <c:ser>
          <c:idx val="5"/>
          <c:order val="5"/>
          <c:tx>
            <c:strRef>
              <c:f>'GASTOS OPERATIVOS(D)'!$B$10</c:f>
              <c:strCache>
                <c:ptCount val="1"/>
                <c:pt idx="0">
                  <c:v>CAPACITACION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'GASTOS OPERATIVOS(D)'!$C$4:$L$4</c:f>
              <c:strCache/>
            </c:strRef>
          </c:cat>
          <c:val>
            <c:numRef>
              <c:f>'GASTOS OPERATIVOS(D)'!$C$10:$L$10</c:f>
              <c:numCache/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  <c:min val="90"/>
        </c:scaling>
        <c:axPos val="l"/>
        <c:majorGridlines/>
        <c:delete val="0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547625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25"/>
          <c:y val="0.8435"/>
          <c:w val="0.92075"/>
          <c:h val="0.12275"/>
        </c:manualLayout>
      </c:layout>
      <c:overlay val="0"/>
      <c:txPr>
        <a:bodyPr vert="horz" rot="0"/>
        <a:lstStyle/>
        <a:p>
          <a:pPr>
            <a:defRPr lang="en-US" cap="none" sz="6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paperSize="9" orientation="landscape" horizontalDpi="300" verticalDpi="300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PROYECCIONES DE SALARIOS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'SUELDOS Y SALARIOS(E)'!$A$19:$J$19</c:f>
              <c:strCache/>
            </c:strRef>
          </c:cat>
          <c:val>
            <c:numRef>
              <c:f>'SUELDOS Y SALARIOS(E)'!$A$20:$J$20</c:f>
              <c:numCache/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</c:scaling>
        <c:axPos val="l"/>
        <c:majorGridlines/>
        <c:delete val="0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5797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'ESTADO RESULTADO(I)'!$A$28</c:f>
              <c:strCache>
                <c:ptCount val="1"/>
                <c:pt idx="0">
                  <c:v>UTILIDAD NETA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'ESTADO RESULTADO(I)'!$B$2:$K$2</c:f>
              <c:strCache/>
            </c:strRef>
          </c:cat>
          <c:val>
            <c:numRef>
              <c:f>'ESTADO RESULTADO(I)'!$B$28:$K$28</c:f>
              <c:numCache/>
            </c:numRef>
          </c:val>
          <c:shape val="box"/>
        </c:ser>
        <c:shape val="box"/>
        <c:axId val="63198036"/>
        <c:axId val="31911413"/>
      </c:bar3D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  <c:min val="2000"/>
        </c:scaling>
        <c:axPos val="b"/>
        <c:majorGridlines/>
        <c:delete val="0"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319803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25"/>
          <c:y val="0.51275"/>
          <c:w val="0.166"/>
          <c:h val="0.067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12</xdr:row>
      <xdr:rowOff>133350</xdr:rowOff>
    </xdr:from>
    <xdr:to>
      <xdr:col>11</xdr:col>
      <xdr:colOff>295275</xdr:colOff>
      <xdr:row>26</xdr:row>
      <xdr:rowOff>152400</xdr:rowOff>
    </xdr:to>
    <xdr:graphicFrame macro="">
      <xdr:nvGraphicFramePr>
        <xdr:cNvPr id="2" name="1 Gráfico"/>
        <xdr:cNvGraphicFramePr/>
      </xdr:nvGraphicFramePr>
      <xdr:xfrm>
        <a:off x="4972050" y="26003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17</xdr:row>
      <xdr:rowOff>0</xdr:rowOff>
    </xdr:from>
    <xdr:to>
      <xdr:col>3</xdr:col>
      <xdr:colOff>390525</xdr:colOff>
      <xdr:row>25</xdr:row>
      <xdr:rowOff>161925</xdr:rowOff>
    </xdr:to>
    <xdr:pic>
      <xdr:nvPicPr>
        <xdr:cNvPr id="1027" name="Gráfico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1504950" y="3762375"/>
          <a:ext cx="2752725" cy="1685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266700</xdr:colOff>
      <xdr:row>53</xdr:row>
      <xdr:rowOff>133350</xdr:rowOff>
    </xdr:from>
    <xdr:to>
      <xdr:col>5</xdr:col>
      <xdr:colOff>733425</xdr:colOff>
      <xdr:row>62</xdr:row>
      <xdr:rowOff>152400</xdr:rowOff>
    </xdr:to>
    <xdr:pic>
      <xdr:nvPicPr>
        <xdr:cNvPr id="1029" name="Gráfico 17"/>
        <xdr:cNvPicPr preferRelativeResize="1">
          <a:picLocks noChangeAspect="0"/>
        </xdr:cNvPicPr>
      </xdr:nvPicPr>
      <xdr:blipFill>
        <a:blip r:embed="rId2"/>
        <a:srcRect b="-112"/>
        <a:stretch>
          <a:fillRect/>
        </a:stretch>
      </xdr:blipFill>
      <xdr:spPr bwMode="auto">
        <a:xfrm>
          <a:off x="3238500" y="10753725"/>
          <a:ext cx="2981325" cy="1733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428625</xdr:colOff>
      <xdr:row>14</xdr:row>
      <xdr:rowOff>57150</xdr:rowOff>
    </xdr:from>
    <xdr:to>
      <xdr:col>9</xdr:col>
      <xdr:colOff>666750</xdr:colOff>
      <xdr:row>28</xdr:row>
      <xdr:rowOff>133350</xdr:rowOff>
    </xdr:to>
    <xdr:graphicFrame macro="">
      <xdr:nvGraphicFramePr>
        <xdr:cNvPr id="5" name="4 Gráfico"/>
        <xdr:cNvGraphicFramePr/>
      </xdr:nvGraphicFramePr>
      <xdr:xfrm>
        <a:off x="5010150" y="3200400"/>
        <a:ext cx="45720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87</xdr:row>
      <xdr:rowOff>19050</xdr:rowOff>
    </xdr:from>
    <xdr:to>
      <xdr:col>11</xdr:col>
      <xdr:colOff>295275</xdr:colOff>
      <xdr:row>101</xdr:row>
      <xdr:rowOff>76200</xdr:rowOff>
    </xdr:to>
    <xdr:graphicFrame macro="">
      <xdr:nvGraphicFramePr>
        <xdr:cNvPr id="7" name="6 Gráfico"/>
        <xdr:cNvGraphicFramePr/>
      </xdr:nvGraphicFramePr>
      <xdr:xfrm>
        <a:off x="5657850" y="17440275"/>
        <a:ext cx="50768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323850</xdr:colOff>
      <xdr:row>71</xdr:row>
      <xdr:rowOff>142875</xdr:rowOff>
    </xdr:from>
    <xdr:to>
      <xdr:col>6</xdr:col>
      <xdr:colOff>257175</xdr:colOff>
      <xdr:row>81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295650" y="14516100"/>
          <a:ext cx="3590925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190500</xdr:rowOff>
    </xdr:from>
    <xdr:to>
      <xdr:col>11</xdr:col>
      <xdr:colOff>723900</xdr:colOff>
      <xdr:row>29</xdr:row>
      <xdr:rowOff>9525</xdr:rowOff>
    </xdr:to>
    <xdr:graphicFrame macro="">
      <xdr:nvGraphicFramePr>
        <xdr:cNvPr id="3" name="2 Gráfico"/>
        <xdr:cNvGraphicFramePr/>
      </xdr:nvGraphicFramePr>
      <xdr:xfrm>
        <a:off x="5210175" y="2143125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28</xdr:row>
      <xdr:rowOff>133350</xdr:rowOff>
    </xdr:from>
    <xdr:to>
      <xdr:col>10</xdr:col>
      <xdr:colOff>571500</xdr:colOff>
      <xdr:row>48</xdr:row>
      <xdr:rowOff>76200</xdr:rowOff>
    </xdr:to>
    <xdr:graphicFrame macro="">
      <xdr:nvGraphicFramePr>
        <xdr:cNvPr id="4" name="3 Gráfico"/>
        <xdr:cNvGraphicFramePr/>
      </xdr:nvGraphicFramePr>
      <xdr:xfrm>
        <a:off x="4752975" y="5981700"/>
        <a:ext cx="5514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23</xdr:row>
      <xdr:rowOff>161925</xdr:rowOff>
    </xdr:from>
    <xdr:to>
      <xdr:col>8</xdr:col>
      <xdr:colOff>28575</xdr:colOff>
      <xdr:row>38</xdr:row>
      <xdr:rowOff>47625</xdr:rowOff>
    </xdr:to>
    <xdr:graphicFrame macro="">
      <xdr:nvGraphicFramePr>
        <xdr:cNvPr id="2" name="1 Gráfico"/>
        <xdr:cNvGraphicFramePr/>
      </xdr:nvGraphicFramePr>
      <xdr:xfrm>
        <a:off x="2190750" y="492442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2495550</xdr:colOff>
      <xdr:row>31</xdr:row>
      <xdr:rowOff>133350</xdr:rowOff>
    </xdr:from>
    <xdr:to>
      <xdr:col>7</xdr:col>
      <xdr:colOff>381000</xdr:colOff>
      <xdr:row>49</xdr:row>
      <xdr:rowOff>133350</xdr:rowOff>
    </xdr:to>
    <xdr:graphicFrame macro="">
      <xdr:nvGraphicFramePr>
        <xdr:cNvPr id="3" name="2 Gráfico"/>
        <xdr:cNvGraphicFramePr/>
      </xdr:nvGraphicFramePr>
      <xdr:xfrm>
        <a:off x="2495550" y="6038850"/>
        <a:ext cx="6267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0</xdr:rowOff>
    </xdr:from>
    <xdr:to>
      <xdr:col>10</xdr:col>
      <xdr:colOff>361950</xdr:colOff>
      <xdr:row>17</xdr:row>
      <xdr:rowOff>19050</xdr:rowOff>
    </xdr:to>
    <xdr:cxnSp macro="">
      <xdr:nvCxnSpPr>
        <xdr:cNvPr id="3" name="2 Conector recto"/>
        <xdr:cNvCxnSpPr/>
      </xdr:nvCxnSpPr>
      <xdr:spPr>
        <a:xfrm>
          <a:off x="352425" y="3238500"/>
          <a:ext cx="8324850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600075</xdr:colOff>
      <xdr:row>1</xdr:row>
      <xdr:rowOff>28575</xdr:rowOff>
    </xdr:from>
    <xdr:to>
      <xdr:col>7</xdr:col>
      <xdr:colOff>304800</xdr:colOff>
      <xdr:row>5</xdr:row>
      <xdr:rowOff>180975</xdr:rowOff>
    </xdr:to>
    <xdr:pic>
      <xdr:nvPicPr>
        <xdr:cNvPr id="6146" name="Picture 2"/>
        <xdr:cNvPicPr preferRelativeResize="1">
          <a:picLocks noChangeAspect="1"/>
        </xdr:cNvPicPr>
      </xdr:nvPicPr>
      <xdr:blipFill>
        <a:blip r:embed="rId1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 bwMode="auto">
        <a:xfrm>
          <a:off x="3448050" y="219075"/>
          <a:ext cx="2876550" cy="914400"/>
        </a:xfrm>
        <a:prstGeom prst="rect">
          <a:avLst/>
        </a:prstGeom>
        <a:blipFill>
          <a:blip r:embed="rId2"/>
          <a:srcRect/>
          <a:tile sx="100000" sy="100000" flip="none" algn="tl"/>
        </a:blipFill>
        <a:ln w="88900" cap="sq">
          <a:solidFill>
            <a:srgbClr val="FFFFFF"/>
          </a:solidFill>
          <a:miter lim="800000"/>
          <a:headEnd type="none"/>
          <a:tailEnd type="none"/>
        </a:ln>
        <a:effectLst>
          <a:outerShdw blurRad="55000" dist="18000" dir="54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:E8" totalsRowShown="0" headerRowDxfId="9" dataDxfId="7" tableBorderDxfId="6" headerRowBorderDxfId="8" totalsRowBorderDxfId="5">
  <tableColumns count="5">
    <tableColumn id="1" name="Descripción" dataDxfId="4"/>
    <tableColumn id="2" name="unidad de medida" dataDxfId="3"/>
    <tableColumn id="3" name="Cantidad " dataDxfId="2"/>
    <tableColumn id="4" name="Costo unitario" dataDxfId="1"/>
    <tableColumn id="5" name="costo 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O20"/>
  <sheetViews>
    <sheetView showGridLines="0" zoomScale="85" zoomScaleNormal="85" zoomScaleSheetLayoutView="100" workbookViewId="0" topLeftCell="A1">
      <selection activeCell="A34" sqref="A34"/>
    </sheetView>
  </sheetViews>
  <sheetFormatPr defaultColWidth="11.421875" defaultRowHeight="15"/>
  <cols>
    <col min="1" max="1" width="5.140625" style="14" customWidth="1"/>
    <col min="2" max="2" width="13.57421875" style="14" customWidth="1"/>
    <col min="3" max="3" width="10.7109375" style="13" bestFit="1" customWidth="1"/>
    <col min="4" max="4" width="12.28125" style="13" bestFit="1" customWidth="1"/>
    <col min="5" max="5" width="13.421875" style="13" bestFit="1" customWidth="1"/>
    <col min="6" max="6" width="11.57421875" style="13" bestFit="1" customWidth="1"/>
    <col min="7" max="8" width="6.57421875" style="13" bestFit="1" customWidth="1"/>
    <col min="9" max="9" width="34.57421875" style="13" bestFit="1" customWidth="1"/>
    <col min="10" max="10" width="12.8515625" style="13" bestFit="1" customWidth="1"/>
    <col min="11" max="11" width="13.140625" style="13" customWidth="1"/>
    <col min="12" max="12" width="1.7109375" style="13" customWidth="1"/>
    <col min="13" max="13" width="11.421875" style="14" customWidth="1"/>
    <col min="14" max="14" width="51.57421875" style="14" customWidth="1"/>
    <col min="15" max="15" width="11.8515625" style="14" bestFit="1" customWidth="1"/>
    <col min="16" max="257" width="11.421875" style="14" customWidth="1"/>
    <col min="258" max="258" width="34.28125" style="14" customWidth="1"/>
    <col min="259" max="259" width="7.28125" style="14" bestFit="1" customWidth="1"/>
    <col min="260" max="266" width="6.57421875" style="14" bestFit="1" customWidth="1"/>
    <col min="267" max="268" width="5.57421875" style="14" bestFit="1" customWidth="1"/>
    <col min="269" max="513" width="11.421875" style="14" customWidth="1"/>
    <col min="514" max="514" width="34.28125" style="14" customWidth="1"/>
    <col min="515" max="515" width="7.28125" style="14" bestFit="1" customWidth="1"/>
    <col min="516" max="522" width="6.57421875" style="14" bestFit="1" customWidth="1"/>
    <col min="523" max="524" width="5.57421875" style="14" bestFit="1" customWidth="1"/>
    <col min="525" max="769" width="11.421875" style="14" customWidth="1"/>
    <col min="770" max="770" width="34.28125" style="14" customWidth="1"/>
    <col min="771" max="771" width="7.28125" style="14" bestFit="1" customWidth="1"/>
    <col min="772" max="778" width="6.57421875" style="14" bestFit="1" customWidth="1"/>
    <col min="779" max="780" width="5.57421875" style="14" bestFit="1" customWidth="1"/>
    <col min="781" max="1025" width="11.421875" style="14" customWidth="1"/>
    <col min="1026" max="1026" width="34.28125" style="14" customWidth="1"/>
    <col min="1027" max="1027" width="7.28125" style="14" bestFit="1" customWidth="1"/>
    <col min="1028" max="1034" width="6.57421875" style="14" bestFit="1" customWidth="1"/>
    <col min="1035" max="1036" width="5.57421875" style="14" bestFit="1" customWidth="1"/>
    <col min="1037" max="1281" width="11.421875" style="14" customWidth="1"/>
    <col min="1282" max="1282" width="34.28125" style="14" customWidth="1"/>
    <col min="1283" max="1283" width="7.28125" style="14" bestFit="1" customWidth="1"/>
    <col min="1284" max="1290" width="6.57421875" style="14" bestFit="1" customWidth="1"/>
    <col min="1291" max="1292" width="5.57421875" style="14" bestFit="1" customWidth="1"/>
    <col min="1293" max="1537" width="11.421875" style="14" customWidth="1"/>
    <col min="1538" max="1538" width="34.28125" style="14" customWidth="1"/>
    <col min="1539" max="1539" width="7.28125" style="14" bestFit="1" customWidth="1"/>
    <col min="1540" max="1546" width="6.57421875" style="14" bestFit="1" customWidth="1"/>
    <col min="1547" max="1548" width="5.57421875" style="14" bestFit="1" customWidth="1"/>
    <col min="1549" max="1793" width="11.421875" style="14" customWidth="1"/>
    <col min="1794" max="1794" width="34.28125" style="14" customWidth="1"/>
    <col min="1795" max="1795" width="7.28125" style="14" bestFit="1" customWidth="1"/>
    <col min="1796" max="1802" width="6.57421875" style="14" bestFit="1" customWidth="1"/>
    <col min="1803" max="1804" width="5.57421875" style="14" bestFit="1" customWidth="1"/>
    <col min="1805" max="2049" width="11.421875" style="14" customWidth="1"/>
    <col min="2050" max="2050" width="34.28125" style="14" customWidth="1"/>
    <col min="2051" max="2051" width="7.28125" style="14" bestFit="1" customWidth="1"/>
    <col min="2052" max="2058" width="6.57421875" style="14" bestFit="1" customWidth="1"/>
    <col min="2059" max="2060" width="5.57421875" style="14" bestFit="1" customWidth="1"/>
    <col min="2061" max="2305" width="11.421875" style="14" customWidth="1"/>
    <col min="2306" max="2306" width="34.28125" style="14" customWidth="1"/>
    <col min="2307" max="2307" width="7.28125" style="14" bestFit="1" customWidth="1"/>
    <col min="2308" max="2314" width="6.57421875" style="14" bestFit="1" customWidth="1"/>
    <col min="2315" max="2316" width="5.57421875" style="14" bestFit="1" customWidth="1"/>
    <col min="2317" max="2561" width="11.421875" style="14" customWidth="1"/>
    <col min="2562" max="2562" width="34.28125" style="14" customWidth="1"/>
    <col min="2563" max="2563" width="7.28125" style="14" bestFit="1" customWidth="1"/>
    <col min="2564" max="2570" width="6.57421875" style="14" bestFit="1" customWidth="1"/>
    <col min="2571" max="2572" width="5.57421875" style="14" bestFit="1" customWidth="1"/>
    <col min="2573" max="2817" width="11.421875" style="14" customWidth="1"/>
    <col min="2818" max="2818" width="34.28125" style="14" customWidth="1"/>
    <col min="2819" max="2819" width="7.28125" style="14" bestFit="1" customWidth="1"/>
    <col min="2820" max="2826" width="6.57421875" style="14" bestFit="1" customWidth="1"/>
    <col min="2827" max="2828" width="5.57421875" style="14" bestFit="1" customWidth="1"/>
    <col min="2829" max="3073" width="11.421875" style="14" customWidth="1"/>
    <col min="3074" max="3074" width="34.28125" style="14" customWidth="1"/>
    <col min="3075" max="3075" width="7.28125" style="14" bestFit="1" customWidth="1"/>
    <col min="3076" max="3082" width="6.57421875" style="14" bestFit="1" customWidth="1"/>
    <col min="3083" max="3084" width="5.57421875" style="14" bestFit="1" customWidth="1"/>
    <col min="3085" max="3329" width="11.421875" style="14" customWidth="1"/>
    <col min="3330" max="3330" width="34.28125" style="14" customWidth="1"/>
    <col min="3331" max="3331" width="7.28125" style="14" bestFit="1" customWidth="1"/>
    <col min="3332" max="3338" width="6.57421875" style="14" bestFit="1" customWidth="1"/>
    <col min="3339" max="3340" width="5.57421875" style="14" bestFit="1" customWidth="1"/>
    <col min="3341" max="3585" width="11.421875" style="14" customWidth="1"/>
    <col min="3586" max="3586" width="34.28125" style="14" customWidth="1"/>
    <col min="3587" max="3587" width="7.28125" style="14" bestFit="1" customWidth="1"/>
    <col min="3588" max="3594" width="6.57421875" style="14" bestFit="1" customWidth="1"/>
    <col min="3595" max="3596" width="5.57421875" style="14" bestFit="1" customWidth="1"/>
    <col min="3597" max="3841" width="11.421875" style="14" customWidth="1"/>
    <col min="3842" max="3842" width="34.28125" style="14" customWidth="1"/>
    <col min="3843" max="3843" width="7.28125" style="14" bestFit="1" customWidth="1"/>
    <col min="3844" max="3850" width="6.57421875" style="14" bestFit="1" customWidth="1"/>
    <col min="3851" max="3852" width="5.57421875" style="14" bestFit="1" customWidth="1"/>
    <col min="3853" max="4097" width="11.421875" style="14" customWidth="1"/>
    <col min="4098" max="4098" width="34.28125" style="14" customWidth="1"/>
    <col min="4099" max="4099" width="7.28125" style="14" bestFit="1" customWidth="1"/>
    <col min="4100" max="4106" width="6.57421875" style="14" bestFit="1" customWidth="1"/>
    <col min="4107" max="4108" width="5.57421875" style="14" bestFit="1" customWidth="1"/>
    <col min="4109" max="4353" width="11.421875" style="14" customWidth="1"/>
    <col min="4354" max="4354" width="34.28125" style="14" customWidth="1"/>
    <col min="4355" max="4355" width="7.28125" style="14" bestFit="1" customWidth="1"/>
    <col min="4356" max="4362" width="6.57421875" style="14" bestFit="1" customWidth="1"/>
    <col min="4363" max="4364" width="5.57421875" style="14" bestFit="1" customWidth="1"/>
    <col min="4365" max="4609" width="11.421875" style="14" customWidth="1"/>
    <col min="4610" max="4610" width="34.28125" style="14" customWidth="1"/>
    <col min="4611" max="4611" width="7.28125" style="14" bestFit="1" customWidth="1"/>
    <col min="4612" max="4618" width="6.57421875" style="14" bestFit="1" customWidth="1"/>
    <col min="4619" max="4620" width="5.57421875" style="14" bestFit="1" customWidth="1"/>
    <col min="4621" max="4865" width="11.421875" style="14" customWidth="1"/>
    <col min="4866" max="4866" width="34.28125" style="14" customWidth="1"/>
    <col min="4867" max="4867" width="7.28125" style="14" bestFit="1" customWidth="1"/>
    <col min="4868" max="4874" width="6.57421875" style="14" bestFit="1" customWidth="1"/>
    <col min="4875" max="4876" width="5.57421875" style="14" bestFit="1" customWidth="1"/>
    <col min="4877" max="5121" width="11.421875" style="14" customWidth="1"/>
    <col min="5122" max="5122" width="34.28125" style="14" customWidth="1"/>
    <col min="5123" max="5123" width="7.28125" style="14" bestFit="1" customWidth="1"/>
    <col min="5124" max="5130" width="6.57421875" style="14" bestFit="1" customWidth="1"/>
    <col min="5131" max="5132" width="5.57421875" style="14" bestFit="1" customWidth="1"/>
    <col min="5133" max="5377" width="11.421875" style="14" customWidth="1"/>
    <col min="5378" max="5378" width="34.28125" style="14" customWidth="1"/>
    <col min="5379" max="5379" width="7.28125" style="14" bestFit="1" customWidth="1"/>
    <col min="5380" max="5386" width="6.57421875" style="14" bestFit="1" customWidth="1"/>
    <col min="5387" max="5388" width="5.57421875" style="14" bestFit="1" customWidth="1"/>
    <col min="5389" max="5633" width="11.421875" style="14" customWidth="1"/>
    <col min="5634" max="5634" width="34.28125" style="14" customWidth="1"/>
    <col min="5635" max="5635" width="7.28125" style="14" bestFit="1" customWidth="1"/>
    <col min="5636" max="5642" width="6.57421875" style="14" bestFit="1" customWidth="1"/>
    <col min="5643" max="5644" width="5.57421875" style="14" bestFit="1" customWidth="1"/>
    <col min="5645" max="5889" width="11.421875" style="14" customWidth="1"/>
    <col min="5890" max="5890" width="34.28125" style="14" customWidth="1"/>
    <col min="5891" max="5891" width="7.28125" style="14" bestFit="1" customWidth="1"/>
    <col min="5892" max="5898" width="6.57421875" style="14" bestFit="1" customWidth="1"/>
    <col min="5899" max="5900" width="5.57421875" style="14" bestFit="1" customWidth="1"/>
    <col min="5901" max="6145" width="11.421875" style="14" customWidth="1"/>
    <col min="6146" max="6146" width="34.28125" style="14" customWidth="1"/>
    <col min="6147" max="6147" width="7.28125" style="14" bestFit="1" customWidth="1"/>
    <col min="6148" max="6154" width="6.57421875" style="14" bestFit="1" customWidth="1"/>
    <col min="6155" max="6156" width="5.57421875" style="14" bestFit="1" customWidth="1"/>
    <col min="6157" max="6401" width="11.421875" style="14" customWidth="1"/>
    <col min="6402" max="6402" width="34.28125" style="14" customWidth="1"/>
    <col min="6403" max="6403" width="7.28125" style="14" bestFit="1" customWidth="1"/>
    <col min="6404" max="6410" width="6.57421875" style="14" bestFit="1" customWidth="1"/>
    <col min="6411" max="6412" width="5.57421875" style="14" bestFit="1" customWidth="1"/>
    <col min="6413" max="6657" width="11.421875" style="14" customWidth="1"/>
    <col min="6658" max="6658" width="34.28125" style="14" customWidth="1"/>
    <col min="6659" max="6659" width="7.28125" style="14" bestFit="1" customWidth="1"/>
    <col min="6660" max="6666" width="6.57421875" style="14" bestFit="1" customWidth="1"/>
    <col min="6667" max="6668" width="5.57421875" style="14" bestFit="1" customWidth="1"/>
    <col min="6669" max="6913" width="11.421875" style="14" customWidth="1"/>
    <col min="6914" max="6914" width="34.28125" style="14" customWidth="1"/>
    <col min="6915" max="6915" width="7.28125" style="14" bestFit="1" customWidth="1"/>
    <col min="6916" max="6922" width="6.57421875" style="14" bestFit="1" customWidth="1"/>
    <col min="6923" max="6924" width="5.57421875" style="14" bestFit="1" customWidth="1"/>
    <col min="6925" max="7169" width="11.421875" style="14" customWidth="1"/>
    <col min="7170" max="7170" width="34.28125" style="14" customWidth="1"/>
    <col min="7171" max="7171" width="7.28125" style="14" bestFit="1" customWidth="1"/>
    <col min="7172" max="7178" width="6.57421875" style="14" bestFit="1" customWidth="1"/>
    <col min="7179" max="7180" width="5.57421875" style="14" bestFit="1" customWidth="1"/>
    <col min="7181" max="7425" width="11.421875" style="14" customWidth="1"/>
    <col min="7426" max="7426" width="34.28125" style="14" customWidth="1"/>
    <col min="7427" max="7427" width="7.28125" style="14" bestFit="1" customWidth="1"/>
    <col min="7428" max="7434" width="6.57421875" style="14" bestFit="1" customWidth="1"/>
    <col min="7435" max="7436" width="5.57421875" style="14" bestFit="1" customWidth="1"/>
    <col min="7437" max="7681" width="11.421875" style="14" customWidth="1"/>
    <col min="7682" max="7682" width="34.28125" style="14" customWidth="1"/>
    <col min="7683" max="7683" width="7.28125" style="14" bestFit="1" customWidth="1"/>
    <col min="7684" max="7690" width="6.57421875" style="14" bestFit="1" customWidth="1"/>
    <col min="7691" max="7692" width="5.57421875" style="14" bestFit="1" customWidth="1"/>
    <col min="7693" max="7937" width="11.421875" style="14" customWidth="1"/>
    <col min="7938" max="7938" width="34.28125" style="14" customWidth="1"/>
    <col min="7939" max="7939" width="7.28125" style="14" bestFit="1" customWidth="1"/>
    <col min="7940" max="7946" width="6.57421875" style="14" bestFit="1" customWidth="1"/>
    <col min="7947" max="7948" width="5.57421875" style="14" bestFit="1" customWidth="1"/>
    <col min="7949" max="8193" width="11.421875" style="14" customWidth="1"/>
    <col min="8194" max="8194" width="34.28125" style="14" customWidth="1"/>
    <col min="8195" max="8195" width="7.28125" style="14" bestFit="1" customWidth="1"/>
    <col min="8196" max="8202" width="6.57421875" style="14" bestFit="1" customWidth="1"/>
    <col min="8203" max="8204" width="5.57421875" style="14" bestFit="1" customWidth="1"/>
    <col min="8205" max="8449" width="11.421875" style="14" customWidth="1"/>
    <col min="8450" max="8450" width="34.28125" style="14" customWidth="1"/>
    <col min="8451" max="8451" width="7.28125" style="14" bestFit="1" customWidth="1"/>
    <col min="8452" max="8458" width="6.57421875" style="14" bestFit="1" customWidth="1"/>
    <col min="8459" max="8460" width="5.57421875" style="14" bestFit="1" customWidth="1"/>
    <col min="8461" max="8705" width="11.421875" style="14" customWidth="1"/>
    <col min="8706" max="8706" width="34.28125" style="14" customWidth="1"/>
    <col min="8707" max="8707" width="7.28125" style="14" bestFit="1" customWidth="1"/>
    <col min="8708" max="8714" width="6.57421875" style="14" bestFit="1" customWidth="1"/>
    <col min="8715" max="8716" width="5.57421875" style="14" bestFit="1" customWidth="1"/>
    <col min="8717" max="8961" width="11.421875" style="14" customWidth="1"/>
    <col min="8962" max="8962" width="34.28125" style="14" customWidth="1"/>
    <col min="8963" max="8963" width="7.28125" style="14" bestFit="1" customWidth="1"/>
    <col min="8964" max="8970" width="6.57421875" style="14" bestFit="1" customWidth="1"/>
    <col min="8971" max="8972" width="5.57421875" style="14" bestFit="1" customWidth="1"/>
    <col min="8973" max="9217" width="11.421875" style="14" customWidth="1"/>
    <col min="9218" max="9218" width="34.28125" style="14" customWidth="1"/>
    <col min="9219" max="9219" width="7.28125" style="14" bestFit="1" customWidth="1"/>
    <col min="9220" max="9226" width="6.57421875" style="14" bestFit="1" customWidth="1"/>
    <col min="9227" max="9228" width="5.57421875" style="14" bestFit="1" customWidth="1"/>
    <col min="9229" max="9473" width="11.421875" style="14" customWidth="1"/>
    <col min="9474" max="9474" width="34.28125" style="14" customWidth="1"/>
    <col min="9475" max="9475" width="7.28125" style="14" bestFit="1" customWidth="1"/>
    <col min="9476" max="9482" width="6.57421875" style="14" bestFit="1" customWidth="1"/>
    <col min="9483" max="9484" width="5.57421875" style="14" bestFit="1" customWidth="1"/>
    <col min="9485" max="9729" width="11.421875" style="14" customWidth="1"/>
    <col min="9730" max="9730" width="34.28125" style="14" customWidth="1"/>
    <col min="9731" max="9731" width="7.28125" style="14" bestFit="1" customWidth="1"/>
    <col min="9732" max="9738" width="6.57421875" style="14" bestFit="1" customWidth="1"/>
    <col min="9739" max="9740" width="5.57421875" style="14" bestFit="1" customWidth="1"/>
    <col min="9741" max="9985" width="11.421875" style="14" customWidth="1"/>
    <col min="9986" max="9986" width="34.28125" style="14" customWidth="1"/>
    <col min="9987" max="9987" width="7.28125" style="14" bestFit="1" customWidth="1"/>
    <col min="9988" max="9994" width="6.57421875" style="14" bestFit="1" customWidth="1"/>
    <col min="9995" max="9996" width="5.57421875" style="14" bestFit="1" customWidth="1"/>
    <col min="9997" max="10241" width="11.421875" style="14" customWidth="1"/>
    <col min="10242" max="10242" width="34.28125" style="14" customWidth="1"/>
    <col min="10243" max="10243" width="7.28125" style="14" bestFit="1" customWidth="1"/>
    <col min="10244" max="10250" width="6.57421875" style="14" bestFit="1" customWidth="1"/>
    <col min="10251" max="10252" width="5.57421875" style="14" bestFit="1" customWidth="1"/>
    <col min="10253" max="10497" width="11.421875" style="14" customWidth="1"/>
    <col min="10498" max="10498" width="34.28125" style="14" customWidth="1"/>
    <col min="10499" max="10499" width="7.28125" style="14" bestFit="1" customWidth="1"/>
    <col min="10500" max="10506" width="6.57421875" style="14" bestFit="1" customWidth="1"/>
    <col min="10507" max="10508" width="5.57421875" style="14" bestFit="1" customWidth="1"/>
    <col min="10509" max="10753" width="11.421875" style="14" customWidth="1"/>
    <col min="10754" max="10754" width="34.28125" style="14" customWidth="1"/>
    <col min="10755" max="10755" width="7.28125" style="14" bestFit="1" customWidth="1"/>
    <col min="10756" max="10762" width="6.57421875" style="14" bestFit="1" customWidth="1"/>
    <col min="10763" max="10764" width="5.57421875" style="14" bestFit="1" customWidth="1"/>
    <col min="10765" max="11009" width="11.421875" style="14" customWidth="1"/>
    <col min="11010" max="11010" width="34.28125" style="14" customWidth="1"/>
    <col min="11011" max="11011" width="7.28125" style="14" bestFit="1" customWidth="1"/>
    <col min="11012" max="11018" width="6.57421875" style="14" bestFit="1" customWidth="1"/>
    <col min="11019" max="11020" width="5.57421875" style="14" bestFit="1" customWidth="1"/>
    <col min="11021" max="11265" width="11.421875" style="14" customWidth="1"/>
    <col min="11266" max="11266" width="34.28125" style="14" customWidth="1"/>
    <col min="11267" max="11267" width="7.28125" style="14" bestFit="1" customWidth="1"/>
    <col min="11268" max="11274" width="6.57421875" style="14" bestFit="1" customWidth="1"/>
    <col min="11275" max="11276" width="5.57421875" style="14" bestFit="1" customWidth="1"/>
    <col min="11277" max="11521" width="11.421875" style="14" customWidth="1"/>
    <col min="11522" max="11522" width="34.28125" style="14" customWidth="1"/>
    <col min="11523" max="11523" width="7.28125" style="14" bestFit="1" customWidth="1"/>
    <col min="11524" max="11530" width="6.57421875" style="14" bestFit="1" customWidth="1"/>
    <col min="11531" max="11532" width="5.57421875" style="14" bestFit="1" customWidth="1"/>
    <col min="11533" max="11777" width="11.421875" style="14" customWidth="1"/>
    <col min="11778" max="11778" width="34.28125" style="14" customWidth="1"/>
    <col min="11779" max="11779" width="7.28125" style="14" bestFit="1" customWidth="1"/>
    <col min="11780" max="11786" width="6.57421875" style="14" bestFit="1" customWidth="1"/>
    <col min="11787" max="11788" width="5.57421875" style="14" bestFit="1" customWidth="1"/>
    <col min="11789" max="12033" width="11.421875" style="14" customWidth="1"/>
    <col min="12034" max="12034" width="34.28125" style="14" customWidth="1"/>
    <col min="12035" max="12035" width="7.28125" style="14" bestFit="1" customWidth="1"/>
    <col min="12036" max="12042" width="6.57421875" style="14" bestFit="1" customWidth="1"/>
    <col min="12043" max="12044" width="5.57421875" style="14" bestFit="1" customWidth="1"/>
    <col min="12045" max="12289" width="11.421875" style="14" customWidth="1"/>
    <col min="12290" max="12290" width="34.28125" style="14" customWidth="1"/>
    <col min="12291" max="12291" width="7.28125" style="14" bestFit="1" customWidth="1"/>
    <col min="12292" max="12298" width="6.57421875" style="14" bestFit="1" customWidth="1"/>
    <col min="12299" max="12300" width="5.57421875" style="14" bestFit="1" customWidth="1"/>
    <col min="12301" max="12545" width="11.421875" style="14" customWidth="1"/>
    <col min="12546" max="12546" width="34.28125" style="14" customWidth="1"/>
    <col min="12547" max="12547" width="7.28125" style="14" bestFit="1" customWidth="1"/>
    <col min="12548" max="12554" width="6.57421875" style="14" bestFit="1" customWidth="1"/>
    <col min="12555" max="12556" width="5.57421875" style="14" bestFit="1" customWidth="1"/>
    <col min="12557" max="12801" width="11.421875" style="14" customWidth="1"/>
    <col min="12802" max="12802" width="34.28125" style="14" customWidth="1"/>
    <col min="12803" max="12803" width="7.28125" style="14" bestFit="1" customWidth="1"/>
    <col min="12804" max="12810" width="6.57421875" style="14" bestFit="1" customWidth="1"/>
    <col min="12811" max="12812" width="5.57421875" style="14" bestFit="1" customWidth="1"/>
    <col min="12813" max="13057" width="11.421875" style="14" customWidth="1"/>
    <col min="13058" max="13058" width="34.28125" style="14" customWidth="1"/>
    <col min="13059" max="13059" width="7.28125" style="14" bestFit="1" customWidth="1"/>
    <col min="13060" max="13066" width="6.57421875" style="14" bestFit="1" customWidth="1"/>
    <col min="13067" max="13068" width="5.57421875" style="14" bestFit="1" customWidth="1"/>
    <col min="13069" max="13313" width="11.421875" style="14" customWidth="1"/>
    <col min="13314" max="13314" width="34.28125" style="14" customWidth="1"/>
    <col min="13315" max="13315" width="7.28125" style="14" bestFit="1" customWidth="1"/>
    <col min="13316" max="13322" width="6.57421875" style="14" bestFit="1" customWidth="1"/>
    <col min="13323" max="13324" width="5.57421875" style="14" bestFit="1" customWidth="1"/>
    <col min="13325" max="13569" width="11.421875" style="14" customWidth="1"/>
    <col min="13570" max="13570" width="34.28125" style="14" customWidth="1"/>
    <col min="13571" max="13571" width="7.28125" style="14" bestFit="1" customWidth="1"/>
    <col min="13572" max="13578" width="6.57421875" style="14" bestFit="1" customWidth="1"/>
    <col min="13579" max="13580" width="5.57421875" style="14" bestFit="1" customWidth="1"/>
    <col min="13581" max="13825" width="11.421875" style="14" customWidth="1"/>
    <col min="13826" max="13826" width="34.28125" style="14" customWidth="1"/>
    <col min="13827" max="13827" width="7.28125" style="14" bestFit="1" customWidth="1"/>
    <col min="13828" max="13834" width="6.57421875" style="14" bestFit="1" customWidth="1"/>
    <col min="13835" max="13836" width="5.57421875" style="14" bestFit="1" customWidth="1"/>
    <col min="13837" max="14081" width="11.421875" style="14" customWidth="1"/>
    <col min="14082" max="14082" width="34.28125" style="14" customWidth="1"/>
    <col min="14083" max="14083" width="7.28125" style="14" bestFit="1" customWidth="1"/>
    <col min="14084" max="14090" width="6.57421875" style="14" bestFit="1" customWidth="1"/>
    <col min="14091" max="14092" width="5.57421875" style="14" bestFit="1" customWidth="1"/>
    <col min="14093" max="14337" width="11.421875" style="14" customWidth="1"/>
    <col min="14338" max="14338" width="34.28125" style="14" customWidth="1"/>
    <col min="14339" max="14339" width="7.28125" style="14" bestFit="1" customWidth="1"/>
    <col min="14340" max="14346" width="6.57421875" style="14" bestFit="1" customWidth="1"/>
    <col min="14347" max="14348" width="5.57421875" style="14" bestFit="1" customWidth="1"/>
    <col min="14349" max="14593" width="11.421875" style="14" customWidth="1"/>
    <col min="14594" max="14594" width="34.28125" style="14" customWidth="1"/>
    <col min="14595" max="14595" width="7.28125" style="14" bestFit="1" customWidth="1"/>
    <col min="14596" max="14602" width="6.57421875" style="14" bestFit="1" customWidth="1"/>
    <col min="14603" max="14604" width="5.57421875" style="14" bestFit="1" customWidth="1"/>
    <col min="14605" max="14849" width="11.421875" style="14" customWidth="1"/>
    <col min="14850" max="14850" width="34.28125" style="14" customWidth="1"/>
    <col min="14851" max="14851" width="7.28125" style="14" bestFit="1" customWidth="1"/>
    <col min="14852" max="14858" width="6.57421875" style="14" bestFit="1" customWidth="1"/>
    <col min="14859" max="14860" width="5.57421875" style="14" bestFit="1" customWidth="1"/>
    <col min="14861" max="15105" width="11.421875" style="14" customWidth="1"/>
    <col min="15106" max="15106" width="34.28125" style="14" customWidth="1"/>
    <col min="15107" max="15107" width="7.28125" style="14" bestFit="1" customWidth="1"/>
    <col min="15108" max="15114" width="6.57421875" style="14" bestFit="1" customWidth="1"/>
    <col min="15115" max="15116" width="5.57421875" style="14" bestFit="1" customWidth="1"/>
    <col min="15117" max="15361" width="11.421875" style="14" customWidth="1"/>
    <col min="15362" max="15362" width="34.28125" style="14" customWidth="1"/>
    <col min="15363" max="15363" width="7.28125" style="14" bestFit="1" customWidth="1"/>
    <col min="15364" max="15370" width="6.57421875" style="14" bestFit="1" customWidth="1"/>
    <col min="15371" max="15372" width="5.57421875" style="14" bestFit="1" customWidth="1"/>
    <col min="15373" max="15617" width="11.421875" style="14" customWidth="1"/>
    <col min="15618" max="15618" width="34.28125" style="14" customWidth="1"/>
    <col min="15619" max="15619" width="7.28125" style="14" bestFit="1" customWidth="1"/>
    <col min="15620" max="15626" width="6.57421875" style="14" bestFit="1" customWidth="1"/>
    <col min="15627" max="15628" width="5.57421875" style="14" bestFit="1" customWidth="1"/>
    <col min="15629" max="15873" width="11.421875" style="14" customWidth="1"/>
    <col min="15874" max="15874" width="34.28125" style="14" customWidth="1"/>
    <col min="15875" max="15875" width="7.28125" style="14" bestFit="1" customWidth="1"/>
    <col min="15876" max="15882" width="6.57421875" style="14" bestFit="1" customWidth="1"/>
    <col min="15883" max="15884" width="5.57421875" style="14" bestFit="1" customWidth="1"/>
    <col min="15885" max="16129" width="11.421875" style="14" customWidth="1"/>
    <col min="16130" max="16130" width="34.28125" style="14" customWidth="1"/>
    <col min="16131" max="16131" width="7.28125" style="14" bestFit="1" customWidth="1"/>
    <col min="16132" max="16138" width="6.57421875" style="14" bestFit="1" customWidth="1"/>
    <col min="16139" max="16140" width="5.57421875" style="14" bestFit="1" customWidth="1"/>
    <col min="16141" max="16384" width="11.421875" style="14" customWidth="1"/>
  </cols>
  <sheetData>
    <row r="1" ht="15">
      <c r="B1" s="14" t="s">
        <v>296</v>
      </c>
    </row>
    <row r="2" spans="2:12" ht="18">
      <c r="B2" s="218" t="s">
        <v>104</v>
      </c>
      <c r="C2" s="218"/>
      <c r="D2" s="218"/>
      <c r="E2" s="218"/>
      <c r="F2" s="218"/>
      <c r="G2" s="218"/>
      <c r="H2" s="218"/>
      <c r="I2" s="218"/>
      <c r="J2" s="218"/>
      <c r="K2" s="218"/>
      <c r="L2" s="21"/>
    </row>
    <row r="3" spans="2:15" s="13" customFormat="1" ht="15">
      <c r="B3" s="19" t="s">
        <v>97</v>
      </c>
      <c r="C3" s="212">
        <f>K6</f>
        <v>99444.4959552114</v>
      </c>
      <c r="N3" s="14"/>
      <c r="O3" s="14"/>
    </row>
    <row r="4" spans="2:3" s="13" customFormat="1" ht="15">
      <c r="B4" s="19" t="s">
        <v>96</v>
      </c>
      <c r="C4" s="20">
        <v>0.16</v>
      </c>
    </row>
    <row r="5" spans="2:13" ht="15">
      <c r="B5" s="19" t="s">
        <v>102</v>
      </c>
      <c r="C5" s="19" t="s">
        <v>103</v>
      </c>
      <c r="M5" s="13"/>
    </row>
    <row r="6" spans="9:11" ht="15">
      <c r="I6" s="1" t="s">
        <v>277</v>
      </c>
      <c r="J6" s="147">
        <v>0.2</v>
      </c>
      <c r="K6" s="148">
        <f>(J16*J6)</f>
        <v>99444.4959552114</v>
      </c>
    </row>
    <row r="7" spans="2:11" ht="15">
      <c r="B7" s="19" t="s">
        <v>95</v>
      </c>
      <c r="C7" s="19" t="s">
        <v>98</v>
      </c>
      <c r="D7" s="19" t="s">
        <v>99</v>
      </c>
      <c r="E7" s="19" t="s">
        <v>100</v>
      </c>
      <c r="F7" s="19" t="s">
        <v>101</v>
      </c>
      <c r="I7" s="1" t="s">
        <v>278</v>
      </c>
      <c r="J7" s="147">
        <v>0.8</v>
      </c>
      <c r="K7" s="148">
        <f>(J16*J7)</f>
        <v>397777.9838208456</v>
      </c>
    </row>
    <row r="8" spans="2:11" ht="15">
      <c r="B8" s="140">
        <v>0</v>
      </c>
      <c r="C8" s="140"/>
      <c r="D8" s="140"/>
      <c r="E8" s="140"/>
      <c r="F8" s="141">
        <f>K6</f>
        <v>99444.4959552114</v>
      </c>
      <c r="I8" s="102" t="s">
        <v>280</v>
      </c>
      <c r="J8" s="149"/>
      <c r="K8" s="150">
        <f>SUM(K6:K7)</f>
        <v>497222.479776057</v>
      </c>
    </row>
    <row r="9" spans="2:13" ht="15">
      <c r="B9" s="140">
        <v>1</v>
      </c>
      <c r="C9" s="140">
        <v>20575.173918143242</v>
      </c>
      <c r="D9" s="142">
        <f aca="true" t="shared" si="0" ref="D9:D18">(F8*$C$4)</f>
        <v>15911.119352833824</v>
      </c>
      <c r="E9" s="143">
        <f>(C9-D9)</f>
        <v>4664.054565309418</v>
      </c>
      <c r="F9" s="144">
        <f>(F8-E9)</f>
        <v>94780.44138990199</v>
      </c>
      <c r="M9" s="13"/>
    </row>
    <row r="10" spans="2:13" ht="15">
      <c r="B10" s="140">
        <v>2</v>
      </c>
      <c r="C10" s="140">
        <f>C9</f>
        <v>20575.173918143242</v>
      </c>
      <c r="D10" s="142">
        <f t="shared" si="0"/>
        <v>15164.870622384318</v>
      </c>
      <c r="E10" s="143">
        <f aca="true" t="shared" si="1" ref="E10:E18">(C10-D10)</f>
        <v>5410.303295758924</v>
      </c>
      <c r="F10" s="144">
        <f aca="true" t="shared" si="2" ref="F10:F18">(F9-E10)</f>
        <v>89370.13809414307</v>
      </c>
      <c r="M10" s="13"/>
    </row>
    <row r="11" spans="2:13" ht="15">
      <c r="B11" s="140">
        <v>3</v>
      </c>
      <c r="C11" s="140">
        <f aca="true" t="shared" si="3" ref="C11:C18">C10</f>
        <v>20575.173918143242</v>
      </c>
      <c r="D11" s="142">
        <f t="shared" si="0"/>
        <v>14299.22209506289</v>
      </c>
      <c r="E11" s="143">
        <f t="shared" si="1"/>
        <v>6275.9518230803515</v>
      </c>
      <c r="F11" s="144">
        <f t="shared" si="2"/>
        <v>83094.18627106272</v>
      </c>
      <c r="I11" s="219" t="s">
        <v>279</v>
      </c>
      <c r="J11" s="220"/>
      <c r="M11" s="15"/>
    </row>
    <row r="12" spans="2:13" ht="15">
      <c r="B12" s="140">
        <v>4</v>
      </c>
      <c r="C12" s="140">
        <f t="shared" si="3"/>
        <v>20575.173918143242</v>
      </c>
      <c r="D12" s="142">
        <f t="shared" si="0"/>
        <v>13295.069803370036</v>
      </c>
      <c r="E12" s="143">
        <f t="shared" si="1"/>
        <v>7280.104114773207</v>
      </c>
      <c r="F12" s="144">
        <f t="shared" si="2"/>
        <v>75814.08215628951</v>
      </c>
      <c r="I12" s="100" t="s">
        <v>22</v>
      </c>
      <c r="J12" s="146">
        <v>133000</v>
      </c>
      <c r="M12" s="15"/>
    </row>
    <row r="13" spans="2:13" ht="15">
      <c r="B13" s="140">
        <v>5</v>
      </c>
      <c r="C13" s="140">
        <f t="shared" si="3"/>
        <v>20575.173918143242</v>
      </c>
      <c r="D13" s="142">
        <f t="shared" si="0"/>
        <v>12130.253145006323</v>
      </c>
      <c r="E13" s="143">
        <f t="shared" si="1"/>
        <v>8444.920773136919</v>
      </c>
      <c r="F13" s="144">
        <f t="shared" si="2"/>
        <v>67369.16138315259</v>
      </c>
      <c r="I13" s="100" t="s">
        <v>24</v>
      </c>
      <c r="J13" s="146">
        <v>107001</v>
      </c>
      <c r="M13" s="15"/>
    </row>
    <row r="14" spans="2:13" ht="15">
      <c r="B14" s="140">
        <v>6</v>
      </c>
      <c r="C14" s="140">
        <f t="shared" si="3"/>
        <v>20575.173918143242</v>
      </c>
      <c r="D14" s="142">
        <f t="shared" si="0"/>
        <v>10779.065821304415</v>
      </c>
      <c r="E14" s="143">
        <f t="shared" si="1"/>
        <v>9796.108096838827</v>
      </c>
      <c r="F14" s="144">
        <f t="shared" si="2"/>
        <v>57573.05328631376</v>
      </c>
      <c r="I14" s="100" t="s">
        <v>23</v>
      </c>
      <c r="J14" s="146">
        <v>1161</v>
      </c>
      <c r="M14" s="15"/>
    </row>
    <row r="15" spans="2:13" ht="15">
      <c r="B15" s="140">
        <v>7</v>
      </c>
      <c r="C15" s="140">
        <f t="shared" si="3"/>
        <v>20575.173918143242</v>
      </c>
      <c r="D15" s="142">
        <f t="shared" si="0"/>
        <v>9211.688525810203</v>
      </c>
      <c r="E15" s="143">
        <f t="shared" si="1"/>
        <v>11363.48539233304</v>
      </c>
      <c r="F15" s="144">
        <f t="shared" si="2"/>
        <v>46209.567893980726</v>
      </c>
      <c r="I15" s="100" t="s">
        <v>25</v>
      </c>
      <c r="J15" s="146">
        <v>256060.479776057</v>
      </c>
      <c r="M15" s="15"/>
    </row>
    <row r="16" spans="2:10" ht="15">
      <c r="B16" s="140">
        <v>8</v>
      </c>
      <c r="C16" s="140">
        <f t="shared" si="3"/>
        <v>20575.173918143242</v>
      </c>
      <c r="D16" s="142">
        <f t="shared" si="0"/>
        <v>7393.530863036916</v>
      </c>
      <c r="E16" s="143">
        <f t="shared" si="1"/>
        <v>13181.643055106326</v>
      </c>
      <c r="F16" s="144">
        <f t="shared" si="2"/>
        <v>33027.9248388744</v>
      </c>
      <c r="I16" s="101" t="s">
        <v>281</v>
      </c>
      <c r="J16" s="146">
        <f>SUM(J12:J15)</f>
        <v>497222.479776057</v>
      </c>
    </row>
    <row r="17" spans="2:11" ht="15">
      <c r="B17" s="140">
        <v>9</v>
      </c>
      <c r="C17" s="140">
        <f t="shared" si="3"/>
        <v>20575.173918143242</v>
      </c>
      <c r="D17" s="142">
        <f t="shared" si="0"/>
        <v>5284.467974219904</v>
      </c>
      <c r="E17" s="143">
        <f t="shared" si="1"/>
        <v>15290.705943923338</v>
      </c>
      <c r="F17" s="144">
        <f t="shared" si="2"/>
        <v>17737.218894951064</v>
      </c>
      <c r="I17" s="98"/>
      <c r="K17" s="99"/>
    </row>
    <row r="18" spans="2:11" ht="15">
      <c r="B18" s="140">
        <v>10</v>
      </c>
      <c r="C18" s="140">
        <f t="shared" si="3"/>
        <v>20575.173918143242</v>
      </c>
      <c r="D18" s="142">
        <f t="shared" si="0"/>
        <v>2837.9550231921703</v>
      </c>
      <c r="E18" s="143">
        <f t="shared" si="1"/>
        <v>17737.21889495107</v>
      </c>
      <c r="F18" s="145">
        <f t="shared" si="2"/>
        <v>-7.275957614183426E-12</v>
      </c>
      <c r="I18" s="98"/>
      <c r="K18" s="99"/>
    </row>
    <row r="19" spans="8:11" ht="15">
      <c r="H19" s="97"/>
      <c r="I19" s="98"/>
      <c r="K19" s="99"/>
    </row>
    <row r="20" spans="9:11" ht="15">
      <c r="I20" s="98"/>
      <c r="K20" s="99"/>
    </row>
  </sheetData>
  <mergeCells count="2">
    <mergeCell ref="B2:K2"/>
    <mergeCell ref="I11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L43"/>
  <sheetViews>
    <sheetView workbookViewId="0" topLeftCell="A19">
      <selection activeCell="L34" sqref="L34"/>
    </sheetView>
  </sheetViews>
  <sheetFormatPr defaultColWidth="11.421875" defaultRowHeight="15"/>
  <cols>
    <col min="1" max="1" width="48.28125" style="0" customWidth="1"/>
    <col min="2" max="2" width="14.00390625" style="0" customWidth="1"/>
    <col min="3" max="3" width="13.57421875" style="0" bestFit="1" customWidth="1"/>
    <col min="4" max="4" width="13.7109375" style="0" bestFit="1" customWidth="1"/>
    <col min="5" max="12" width="14.57421875" style="0" bestFit="1" customWidth="1"/>
  </cols>
  <sheetData>
    <row r="1" ht="15">
      <c r="A1" t="s">
        <v>307</v>
      </c>
    </row>
    <row r="3" spans="1:12" ht="15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5">
      <c r="A4" s="233" t="s">
        <v>94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15">
      <c r="A5" s="160"/>
      <c r="B5" s="161" t="s">
        <v>1</v>
      </c>
      <c r="C5" s="161" t="s">
        <v>2</v>
      </c>
      <c r="D5" s="161" t="s">
        <v>3</v>
      </c>
      <c r="E5" s="161" t="s">
        <v>4</v>
      </c>
      <c r="F5" s="161" t="s">
        <v>5</v>
      </c>
      <c r="G5" s="161" t="s">
        <v>6</v>
      </c>
      <c r="H5" s="161" t="s">
        <v>92</v>
      </c>
      <c r="I5" s="161" t="s">
        <v>93</v>
      </c>
      <c r="J5" s="161" t="s">
        <v>7</v>
      </c>
      <c r="K5" s="161" t="s">
        <v>8</v>
      </c>
      <c r="L5" s="161" t="s">
        <v>9</v>
      </c>
    </row>
    <row r="6" spans="1:12" ht="15">
      <c r="A6" s="104" t="s">
        <v>255</v>
      </c>
      <c r="B6" s="105"/>
      <c r="C6" s="106">
        <f>'PROYECCION  INGRESOS (B)'!B12</f>
        <v>492.9377591623037</v>
      </c>
      <c r="D6" s="106">
        <f>'PROYECCION  INGRESOS (B)'!C12</f>
        <v>517.5846471204188</v>
      </c>
      <c r="E6" s="106">
        <f>'PROYECCION  INGRESOS (B)'!D12</f>
        <v>543.4638794764398</v>
      </c>
      <c r="F6" s="106">
        <f>'PROYECCION  INGRESOS (B)'!E12</f>
        <v>570.6370734502618</v>
      </c>
      <c r="G6" s="106">
        <f>'PROYECCION  INGRESOS (B)'!F12</f>
        <v>599.1689271227749</v>
      </c>
      <c r="H6" s="106">
        <f>'PROYECCION  INGRESOS (B)'!G12</f>
        <v>629.1273734789137</v>
      </c>
      <c r="I6" s="106">
        <f>'PROYECCION  INGRESOS (B)'!H12</f>
        <v>660.5837421528594</v>
      </c>
      <c r="J6" s="106">
        <f>'PROYECCION  INGRESOS (B)'!I12</f>
        <v>693.6129292605024</v>
      </c>
      <c r="K6" s="106">
        <f>'PROYECCION  INGRESOS (B)'!J12</f>
        <v>728.2935757235275</v>
      </c>
      <c r="L6" s="106">
        <f>'PROYECCION  INGRESOS (B)'!K12</f>
        <v>764.708254509704</v>
      </c>
    </row>
    <row r="7" spans="1:12" ht="15">
      <c r="A7" s="104" t="s">
        <v>256</v>
      </c>
      <c r="B7" s="105"/>
      <c r="C7" s="79">
        <f>'PROYECCION  INGRESOS (B)'!$G$52</f>
        <v>1182.5157068062827</v>
      </c>
      <c r="D7" s="79">
        <f>'PROYECCION  INGRESOS (B)'!$G$52</f>
        <v>1182.5157068062827</v>
      </c>
      <c r="E7" s="79">
        <f>'PROYECCION  INGRESOS (B)'!$G$52</f>
        <v>1182.5157068062827</v>
      </c>
      <c r="F7" s="79">
        <f>'PROYECCION  INGRESOS (B)'!$G$52</f>
        <v>1182.5157068062827</v>
      </c>
      <c r="G7" s="79">
        <f>'PROYECCION  INGRESOS (B)'!$G$52</f>
        <v>1182.5157068062827</v>
      </c>
      <c r="H7" s="79">
        <f>'PROYECCION  INGRESOS (B)'!$G$52</f>
        <v>1182.5157068062827</v>
      </c>
      <c r="I7" s="79">
        <f>'PROYECCION  INGRESOS (B)'!$G$52</f>
        <v>1182.5157068062827</v>
      </c>
      <c r="J7" s="79">
        <f>'PROYECCION  INGRESOS (B)'!$G$52</f>
        <v>1182.5157068062827</v>
      </c>
      <c r="K7" s="79">
        <f>'PROYECCION  INGRESOS (B)'!$G$52</f>
        <v>1182.5157068062827</v>
      </c>
      <c r="L7" s="79">
        <f>'PROYECCION  INGRESOS (B)'!$G$52</f>
        <v>1182.5157068062827</v>
      </c>
    </row>
    <row r="8" spans="1:12" ht="15">
      <c r="A8" s="107" t="s">
        <v>17</v>
      </c>
      <c r="B8" s="108"/>
      <c r="C8" s="109">
        <f>(C7*C6)</f>
        <v>582906.6426873166</v>
      </c>
      <c r="D8" s="109">
        <f aca="true" t="shared" si="0" ref="D8:L8">(D7*D6)</f>
        <v>612051.9748216824</v>
      </c>
      <c r="E8" s="109">
        <f t="shared" si="0"/>
        <v>642654.5735627667</v>
      </c>
      <c r="F8" s="109">
        <f t="shared" si="0"/>
        <v>674787.302240905</v>
      </c>
      <c r="G8" s="109">
        <f t="shared" si="0"/>
        <v>708526.6673529502</v>
      </c>
      <c r="H8" s="109">
        <f t="shared" si="0"/>
        <v>743953.0007205978</v>
      </c>
      <c r="I8" s="109">
        <f t="shared" si="0"/>
        <v>781150.6507566277</v>
      </c>
      <c r="J8" s="109">
        <f t="shared" si="0"/>
        <v>820208.1832944591</v>
      </c>
      <c r="K8" s="109">
        <f t="shared" si="0"/>
        <v>861218.592459182</v>
      </c>
      <c r="L8" s="109">
        <f t="shared" si="0"/>
        <v>904279.5220821414</v>
      </c>
    </row>
    <row r="9" spans="1:12" ht="15">
      <c r="A9" s="104" t="s">
        <v>18</v>
      </c>
      <c r="B9" s="105"/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</row>
    <row r="10" spans="1:12" ht="15">
      <c r="A10" s="110" t="s">
        <v>11</v>
      </c>
      <c r="B10" s="111"/>
      <c r="C10" s="112">
        <f>C8-C9</f>
        <v>582906.6426873166</v>
      </c>
      <c r="D10" s="112">
        <f aca="true" t="shared" si="1" ref="D10:L10">D8-D9</f>
        <v>612051.9748216824</v>
      </c>
      <c r="E10" s="112">
        <f t="shared" si="1"/>
        <v>642654.5735627667</v>
      </c>
      <c r="F10" s="112">
        <f t="shared" si="1"/>
        <v>674787.302240905</v>
      </c>
      <c r="G10" s="112">
        <f t="shared" si="1"/>
        <v>708526.6673529502</v>
      </c>
      <c r="H10" s="112">
        <f t="shared" si="1"/>
        <v>743953.0007205978</v>
      </c>
      <c r="I10" s="112">
        <f t="shared" si="1"/>
        <v>781150.6507566277</v>
      </c>
      <c r="J10" s="112">
        <f t="shared" si="1"/>
        <v>820208.1832944591</v>
      </c>
      <c r="K10" s="112">
        <f t="shared" si="1"/>
        <v>861218.592459182</v>
      </c>
      <c r="L10" s="112">
        <f t="shared" si="1"/>
        <v>904279.5220821414</v>
      </c>
    </row>
    <row r="11" spans="1:12" ht="15">
      <c r="A11" s="113" t="s">
        <v>19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15">
      <c r="A12" s="104" t="s">
        <v>38</v>
      </c>
      <c r="B12" s="105"/>
      <c r="C12" s="105">
        <f>'GASTOS OPERATIVOS(D)'!$C$5</f>
        <v>8901.6</v>
      </c>
      <c r="D12" s="105">
        <f>'GASTOS OPERATIVOS(D)'!$C$5</f>
        <v>8901.6</v>
      </c>
      <c r="E12" s="105">
        <f>'GASTOS OPERATIVOS(D)'!$C$5</f>
        <v>8901.6</v>
      </c>
      <c r="F12" s="105">
        <f>'GASTOS OPERATIVOS(D)'!$C$5</f>
        <v>8901.6</v>
      </c>
      <c r="G12" s="105">
        <f>'GASTOS OPERATIVOS(D)'!$C$5</f>
        <v>8901.6</v>
      </c>
      <c r="H12" s="105">
        <f>'GASTOS OPERATIVOS(D)'!$C$5</f>
        <v>8901.6</v>
      </c>
      <c r="I12" s="105">
        <f>'GASTOS OPERATIVOS(D)'!$C$5</f>
        <v>8901.6</v>
      </c>
      <c r="J12" s="105">
        <f>'GASTOS OPERATIVOS(D)'!$C$5</f>
        <v>8901.6</v>
      </c>
      <c r="K12" s="105">
        <f>'GASTOS OPERATIVOS(D)'!$C$5</f>
        <v>8901.6</v>
      </c>
      <c r="L12" s="105">
        <f>'GASTOS OPERATIVOS(D)'!$C$5</f>
        <v>8901.6</v>
      </c>
    </row>
    <row r="13" spans="1:12" ht="15">
      <c r="A13" s="104" t="s">
        <v>172</v>
      </c>
      <c r="B13" s="105"/>
      <c r="C13" s="105">
        <f>'GASTOS OPERATIVOS(D)'!C6</f>
        <v>100</v>
      </c>
      <c r="D13" s="105">
        <f>'GASTOS OPERATIVOS(D)'!D6</f>
        <v>100</v>
      </c>
      <c r="E13" s="105">
        <f>'GASTOS OPERATIVOS(D)'!E6</f>
        <v>100</v>
      </c>
      <c r="F13" s="105">
        <f>'GASTOS OPERATIVOS(D)'!F6</f>
        <v>120</v>
      </c>
      <c r="G13" s="105">
        <f>'GASTOS OPERATIVOS(D)'!G6</f>
        <v>120</v>
      </c>
      <c r="H13" s="105">
        <f>'GASTOS OPERATIVOS(D)'!H6</f>
        <v>130</v>
      </c>
      <c r="I13" s="105">
        <f>'GASTOS OPERATIVOS(D)'!I6</f>
        <v>130</v>
      </c>
      <c r="J13" s="105">
        <f>'GASTOS OPERATIVOS(D)'!J6</f>
        <v>150</v>
      </c>
      <c r="K13" s="105">
        <f>'GASTOS OPERATIVOS(D)'!K6</f>
        <v>150</v>
      </c>
      <c r="L13" s="105">
        <f>'GASTOS OPERATIVOS(D)'!L6</f>
        <v>150</v>
      </c>
    </row>
    <row r="14" spans="1:12" ht="15">
      <c r="A14" s="104" t="s">
        <v>310</v>
      </c>
      <c r="B14" s="105"/>
      <c r="C14" s="105">
        <f>'GASTOS OPERATIVOS(D)'!$C$7</f>
        <v>1000</v>
      </c>
      <c r="D14" s="105">
        <f>'GASTOS OPERATIVOS(D)'!$D$7</f>
        <v>1000</v>
      </c>
      <c r="E14" s="105">
        <f>'GASTOS OPERATIVOS(D)'!$E$7</f>
        <v>2000</v>
      </c>
      <c r="F14" s="105">
        <f>'GASTOS OPERATIVOS(D)'!$F$7</f>
        <v>3000</v>
      </c>
      <c r="G14" s="105">
        <f>'GASTOS OPERATIVOS(D)'!$G$7</f>
        <v>5000</v>
      </c>
      <c r="H14" s="105">
        <f>'GASTOS OPERATIVOS(D)'!$H$7</f>
        <v>1000</v>
      </c>
      <c r="I14" s="105">
        <f>'GASTOS OPERATIVOS(D)'!$I$7</f>
        <v>1000</v>
      </c>
      <c r="J14" s="105">
        <f>'GASTOS OPERATIVOS(D)'!$J$7</f>
        <v>2000</v>
      </c>
      <c r="K14" s="105">
        <f>'GASTOS OPERATIVOS(D)'!$K$7</f>
        <v>3000</v>
      </c>
      <c r="L14" s="105">
        <f>'GASTOS OPERATIVOS(D)'!$L$7</f>
        <v>5000</v>
      </c>
    </row>
    <row r="15" spans="1:12" ht="15">
      <c r="A15" s="104" t="s">
        <v>173</v>
      </c>
      <c r="B15" s="105"/>
      <c r="C15" s="105">
        <f>'GASTOS OPERATIVOS(D)'!$C$8</f>
        <v>5400</v>
      </c>
      <c r="D15" s="105">
        <f>'GASTOS OPERATIVOS(D)'!$C$8</f>
        <v>5400</v>
      </c>
      <c r="E15" s="105">
        <f>'GASTOS OPERATIVOS(D)'!$C$8</f>
        <v>5400</v>
      </c>
      <c r="F15" s="105">
        <f>'GASTOS OPERATIVOS(D)'!$C$8</f>
        <v>5400</v>
      </c>
      <c r="G15" s="105">
        <f>'GASTOS OPERATIVOS(D)'!$C$8</f>
        <v>5400</v>
      </c>
      <c r="H15" s="105">
        <f>'GASTOS OPERATIVOS(D)'!$C$8</f>
        <v>5400</v>
      </c>
      <c r="I15" s="105">
        <f>'GASTOS OPERATIVOS(D)'!$C$8</f>
        <v>5400</v>
      </c>
      <c r="J15" s="105">
        <f>'GASTOS OPERATIVOS(D)'!$C$8</f>
        <v>5400</v>
      </c>
      <c r="K15" s="105">
        <f>'GASTOS OPERATIVOS(D)'!$C$8</f>
        <v>5400</v>
      </c>
      <c r="L15" s="105">
        <f>'GASTOS OPERATIVOS(D)'!$C$8</f>
        <v>5400</v>
      </c>
    </row>
    <row r="16" spans="1:12" ht="15">
      <c r="A16" s="104" t="s">
        <v>339</v>
      </c>
      <c r="B16" s="105"/>
      <c r="C16" s="105">
        <f>'GASTOS OPERATIVOS(D)'!$C$10</f>
        <v>5400</v>
      </c>
      <c r="D16" s="105">
        <f>'GASTOS OPERATIVOS(D)'!$C$10</f>
        <v>5400</v>
      </c>
      <c r="E16" s="105">
        <f>'GASTOS OPERATIVOS(D)'!$C$10</f>
        <v>5400</v>
      </c>
      <c r="F16" s="105">
        <f>'GASTOS OPERATIVOS(D)'!$C$10</f>
        <v>5400</v>
      </c>
      <c r="G16" s="105">
        <f>'GASTOS OPERATIVOS(D)'!$C$10</f>
        <v>5400</v>
      </c>
      <c r="H16" s="105">
        <f>'GASTOS OPERATIVOS(D)'!$C$10</f>
        <v>5400</v>
      </c>
      <c r="I16" s="105">
        <f>'GASTOS OPERATIVOS(D)'!$C$10</f>
        <v>5400</v>
      </c>
      <c r="J16" s="105">
        <f>'GASTOS OPERATIVOS(D)'!$C$10</f>
        <v>5400</v>
      </c>
      <c r="K16" s="105">
        <f>'GASTOS OPERATIVOS(D)'!$C$10</f>
        <v>5400</v>
      </c>
      <c r="L16" s="105">
        <f>'GASTOS OPERATIVOS(D)'!$C$10</f>
        <v>5400</v>
      </c>
    </row>
    <row r="17" spans="1:12" ht="15">
      <c r="A17" s="104" t="s">
        <v>174</v>
      </c>
      <c r="B17" s="105"/>
      <c r="C17" s="105">
        <f>'GASTOS EN PUBLICIDAD(C)'!E8</f>
        <v>9156</v>
      </c>
      <c r="D17" s="105">
        <f>'GASTOS EN PUBLICIDAD(C)'!F8</f>
        <v>9156</v>
      </c>
      <c r="E17" s="105">
        <f>'GASTOS EN PUBLICIDAD(C)'!G8</f>
        <v>6409.200000000001</v>
      </c>
      <c r="F17" s="105">
        <f>'GASTOS EN PUBLICIDAD(C)'!H8</f>
        <v>4486.4400000000005</v>
      </c>
      <c r="G17" s="105">
        <f>'GASTOS EN PUBLICIDAD(C)'!I8</f>
        <v>3140.5080000000007</v>
      </c>
      <c r="H17" s="105">
        <f>'GASTOS EN PUBLICIDAD(C)'!J8</f>
        <v>1570.2540000000004</v>
      </c>
      <c r="I17" s="105">
        <f>'GASTOS EN PUBLICIDAD(C)'!K8</f>
        <v>1570.2540000000004</v>
      </c>
      <c r="J17" s="105">
        <f>'GASTOS EN PUBLICIDAD(C)'!L8</f>
        <v>1570.2540000000004</v>
      </c>
      <c r="K17" s="105">
        <f>'GASTOS EN PUBLICIDAD(C)'!M8</f>
        <v>1570.2540000000004</v>
      </c>
      <c r="L17" s="105">
        <f>'GASTOS EN PUBLICIDAD(C)'!N8</f>
        <v>1570.2540000000004</v>
      </c>
    </row>
    <row r="18" spans="1:12" ht="15">
      <c r="A18" s="114" t="s">
        <v>176</v>
      </c>
      <c r="B18" s="105"/>
      <c r="C18" s="105">
        <f>'GASTOS OPERATIVOS(D)'!$C$38</f>
        <v>800</v>
      </c>
      <c r="D18" s="105">
        <f>'GASTOS OPERATIVOS(D)'!$C$38</f>
        <v>800</v>
      </c>
      <c r="E18" s="105">
        <f>'GASTOS OPERATIVOS(D)'!$C$38</f>
        <v>800</v>
      </c>
      <c r="F18" s="105">
        <f>'GASTOS OPERATIVOS(D)'!$C$38</f>
        <v>800</v>
      </c>
      <c r="G18" s="105">
        <f>'GASTOS OPERATIVOS(D)'!$C$38</f>
        <v>800</v>
      </c>
      <c r="H18" s="105">
        <f>'GASTOS OPERATIVOS(D)'!$C$38</f>
        <v>800</v>
      </c>
      <c r="I18" s="105">
        <f>'GASTOS OPERATIVOS(D)'!$C$38</f>
        <v>800</v>
      </c>
      <c r="J18" s="105">
        <f>'GASTOS OPERATIVOS(D)'!$C$38</f>
        <v>800</v>
      </c>
      <c r="K18" s="105">
        <f>'GASTOS OPERATIVOS(D)'!$C$38</f>
        <v>800</v>
      </c>
      <c r="L18" s="105">
        <f>'GASTOS OPERATIVOS(D)'!$C$38</f>
        <v>800</v>
      </c>
    </row>
    <row r="19" spans="1:12" ht="15">
      <c r="A19" s="115" t="s">
        <v>225</v>
      </c>
      <c r="B19" s="105"/>
      <c r="C19" s="105">
        <f>'GASTOS OPERATIVOS(D)'!$C$36</f>
        <v>95.1</v>
      </c>
      <c r="D19" s="105">
        <f>'GASTOS OPERATIVOS(D)'!$C$36</f>
        <v>95.1</v>
      </c>
      <c r="E19" s="105">
        <f>'GASTOS OPERATIVOS(D)'!$C$36</f>
        <v>95.1</v>
      </c>
      <c r="F19" s="105">
        <f>'GASTOS OPERATIVOS(D)'!$C$36</f>
        <v>95.1</v>
      </c>
      <c r="G19" s="105">
        <f>'GASTOS OPERATIVOS(D)'!$C$36</f>
        <v>95.1</v>
      </c>
      <c r="H19" s="105">
        <f>'GASTOS OPERATIVOS(D)'!$C$36</f>
        <v>95.1</v>
      </c>
      <c r="I19" s="105">
        <f>'GASTOS OPERATIVOS(D)'!$C$36</f>
        <v>95.1</v>
      </c>
      <c r="J19" s="105">
        <f>'GASTOS OPERATIVOS(D)'!$C$36</f>
        <v>95.1</v>
      </c>
      <c r="K19" s="105">
        <f>'GASTOS OPERATIVOS(D)'!$C$36</f>
        <v>95.1</v>
      </c>
      <c r="L19" s="105">
        <f>'GASTOS OPERATIVOS(D)'!$C$36</f>
        <v>95.1</v>
      </c>
    </row>
    <row r="20" spans="1:12" ht="15">
      <c r="A20" s="115" t="s">
        <v>226</v>
      </c>
      <c r="B20" s="105"/>
      <c r="C20" s="105">
        <f>'GASTOS OPERATIVOS(D)'!$C$39</f>
        <v>4000</v>
      </c>
      <c r="D20" s="105">
        <f>'GASTOS OPERATIVOS(D)'!$C$39</f>
        <v>4000</v>
      </c>
      <c r="E20" s="105">
        <f>'GASTOS OPERATIVOS(D)'!$C$39</f>
        <v>4000</v>
      </c>
      <c r="F20" s="105">
        <f>'GASTOS OPERATIVOS(D)'!$C$39</f>
        <v>4000</v>
      </c>
      <c r="G20" s="105">
        <f>'GASTOS OPERATIVOS(D)'!$C$39</f>
        <v>4000</v>
      </c>
      <c r="H20" s="105">
        <f>'GASTOS OPERATIVOS(D)'!$C$39</f>
        <v>4000</v>
      </c>
      <c r="I20" s="105">
        <f>'GASTOS OPERATIVOS(D)'!$C$39</f>
        <v>4000</v>
      </c>
      <c r="J20" s="105">
        <f>'GASTOS OPERATIVOS(D)'!$C$39</f>
        <v>4000</v>
      </c>
      <c r="K20" s="105">
        <f>'GASTOS OPERATIVOS(D)'!$C$39</f>
        <v>4000</v>
      </c>
      <c r="L20" s="105">
        <f>'GASTOS OPERATIVOS(D)'!$C$39</f>
        <v>4000</v>
      </c>
    </row>
    <row r="21" spans="1:12" ht="15">
      <c r="A21" s="104" t="s">
        <v>175</v>
      </c>
      <c r="B21" s="105"/>
      <c r="C21" s="105">
        <f>'GASTOS OPERATIVOS(D)'!$C$37</f>
        <v>9783.333333333332</v>
      </c>
      <c r="D21" s="105">
        <f>'GASTOS OPERATIVOS(D)'!$C$37</f>
        <v>9783.333333333332</v>
      </c>
      <c r="E21" s="105">
        <f>'GASTOS OPERATIVOS(D)'!$C$37</f>
        <v>9783.333333333332</v>
      </c>
      <c r="F21" s="105">
        <f>'GASTOS OPERATIVOS(D)'!$C$37</f>
        <v>9783.333333333332</v>
      </c>
      <c r="G21" s="105">
        <f>'GASTOS OPERATIVOS(D)'!$C$37</f>
        <v>9783.333333333332</v>
      </c>
      <c r="H21" s="105">
        <f>'GASTOS OPERATIVOS(D)'!$C$37</f>
        <v>9783.333333333332</v>
      </c>
      <c r="I21" s="105">
        <f>'GASTOS OPERATIVOS(D)'!$C$37</f>
        <v>9783.333333333332</v>
      </c>
      <c r="J21" s="105">
        <f>'GASTOS OPERATIVOS(D)'!$C$37</f>
        <v>9783.333333333332</v>
      </c>
      <c r="K21" s="105">
        <f>'GASTOS OPERATIVOS(D)'!$C$37</f>
        <v>9783.333333333332</v>
      </c>
      <c r="L21" s="105">
        <f>'GASTOS OPERATIVOS(D)'!$C$37</f>
        <v>9783.333333333332</v>
      </c>
    </row>
    <row r="22" spans="1:12" ht="15">
      <c r="A22" s="104" t="s">
        <v>12</v>
      </c>
      <c r="B22" s="105"/>
      <c r="C22" s="105">
        <f>'SUELDOS Y SALARIOS(E)'!F12</f>
        <v>266400</v>
      </c>
      <c r="D22" s="105">
        <f>'SUELDOS Y SALARIOS(E)'!B20</f>
        <v>283308.4079999997</v>
      </c>
      <c r="E22" s="105">
        <f>'SUELDOS Y SALARIOS(E)'!C20</f>
        <v>303102.0332333275</v>
      </c>
      <c r="F22" s="105">
        <f>'SUELDOS Y SALARIOS(E)'!D20</f>
        <v>325573.35115277243</v>
      </c>
      <c r="G22" s="105">
        <f>'SUELDOS Y SALARIOS(E)'!E20</f>
        <v>347486.79483641544</v>
      </c>
      <c r="H22" s="105">
        <f>'SUELDOS Y SALARIOS(E)'!F20</f>
        <v>375737.7812148357</v>
      </c>
      <c r="I22" s="105">
        <f>'SUELDOS Y SALARIOS(E)'!G20</f>
        <v>406227.8852636872</v>
      </c>
      <c r="J22" s="105">
        <f>'SUELDOS Y SALARIOS(E)'!H20</f>
        <v>440216.78916617436</v>
      </c>
      <c r="K22" s="105">
        <f>'SUELDOS Y SALARIOS(E)'!I20</f>
        <v>478684.5259221151</v>
      </c>
      <c r="L22" s="105">
        <f>'SUELDOS Y SALARIOS(E)'!J20</f>
        <v>523163.00372958474</v>
      </c>
    </row>
    <row r="23" spans="1:12" ht="15">
      <c r="A23" s="116" t="s">
        <v>13</v>
      </c>
      <c r="B23" s="117"/>
      <c r="C23" s="118">
        <f>(C10-C12-C13+C14+C15+C16+C17-C18-C19-C20-C21-C22)</f>
        <v>313782.6093539833</v>
      </c>
      <c r="D23" s="118">
        <f aca="true" t="shared" si="2" ref="D23:L23">(D10-D12-D13+D14+D15+D16+D17-D18-D19-D20-D21-D22)</f>
        <v>326019.5334883494</v>
      </c>
      <c r="E23" s="118">
        <f t="shared" si="2"/>
        <v>335081.7069961058</v>
      </c>
      <c r="F23" s="118">
        <f t="shared" si="2"/>
        <v>343800.3577547992</v>
      </c>
      <c r="G23" s="118">
        <f t="shared" si="2"/>
        <v>356280.34718320146</v>
      </c>
      <c r="H23" s="118">
        <f t="shared" si="2"/>
        <v>357875.44017242873</v>
      </c>
      <c r="I23" s="118">
        <f t="shared" si="2"/>
        <v>364582.9861596071</v>
      </c>
      <c r="J23" s="118">
        <f t="shared" si="2"/>
        <v>370631.6147949514</v>
      </c>
      <c r="K23" s="118">
        <f t="shared" si="2"/>
        <v>374174.2872037336</v>
      </c>
      <c r="L23" s="118">
        <f t="shared" si="2"/>
        <v>374756.73901922326</v>
      </c>
    </row>
    <row r="24" spans="1:12" ht="15">
      <c r="A24" s="104" t="s">
        <v>20</v>
      </c>
      <c r="B24" s="105"/>
      <c r="C24" s="105">
        <f>'GASTOS FINANCIEROS(A)'!$D$9</f>
        <v>15911.119352833824</v>
      </c>
      <c r="D24" s="105">
        <f>'GASTOS FINANCIEROS(A)'!$D$10</f>
        <v>15164.870622384318</v>
      </c>
      <c r="E24" s="105">
        <f>'GASTOS FINANCIEROS(A)'!$D$11</f>
        <v>14299.22209506289</v>
      </c>
      <c r="F24" s="105">
        <f>'GASTOS FINANCIEROS(A)'!$D$12</f>
        <v>13295.069803370036</v>
      </c>
      <c r="G24" s="105">
        <f>'GASTOS FINANCIEROS(A)'!$D$13</f>
        <v>12130.253145006323</v>
      </c>
      <c r="H24" s="105">
        <f>'GASTOS FINANCIEROS(A)'!$D$14</f>
        <v>10779.065821304415</v>
      </c>
      <c r="I24" s="105">
        <f>'GASTOS FINANCIEROS(A)'!$D$15</f>
        <v>9211.688525810203</v>
      </c>
      <c r="J24" s="105">
        <f>'GASTOS FINANCIEROS(A)'!$D$16</f>
        <v>7393.530863036916</v>
      </c>
      <c r="K24" s="105">
        <f>'GASTOS FINANCIEROS(A)'!$D$17</f>
        <v>5284.467974219904</v>
      </c>
      <c r="L24" s="105">
        <f>'GASTOS FINANCIEROS(A)'!$D$18</f>
        <v>2837.9550231921703</v>
      </c>
    </row>
    <row r="25" spans="1:12" ht="15">
      <c r="A25" s="116" t="s">
        <v>13</v>
      </c>
      <c r="B25" s="119"/>
      <c r="C25" s="119">
        <f>(C23-C24)</f>
        <v>297871.4900011495</v>
      </c>
      <c r="D25" s="119">
        <f aca="true" t="shared" si="3" ref="D25:L25">(D23-D24)</f>
        <v>310854.6628659651</v>
      </c>
      <c r="E25" s="119">
        <f t="shared" si="3"/>
        <v>320782.4849010429</v>
      </c>
      <c r="F25" s="119">
        <f t="shared" si="3"/>
        <v>330505.28795142914</v>
      </c>
      <c r="G25" s="119">
        <f t="shared" si="3"/>
        <v>344150.09403819515</v>
      </c>
      <c r="H25" s="119">
        <f t="shared" si="3"/>
        <v>347096.37435112434</v>
      </c>
      <c r="I25" s="119">
        <f t="shared" si="3"/>
        <v>355371.29763379693</v>
      </c>
      <c r="J25" s="119">
        <f t="shared" si="3"/>
        <v>363238.0839319145</v>
      </c>
      <c r="K25" s="119">
        <f t="shared" si="3"/>
        <v>368889.8192295137</v>
      </c>
      <c r="L25" s="119">
        <f t="shared" si="3"/>
        <v>371918.7839960311</v>
      </c>
    </row>
    <row r="26" spans="1:12" ht="15">
      <c r="A26" s="104" t="s">
        <v>21</v>
      </c>
      <c r="B26" s="105"/>
      <c r="C26" s="105">
        <f>(C25*0.15)</f>
        <v>44680.72350017242</v>
      </c>
      <c r="D26" s="105">
        <f aca="true" t="shared" si="4" ref="D26:L26">(D25*0.15)</f>
        <v>46628.19942989476</v>
      </c>
      <c r="E26" s="105">
        <f t="shared" si="4"/>
        <v>48117.37273515643</v>
      </c>
      <c r="F26" s="105">
        <f t="shared" si="4"/>
        <v>49575.79319271437</v>
      </c>
      <c r="G26" s="105">
        <f t="shared" si="4"/>
        <v>51622.51410572927</v>
      </c>
      <c r="H26" s="105">
        <f t="shared" si="4"/>
        <v>52064.45615266865</v>
      </c>
      <c r="I26" s="105">
        <f t="shared" si="4"/>
        <v>53305.69464506954</v>
      </c>
      <c r="J26" s="105">
        <f t="shared" si="4"/>
        <v>54485.71258978717</v>
      </c>
      <c r="K26" s="105">
        <f t="shared" si="4"/>
        <v>55333.47288442705</v>
      </c>
      <c r="L26" s="105">
        <f t="shared" si="4"/>
        <v>55787.81759940466</v>
      </c>
    </row>
    <row r="27" spans="1:12" ht="15">
      <c r="A27" s="116" t="s">
        <v>14</v>
      </c>
      <c r="B27" s="117"/>
      <c r="C27" s="118">
        <f>C25-C26</f>
        <v>253190.76650097704</v>
      </c>
      <c r="D27" s="118">
        <f aca="true" t="shared" si="5" ref="D27:L27">D25-D26</f>
        <v>264226.46343607036</v>
      </c>
      <c r="E27" s="118">
        <f t="shared" si="5"/>
        <v>272665.11216588644</v>
      </c>
      <c r="F27" s="118">
        <f t="shared" si="5"/>
        <v>280929.49475871475</v>
      </c>
      <c r="G27" s="118">
        <f t="shared" si="5"/>
        <v>292527.57993246586</v>
      </c>
      <c r="H27" s="118">
        <f t="shared" si="5"/>
        <v>295031.9181984557</v>
      </c>
      <c r="I27" s="118">
        <f t="shared" si="5"/>
        <v>302065.6029887274</v>
      </c>
      <c r="J27" s="118">
        <f t="shared" si="5"/>
        <v>308752.3713421273</v>
      </c>
      <c r="K27" s="118">
        <f t="shared" si="5"/>
        <v>313556.34634508664</v>
      </c>
      <c r="L27" s="118">
        <f t="shared" si="5"/>
        <v>316130.96639662643</v>
      </c>
    </row>
    <row r="28" spans="1:12" ht="15">
      <c r="A28" s="104" t="s">
        <v>91</v>
      </c>
      <c r="B28" s="105"/>
      <c r="C28" s="105">
        <f>0.25*C27</f>
        <v>63297.69162524426</v>
      </c>
      <c r="D28" s="105">
        <f aca="true" t="shared" si="6" ref="D28:L28">0.25*D27</f>
        <v>66056.61585901759</v>
      </c>
      <c r="E28" s="105">
        <f t="shared" si="6"/>
        <v>68166.27804147161</v>
      </c>
      <c r="F28" s="105">
        <f t="shared" si="6"/>
        <v>70232.37368967869</v>
      </c>
      <c r="G28" s="105">
        <f t="shared" si="6"/>
        <v>73131.89498311646</v>
      </c>
      <c r="H28" s="105">
        <f t="shared" si="6"/>
        <v>73757.97954961393</v>
      </c>
      <c r="I28" s="105">
        <f t="shared" si="6"/>
        <v>75516.40074718185</v>
      </c>
      <c r="J28" s="105">
        <f t="shared" si="6"/>
        <v>77188.09283553183</v>
      </c>
      <c r="K28" s="105">
        <f t="shared" si="6"/>
        <v>78389.08658627166</v>
      </c>
      <c r="L28" s="105">
        <f t="shared" si="6"/>
        <v>79032.74159915661</v>
      </c>
    </row>
    <row r="29" spans="1:12" ht="15">
      <c r="A29" s="120" t="s">
        <v>15</v>
      </c>
      <c r="B29" s="121"/>
      <c r="C29" s="122">
        <f>C27-C28</f>
        <v>189893.07487573277</v>
      </c>
      <c r="D29" s="122">
        <f aca="true" t="shared" si="7" ref="D29:L29">D27-D28</f>
        <v>198169.84757705277</v>
      </c>
      <c r="E29" s="122">
        <f t="shared" si="7"/>
        <v>204498.83412441483</v>
      </c>
      <c r="F29" s="122">
        <f t="shared" si="7"/>
        <v>210697.12106903607</v>
      </c>
      <c r="G29" s="122">
        <f t="shared" si="7"/>
        <v>219395.68494934938</v>
      </c>
      <c r="H29" s="122">
        <f t="shared" si="7"/>
        <v>221273.93864884178</v>
      </c>
      <c r="I29" s="122">
        <f t="shared" si="7"/>
        <v>226549.20224154554</v>
      </c>
      <c r="J29" s="122">
        <f t="shared" si="7"/>
        <v>231564.2785065955</v>
      </c>
      <c r="K29" s="122">
        <f t="shared" si="7"/>
        <v>235167.259758815</v>
      </c>
      <c r="L29" s="122">
        <f t="shared" si="7"/>
        <v>237098.22479746983</v>
      </c>
    </row>
    <row r="30" spans="1:12" ht="15">
      <c r="A30" s="104" t="s">
        <v>22</v>
      </c>
      <c r="B30" s="123">
        <f>('INV.OBRA CIVIL  MAQUINARIA(A.2)'!E8)*-1</f>
        <v>-133000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2" ht="15">
      <c r="A31" s="104" t="s">
        <v>24</v>
      </c>
      <c r="B31" s="123">
        <f>('INV.OBRA CIVIL  MAQUINARIA(A.2)'!D36)*-1</f>
        <v>-107001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15">
      <c r="A32" s="104" t="s">
        <v>23</v>
      </c>
      <c r="B32" s="123">
        <f>('GASTOS CONSTITUCION(A.1)'!B15)*-1</f>
        <v>-1161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15">
      <c r="A33" s="104" t="s">
        <v>25</v>
      </c>
      <c r="B33" s="123">
        <f>MIN('CAPITAL TRABAJO(G)'!C17:N17)</f>
        <v>-256060.47977605698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1:12" ht="15">
      <c r="A34" s="104" t="s">
        <v>309</v>
      </c>
      <c r="B34" s="123"/>
      <c r="C34" s="105"/>
      <c r="D34" s="105"/>
      <c r="E34" s="105"/>
      <c r="F34" s="105"/>
      <c r="G34" s="105"/>
      <c r="H34" s="105"/>
      <c r="I34" s="105"/>
      <c r="J34" s="105"/>
      <c r="K34" s="105"/>
      <c r="L34" s="105">
        <v>1030664.8757529057</v>
      </c>
    </row>
    <row r="35" spans="1:12" ht="15">
      <c r="A35" s="104" t="s">
        <v>308</v>
      </c>
      <c r="B35" s="123"/>
      <c r="C35" s="192">
        <f>('GASTOS FINANCIEROS(A)'!$E$9)*-1</f>
        <v>-4664.054565309418</v>
      </c>
      <c r="D35" s="192">
        <f>('GASTOS FINANCIEROS(A)'!$E$10)*-1</f>
        <v>-5410.303295758924</v>
      </c>
      <c r="E35" s="192">
        <f>('GASTOS FINANCIEROS(A)'!$E$11)*-1</f>
        <v>-6275.9518230803515</v>
      </c>
      <c r="F35" s="192">
        <f>('GASTOS FINANCIEROS(A)'!$E$12)*-1</f>
        <v>-7280.104114773207</v>
      </c>
      <c r="G35" s="192">
        <f>('GASTOS FINANCIEROS(A)'!$E$13)*-1</f>
        <v>-8444.920773136919</v>
      </c>
      <c r="H35" s="192">
        <f>('GASTOS FINANCIEROS(A)'!$E$14)*-1</f>
        <v>-9796.108096838827</v>
      </c>
      <c r="I35" s="192">
        <f>('GASTOS FINANCIEROS(A)'!$E$15)*-1</f>
        <v>-11363.48539233304</v>
      </c>
      <c r="J35" s="192">
        <f>('GASTOS FINANCIEROS(A)'!$E$16)*-1</f>
        <v>-13181.643055106326</v>
      </c>
      <c r="K35" s="192">
        <f>('GASTOS FINANCIEROS(A)'!$E$17)*-1</f>
        <v>-15290.705943923338</v>
      </c>
      <c r="L35" s="192">
        <f>('GASTOS FINANCIEROS(A)'!$E$18)*-1</f>
        <v>-17737.21889495107</v>
      </c>
    </row>
    <row r="36" spans="1:12" ht="15">
      <c r="A36" s="104" t="s">
        <v>16</v>
      </c>
      <c r="B36" s="123"/>
      <c r="C36" s="105">
        <f>'GASTOS OPERATIVOS(D)'!C9</f>
        <v>14678.433333333332</v>
      </c>
      <c r="D36" s="105">
        <f>'GASTOS OPERATIVOS(D)'!D9</f>
        <v>14678.433333333332</v>
      </c>
      <c r="E36" s="105">
        <f>'GASTOS OPERATIVOS(D)'!E9</f>
        <v>14678.433333333332</v>
      </c>
      <c r="F36" s="105">
        <f>'GASTOS OPERATIVOS(D)'!F9</f>
        <v>14678.433333333332</v>
      </c>
      <c r="G36" s="105">
        <f>'GASTOS OPERATIVOS(D)'!G9</f>
        <v>14678.433333333332</v>
      </c>
      <c r="H36" s="105">
        <f>'GASTOS OPERATIVOS(D)'!H9</f>
        <v>14678.433333333332</v>
      </c>
      <c r="I36" s="105">
        <f>'GASTOS OPERATIVOS(D)'!I9</f>
        <v>14678.433333333332</v>
      </c>
      <c r="J36" s="105">
        <f>'GASTOS OPERATIVOS(D)'!J9</f>
        <v>14678.433333333332</v>
      </c>
      <c r="K36" s="105">
        <f>'GASTOS OPERATIVOS(D)'!K9</f>
        <v>14678.433333333332</v>
      </c>
      <c r="L36" s="105">
        <f>'GASTOS OPERATIVOS(D)'!L9</f>
        <v>14678.433333333332</v>
      </c>
    </row>
    <row r="37" spans="1:12" ht="15">
      <c r="A37" s="124" t="s">
        <v>26</v>
      </c>
      <c r="B37" s="125">
        <f>SUM(B30:B36)</f>
        <v>-497222.47977605695</v>
      </c>
      <c r="C37" s="125">
        <f>SUM(C29:C36)</f>
        <v>199907.45364375666</v>
      </c>
      <c r="D37" s="125">
        <f aca="true" t="shared" si="8" ref="D37:L37">SUM(D29:D36)</f>
        <v>207437.97761462716</v>
      </c>
      <c r="E37" s="125">
        <f t="shared" si="8"/>
        <v>212901.3156346678</v>
      </c>
      <c r="F37" s="125">
        <f t="shared" si="8"/>
        <v>218095.45028759618</v>
      </c>
      <c r="G37" s="125">
        <f t="shared" si="8"/>
        <v>225629.19750954577</v>
      </c>
      <c r="H37" s="125">
        <f t="shared" si="8"/>
        <v>226156.26388533626</v>
      </c>
      <c r="I37" s="125">
        <f t="shared" si="8"/>
        <v>229864.15018254583</v>
      </c>
      <c r="J37" s="125">
        <f t="shared" si="8"/>
        <v>233061.06878482248</v>
      </c>
      <c r="K37" s="125">
        <f t="shared" si="8"/>
        <v>234554.987148225</v>
      </c>
      <c r="L37" s="125">
        <f t="shared" si="8"/>
        <v>1264704.314988758</v>
      </c>
    </row>
    <row r="38" spans="1:12" ht="15">
      <c r="A38" s="124" t="s">
        <v>236</v>
      </c>
      <c r="B38" s="125"/>
      <c r="C38" s="125">
        <f>C37</f>
        <v>199907.45364375666</v>
      </c>
      <c r="D38" s="125">
        <f>(D37+C38)</f>
        <v>407345.4312583838</v>
      </c>
      <c r="E38" s="125">
        <f aca="true" t="shared" si="9" ref="E38:L38">(E37+D38)</f>
        <v>620246.7468930515</v>
      </c>
      <c r="F38" s="125">
        <f t="shared" si="9"/>
        <v>838342.1971806478</v>
      </c>
      <c r="G38" s="125">
        <f t="shared" si="9"/>
        <v>1063971.3946901935</v>
      </c>
      <c r="H38" s="125">
        <f t="shared" si="9"/>
        <v>1290127.6585755297</v>
      </c>
      <c r="I38" s="125">
        <f t="shared" si="9"/>
        <v>1519991.8087580756</v>
      </c>
      <c r="J38" s="125">
        <f t="shared" si="9"/>
        <v>1753052.877542898</v>
      </c>
      <c r="K38" s="125">
        <f t="shared" si="9"/>
        <v>1987607.8646911231</v>
      </c>
      <c r="L38" s="125">
        <f t="shared" si="9"/>
        <v>3252312.179679881</v>
      </c>
    </row>
    <row r="39" spans="1:12" ht="15">
      <c r="A39" s="115" t="s">
        <v>27</v>
      </c>
      <c r="B39" s="126">
        <f>'VALOR DE DESECHO Y TMAR(F)(F.1)'!D18</f>
        <v>0.13786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5">
      <c r="A40" s="115" t="s">
        <v>28</v>
      </c>
      <c r="B40" s="128">
        <f>NPV(B39,B37:L37)</f>
        <v>819772.1937612949</v>
      </c>
      <c r="C40" s="127"/>
      <c r="D40" s="130"/>
      <c r="E40" s="127"/>
      <c r="F40" s="127"/>
      <c r="G40" s="127"/>
      <c r="H40" s="127"/>
      <c r="I40" s="127"/>
      <c r="J40" s="127"/>
      <c r="K40" s="127"/>
      <c r="L40" s="127"/>
    </row>
    <row r="41" spans="1:12" ht="15">
      <c r="A41" s="115" t="s">
        <v>29</v>
      </c>
      <c r="B41" s="129">
        <f>IRR(B37:L37)</f>
        <v>0.43815096079537047</v>
      </c>
      <c r="C41" s="127"/>
      <c r="D41" s="130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98"/>
      <c r="B42" s="98"/>
      <c r="C42" s="98"/>
      <c r="D42" s="155"/>
      <c r="E42" s="98"/>
      <c r="F42" s="98"/>
      <c r="G42" s="98"/>
      <c r="H42" s="98"/>
      <c r="I42" s="98"/>
      <c r="J42" s="98"/>
      <c r="K42" s="98"/>
      <c r="L42" s="98"/>
    </row>
    <row r="43" spans="1:4" ht="18.75">
      <c r="A43" s="6" t="s">
        <v>44</v>
      </c>
      <c r="B43" s="187">
        <f>AVERAGE(B37:L37)</f>
        <v>250462.69999125676</v>
      </c>
      <c r="D43" s="157"/>
    </row>
  </sheetData>
  <mergeCells count="2">
    <mergeCell ref="A3:L3"/>
    <mergeCell ref="A4:L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K28"/>
  <sheetViews>
    <sheetView zoomScale="85" zoomScaleNormal="85" workbookViewId="0" topLeftCell="A1">
      <selection activeCell="B28" sqref="B28"/>
    </sheetView>
  </sheetViews>
  <sheetFormatPr defaultColWidth="11.421875" defaultRowHeight="15"/>
  <cols>
    <col min="1" max="1" width="47.57421875" style="0" bestFit="1" customWidth="1"/>
    <col min="2" max="2" width="13.140625" style="0" bestFit="1" customWidth="1"/>
    <col min="3" max="11" width="13.00390625" style="0" bestFit="1" customWidth="1"/>
  </cols>
  <sheetData>
    <row r="1" spans="1:11" ht="15">
      <c r="A1" s="229" t="s">
        <v>318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">
      <c r="A2" s="190"/>
      <c r="B2" s="190" t="s">
        <v>2</v>
      </c>
      <c r="C2" s="190" t="s">
        <v>3</v>
      </c>
      <c r="D2" s="190" t="s">
        <v>4</v>
      </c>
      <c r="E2" s="190" t="s">
        <v>5</v>
      </c>
      <c r="F2" s="190" t="s">
        <v>6</v>
      </c>
      <c r="G2" s="190" t="s">
        <v>92</v>
      </c>
      <c r="H2" s="190" t="s">
        <v>93</v>
      </c>
      <c r="I2" s="190" t="s">
        <v>7</v>
      </c>
      <c r="J2" s="190" t="s">
        <v>8</v>
      </c>
      <c r="K2" s="190" t="s">
        <v>9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99" t="s">
        <v>317</v>
      </c>
      <c r="B4" s="198">
        <f>'FLUJO DE CAJA(H)'!C8</f>
        <v>582906.6426873166</v>
      </c>
      <c r="C4" s="198">
        <f>'FLUJO DE CAJA(H)'!D8</f>
        <v>612051.9748216824</v>
      </c>
      <c r="D4" s="198">
        <f>'FLUJO DE CAJA(H)'!E8</f>
        <v>642654.5735627667</v>
      </c>
      <c r="E4" s="198">
        <f>'FLUJO DE CAJA(H)'!F8</f>
        <v>674787.302240905</v>
      </c>
      <c r="F4" s="198">
        <f>'FLUJO DE CAJA(H)'!G8</f>
        <v>708526.6673529502</v>
      </c>
      <c r="G4" s="198">
        <f>'FLUJO DE CAJA(H)'!H8</f>
        <v>743953.0007205978</v>
      </c>
      <c r="H4" s="198">
        <f>'FLUJO DE CAJA(H)'!I8</f>
        <v>781150.6507566277</v>
      </c>
      <c r="I4" s="198">
        <f>'FLUJO DE CAJA(H)'!J8</f>
        <v>820208.1832944591</v>
      </c>
      <c r="J4" s="198">
        <f>'FLUJO DE CAJA(H)'!K8</f>
        <v>861218.592459182</v>
      </c>
      <c r="K4" s="198">
        <f>'FLUJO DE CAJA(H)'!L8</f>
        <v>904279.5220821414</v>
      </c>
    </row>
    <row r="5" spans="1:11" ht="15">
      <c r="A5" s="1" t="s">
        <v>311</v>
      </c>
      <c r="B5" s="193">
        <v>0</v>
      </c>
      <c r="C5" s="193">
        <v>0</v>
      </c>
      <c r="D5" s="193">
        <v>0</v>
      </c>
      <c r="E5" s="193">
        <v>0</v>
      </c>
      <c r="F5" s="193">
        <v>0</v>
      </c>
      <c r="G5" s="193">
        <v>0</v>
      </c>
      <c r="H5" s="193">
        <v>0</v>
      </c>
      <c r="I5" s="193">
        <v>0</v>
      </c>
      <c r="J5" s="193">
        <v>0</v>
      </c>
      <c r="K5" s="193">
        <v>0</v>
      </c>
    </row>
    <row r="6" spans="1:11" ht="15">
      <c r="A6" s="191" t="s">
        <v>312</v>
      </c>
      <c r="B6" s="201">
        <f>B4-B5</f>
        <v>582906.6426873166</v>
      </c>
      <c r="C6" s="201">
        <f aca="true" t="shared" si="0" ref="C6:K6">C4-C5</f>
        <v>612051.9748216824</v>
      </c>
      <c r="D6" s="201">
        <f t="shared" si="0"/>
        <v>642654.5735627667</v>
      </c>
      <c r="E6" s="201">
        <f t="shared" si="0"/>
        <v>674787.302240905</v>
      </c>
      <c r="F6" s="201">
        <f t="shared" si="0"/>
        <v>708526.6673529502</v>
      </c>
      <c r="G6" s="201">
        <f t="shared" si="0"/>
        <v>743953.0007205978</v>
      </c>
      <c r="H6" s="201">
        <f t="shared" si="0"/>
        <v>781150.6507566277</v>
      </c>
      <c r="I6" s="201">
        <f t="shared" si="0"/>
        <v>820208.1832944591</v>
      </c>
      <c r="J6" s="201">
        <f t="shared" si="0"/>
        <v>861218.592459182</v>
      </c>
      <c r="K6" s="201">
        <f t="shared" si="0"/>
        <v>904279.5220821414</v>
      </c>
    </row>
    <row r="7" spans="1:11" ht="15">
      <c r="A7" s="195" t="s">
        <v>19</v>
      </c>
      <c r="B7" s="193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 t="s">
        <v>38</v>
      </c>
      <c r="B8" s="193">
        <f>'FLUJO DE CAJA(H)'!C12</f>
        <v>8901.6</v>
      </c>
      <c r="C8" s="193">
        <f>'FLUJO DE CAJA(H)'!D12</f>
        <v>8901.6</v>
      </c>
      <c r="D8" s="193">
        <f>'FLUJO DE CAJA(H)'!E12</f>
        <v>8901.6</v>
      </c>
      <c r="E8" s="193">
        <f>'FLUJO DE CAJA(H)'!F12</f>
        <v>8901.6</v>
      </c>
      <c r="F8" s="193">
        <f>'FLUJO DE CAJA(H)'!G12</f>
        <v>8901.6</v>
      </c>
      <c r="G8" s="193">
        <f>'FLUJO DE CAJA(H)'!H12</f>
        <v>8901.6</v>
      </c>
      <c r="H8" s="193">
        <f>'FLUJO DE CAJA(H)'!I12</f>
        <v>8901.6</v>
      </c>
      <c r="I8" s="193">
        <f>'FLUJO DE CAJA(H)'!J12</f>
        <v>8901.6</v>
      </c>
      <c r="J8" s="193">
        <f>'FLUJO DE CAJA(H)'!K12</f>
        <v>8901.6</v>
      </c>
      <c r="K8" s="193">
        <f>'FLUJO DE CAJA(H)'!L12</f>
        <v>8901.6</v>
      </c>
    </row>
    <row r="9" spans="1:11" ht="15">
      <c r="A9" s="1" t="s">
        <v>172</v>
      </c>
      <c r="B9" s="193">
        <f>'FLUJO DE CAJA(H)'!C13</f>
        <v>100</v>
      </c>
      <c r="C9" s="193">
        <f>'FLUJO DE CAJA(H)'!D13</f>
        <v>100</v>
      </c>
      <c r="D9" s="193">
        <f>'FLUJO DE CAJA(H)'!E13</f>
        <v>100</v>
      </c>
      <c r="E9" s="193">
        <f>'FLUJO DE CAJA(H)'!F13</f>
        <v>120</v>
      </c>
      <c r="F9" s="193">
        <f>'FLUJO DE CAJA(H)'!G13</f>
        <v>120</v>
      </c>
      <c r="G9" s="193">
        <f>'FLUJO DE CAJA(H)'!H13</f>
        <v>130</v>
      </c>
      <c r="H9" s="193">
        <f>'FLUJO DE CAJA(H)'!I13</f>
        <v>130</v>
      </c>
      <c r="I9" s="193">
        <f>'FLUJO DE CAJA(H)'!J13</f>
        <v>150</v>
      </c>
      <c r="J9" s="193">
        <f>'FLUJO DE CAJA(H)'!K13</f>
        <v>150</v>
      </c>
      <c r="K9" s="193">
        <f>'FLUJO DE CAJA(H)'!L13</f>
        <v>150</v>
      </c>
    </row>
    <row r="10" spans="1:11" ht="15">
      <c r="A10" s="1" t="s">
        <v>310</v>
      </c>
      <c r="B10" s="193">
        <f>'FLUJO DE CAJA(H)'!C14</f>
        <v>1000</v>
      </c>
      <c r="C10" s="193">
        <f>'FLUJO DE CAJA(H)'!D14</f>
        <v>1000</v>
      </c>
      <c r="D10" s="193">
        <f>'FLUJO DE CAJA(H)'!E14</f>
        <v>2000</v>
      </c>
      <c r="E10" s="193">
        <f>'FLUJO DE CAJA(H)'!F14</f>
        <v>3000</v>
      </c>
      <c r="F10" s="193">
        <f>'FLUJO DE CAJA(H)'!G14</f>
        <v>5000</v>
      </c>
      <c r="G10" s="193">
        <f>'FLUJO DE CAJA(H)'!H14</f>
        <v>1000</v>
      </c>
      <c r="H10" s="193">
        <f>'FLUJO DE CAJA(H)'!I14</f>
        <v>1000</v>
      </c>
      <c r="I10" s="193">
        <f>'FLUJO DE CAJA(H)'!J14</f>
        <v>2000</v>
      </c>
      <c r="J10" s="193">
        <f>'FLUJO DE CAJA(H)'!K14</f>
        <v>3000</v>
      </c>
      <c r="K10" s="193">
        <f>'FLUJO DE CAJA(H)'!L14</f>
        <v>5000</v>
      </c>
    </row>
    <row r="11" spans="1:11" ht="15">
      <c r="A11" s="1" t="s">
        <v>173</v>
      </c>
      <c r="B11" s="193">
        <f>'FLUJO DE CAJA(H)'!C15</f>
        <v>5400</v>
      </c>
      <c r="C11" s="193">
        <f>'FLUJO DE CAJA(H)'!D15</f>
        <v>5400</v>
      </c>
      <c r="D11" s="193">
        <f>'FLUJO DE CAJA(H)'!E15</f>
        <v>5400</v>
      </c>
      <c r="E11" s="193">
        <f>'FLUJO DE CAJA(H)'!F15</f>
        <v>5400</v>
      </c>
      <c r="F11" s="193">
        <f>'FLUJO DE CAJA(H)'!G15</f>
        <v>5400</v>
      </c>
      <c r="G11" s="193">
        <f>'FLUJO DE CAJA(H)'!H15</f>
        <v>5400</v>
      </c>
      <c r="H11" s="193">
        <f>'FLUJO DE CAJA(H)'!I15</f>
        <v>5400</v>
      </c>
      <c r="I11" s="193">
        <f>'FLUJO DE CAJA(H)'!J15</f>
        <v>5400</v>
      </c>
      <c r="J11" s="193">
        <f>'FLUJO DE CAJA(H)'!K15</f>
        <v>5400</v>
      </c>
      <c r="K11" s="193">
        <f>'FLUJO DE CAJA(H)'!L15</f>
        <v>5400</v>
      </c>
    </row>
    <row r="12" spans="1:11" ht="15">
      <c r="A12" s="1" t="s">
        <v>339</v>
      </c>
      <c r="B12" s="193">
        <f>'GASTOS OPERATIVOS(D)'!$C$10</f>
        <v>5400</v>
      </c>
      <c r="C12" s="193">
        <f>'GASTOS OPERATIVOS(D)'!$C$10</f>
        <v>5400</v>
      </c>
      <c r="D12" s="193">
        <f>'GASTOS OPERATIVOS(D)'!$C$10</f>
        <v>5400</v>
      </c>
      <c r="E12" s="193">
        <f>'GASTOS OPERATIVOS(D)'!$C$10</f>
        <v>5400</v>
      </c>
      <c r="F12" s="193">
        <f>'GASTOS OPERATIVOS(D)'!$C$10</f>
        <v>5400</v>
      </c>
      <c r="G12" s="193">
        <f>'GASTOS OPERATIVOS(D)'!$C$10</f>
        <v>5400</v>
      </c>
      <c r="H12" s="193">
        <f>'GASTOS OPERATIVOS(D)'!$C$10</f>
        <v>5400</v>
      </c>
      <c r="I12" s="193">
        <f>'GASTOS OPERATIVOS(D)'!$C$10</f>
        <v>5400</v>
      </c>
      <c r="J12" s="193">
        <f>'GASTOS OPERATIVOS(D)'!$C$10</f>
        <v>5400</v>
      </c>
      <c r="K12" s="193">
        <f>'GASTOS OPERATIVOS(D)'!$C$10</f>
        <v>5400</v>
      </c>
    </row>
    <row r="13" spans="1:11" ht="15">
      <c r="A13" s="1" t="s">
        <v>174</v>
      </c>
      <c r="B13" s="193">
        <f>'FLUJO DE CAJA(H)'!C17</f>
        <v>9156</v>
      </c>
      <c r="C13" s="193">
        <f>'FLUJO DE CAJA(H)'!D17</f>
        <v>9156</v>
      </c>
      <c r="D13" s="193">
        <f>'FLUJO DE CAJA(H)'!E17</f>
        <v>6409.200000000001</v>
      </c>
      <c r="E13" s="193">
        <f>'FLUJO DE CAJA(H)'!F17</f>
        <v>4486.4400000000005</v>
      </c>
      <c r="F13" s="193">
        <f>'FLUJO DE CAJA(H)'!G17</f>
        <v>3140.5080000000007</v>
      </c>
      <c r="G13" s="193">
        <f>'FLUJO DE CAJA(H)'!H17</f>
        <v>1570.2540000000004</v>
      </c>
      <c r="H13" s="193">
        <f>'FLUJO DE CAJA(H)'!I17</f>
        <v>1570.2540000000004</v>
      </c>
      <c r="I13" s="193">
        <f>'FLUJO DE CAJA(H)'!J17</f>
        <v>1570.2540000000004</v>
      </c>
      <c r="J13" s="193">
        <f>'FLUJO DE CAJA(H)'!K17</f>
        <v>1570.2540000000004</v>
      </c>
      <c r="K13" s="193">
        <f>'FLUJO DE CAJA(H)'!L17</f>
        <v>1570.2540000000004</v>
      </c>
    </row>
    <row r="14" spans="1:11" ht="15">
      <c r="A14" s="1" t="s">
        <v>12</v>
      </c>
      <c r="B14" s="193">
        <f>'FLUJO DE CAJA(H)'!C22</f>
        <v>266400</v>
      </c>
      <c r="C14" s="193">
        <f>'FLUJO DE CAJA(H)'!D22</f>
        <v>283308.4079999997</v>
      </c>
      <c r="D14" s="193">
        <f>'FLUJO DE CAJA(H)'!E22</f>
        <v>303102.0332333275</v>
      </c>
      <c r="E14" s="193">
        <f>'FLUJO DE CAJA(H)'!F22</f>
        <v>325573.35115277243</v>
      </c>
      <c r="F14" s="193">
        <f>'FLUJO DE CAJA(H)'!G22</f>
        <v>347486.79483641544</v>
      </c>
      <c r="G14" s="193">
        <f>'FLUJO DE CAJA(H)'!H22</f>
        <v>375737.7812148357</v>
      </c>
      <c r="H14" s="193">
        <f>'FLUJO DE CAJA(H)'!I22</f>
        <v>406227.8852636872</v>
      </c>
      <c r="I14" s="193">
        <f>'FLUJO DE CAJA(H)'!J22</f>
        <v>440216.78916617436</v>
      </c>
      <c r="J14" s="193">
        <f>'FLUJO DE CAJA(H)'!K22</f>
        <v>478684.5259221151</v>
      </c>
      <c r="K14" s="193">
        <f>'FLUJO DE CAJA(H)'!L22</f>
        <v>523163.00372958474</v>
      </c>
    </row>
    <row r="15" spans="1:11" ht="15">
      <c r="A15" s="191" t="s">
        <v>313</v>
      </c>
      <c r="B15" s="201">
        <f>(B6-B8-B9-B10-B11-B12+B13-B14)</f>
        <v>304861.04268731666</v>
      </c>
      <c r="C15" s="201">
        <f aca="true" t="shared" si="1" ref="C15:K15">(C6-C8-C9-C10-C11-C12+C13-C14)</f>
        <v>317097.96682168276</v>
      </c>
      <c r="D15" s="201">
        <f t="shared" si="1"/>
        <v>324160.14032943913</v>
      </c>
      <c r="E15" s="201">
        <f t="shared" si="1"/>
        <v>330878.79108813254</v>
      </c>
      <c r="F15" s="201">
        <f t="shared" si="1"/>
        <v>339358.7805165348</v>
      </c>
      <c r="G15" s="201">
        <f t="shared" si="1"/>
        <v>348953.8735057621</v>
      </c>
      <c r="H15" s="201">
        <f t="shared" si="1"/>
        <v>355661.4194929405</v>
      </c>
      <c r="I15" s="201">
        <f t="shared" si="1"/>
        <v>359710.04812828475</v>
      </c>
      <c r="J15" s="201">
        <f t="shared" si="1"/>
        <v>361252.7205370669</v>
      </c>
      <c r="K15" s="201">
        <f t="shared" si="1"/>
        <v>357835.1723525566</v>
      </c>
    </row>
    <row r="16" spans="1:11" ht="15">
      <c r="A16" s="1" t="s">
        <v>176</v>
      </c>
      <c r="B16" s="193">
        <f>'FLUJO DE CAJA(H)'!C18</f>
        <v>800</v>
      </c>
      <c r="C16" s="193">
        <f>'FLUJO DE CAJA(H)'!D18</f>
        <v>800</v>
      </c>
      <c r="D16" s="193">
        <f>'FLUJO DE CAJA(H)'!E18</f>
        <v>800</v>
      </c>
      <c r="E16" s="193">
        <f>'FLUJO DE CAJA(H)'!F18</f>
        <v>800</v>
      </c>
      <c r="F16" s="193">
        <f>'FLUJO DE CAJA(H)'!G18</f>
        <v>800</v>
      </c>
      <c r="G16" s="193">
        <f>'FLUJO DE CAJA(H)'!H18</f>
        <v>800</v>
      </c>
      <c r="H16" s="193">
        <f>'FLUJO DE CAJA(H)'!I18</f>
        <v>800</v>
      </c>
      <c r="I16" s="193">
        <f>'FLUJO DE CAJA(H)'!J18</f>
        <v>800</v>
      </c>
      <c r="J16" s="193">
        <f>'FLUJO DE CAJA(H)'!K18</f>
        <v>800</v>
      </c>
      <c r="K16" s="193">
        <f>'FLUJO DE CAJA(H)'!L18</f>
        <v>800</v>
      </c>
    </row>
    <row r="17" spans="1:11" ht="15">
      <c r="A17" s="1" t="s">
        <v>225</v>
      </c>
      <c r="B17" s="193">
        <f>'FLUJO DE CAJA(H)'!C19</f>
        <v>95.1</v>
      </c>
      <c r="C17" s="193">
        <f>'FLUJO DE CAJA(H)'!D19</f>
        <v>95.1</v>
      </c>
      <c r="D17" s="193">
        <f>'FLUJO DE CAJA(H)'!E19</f>
        <v>95.1</v>
      </c>
      <c r="E17" s="193">
        <f>'FLUJO DE CAJA(H)'!F19</f>
        <v>95.1</v>
      </c>
      <c r="F17" s="193">
        <f>'FLUJO DE CAJA(H)'!G19</f>
        <v>95.1</v>
      </c>
      <c r="G17" s="193">
        <f>'FLUJO DE CAJA(H)'!H19</f>
        <v>95.1</v>
      </c>
      <c r="H17" s="193">
        <f>'FLUJO DE CAJA(H)'!I19</f>
        <v>95.1</v>
      </c>
      <c r="I17" s="193">
        <f>'FLUJO DE CAJA(H)'!J19</f>
        <v>95.1</v>
      </c>
      <c r="J17" s="193">
        <f>'FLUJO DE CAJA(H)'!K19</f>
        <v>95.1</v>
      </c>
      <c r="K17" s="193">
        <f>'FLUJO DE CAJA(H)'!L19</f>
        <v>95.1</v>
      </c>
    </row>
    <row r="18" spans="1:11" ht="15">
      <c r="A18" s="1" t="s">
        <v>226</v>
      </c>
      <c r="B18" s="193">
        <f>'FLUJO DE CAJA(H)'!C20</f>
        <v>4000</v>
      </c>
      <c r="C18" s="193">
        <f>'FLUJO DE CAJA(H)'!D20</f>
        <v>4000</v>
      </c>
      <c r="D18" s="193">
        <f>'FLUJO DE CAJA(H)'!E20</f>
        <v>4000</v>
      </c>
      <c r="E18" s="193">
        <f>'FLUJO DE CAJA(H)'!F20</f>
        <v>4000</v>
      </c>
      <c r="F18" s="193">
        <f>'FLUJO DE CAJA(H)'!G20</f>
        <v>4000</v>
      </c>
      <c r="G18" s="193">
        <f>'FLUJO DE CAJA(H)'!H20</f>
        <v>4000</v>
      </c>
      <c r="H18" s="193">
        <f>'FLUJO DE CAJA(H)'!I20</f>
        <v>4000</v>
      </c>
      <c r="I18" s="193">
        <f>'FLUJO DE CAJA(H)'!J20</f>
        <v>4000</v>
      </c>
      <c r="J18" s="193">
        <f>'FLUJO DE CAJA(H)'!K20</f>
        <v>4000</v>
      </c>
      <c r="K18" s="193">
        <f>'FLUJO DE CAJA(H)'!L20</f>
        <v>4000</v>
      </c>
    </row>
    <row r="19" spans="1:11" ht="15">
      <c r="A19" s="1" t="s">
        <v>175</v>
      </c>
      <c r="B19" s="193">
        <f>'FLUJO DE CAJA(H)'!C21</f>
        <v>9783.333333333332</v>
      </c>
      <c r="C19" s="193">
        <f>'FLUJO DE CAJA(H)'!D21</f>
        <v>9783.333333333332</v>
      </c>
      <c r="D19" s="193">
        <f>'FLUJO DE CAJA(H)'!E21</f>
        <v>9783.333333333332</v>
      </c>
      <c r="E19" s="193">
        <f>'FLUJO DE CAJA(H)'!F21</f>
        <v>9783.333333333332</v>
      </c>
      <c r="F19" s="193">
        <f>'FLUJO DE CAJA(H)'!G21</f>
        <v>9783.333333333332</v>
      </c>
      <c r="G19" s="193">
        <f>'FLUJO DE CAJA(H)'!H21</f>
        <v>9783.333333333332</v>
      </c>
      <c r="H19" s="193">
        <f>'FLUJO DE CAJA(H)'!I21</f>
        <v>9783.333333333332</v>
      </c>
      <c r="I19" s="193">
        <f>'FLUJO DE CAJA(H)'!J21</f>
        <v>9783.333333333332</v>
      </c>
      <c r="J19" s="193">
        <f>'FLUJO DE CAJA(H)'!K21</f>
        <v>9783.333333333332</v>
      </c>
      <c r="K19" s="193">
        <f>'FLUJO DE CAJA(H)'!L21</f>
        <v>9783.333333333332</v>
      </c>
    </row>
    <row r="20" spans="1:11" ht="15">
      <c r="A20" s="196" t="s">
        <v>314</v>
      </c>
      <c r="B20" s="193">
        <f>'GASTOS FINANCIEROS(A)'!$E$9</f>
        <v>4664.054565309418</v>
      </c>
      <c r="C20" s="193">
        <f>'GASTOS FINANCIEROS(A)'!$E$10</f>
        <v>5410.303295758924</v>
      </c>
      <c r="D20" s="193">
        <f>'GASTOS FINANCIEROS(A)'!$E$11</f>
        <v>6275.9518230803515</v>
      </c>
      <c r="E20" s="193">
        <f>'GASTOS FINANCIEROS(A)'!$E$12</f>
        <v>7280.104114773207</v>
      </c>
      <c r="F20" s="193">
        <f>'GASTOS FINANCIEROS(A)'!$E$13</f>
        <v>8444.920773136919</v>
      </c>
      <c r="G20" s="193">
        <f>'GASTOS FINANCIEROS(A)'!$E$14</f>
        <v>9796.108096838827</v>
      </c>
      <c r="H20" s="193">
        <f>'GASTOS FINANCIEROS(A)'!$E$15</f>
        <v>11363.48539233304</v>
      </c>
      <c r="I20" s="193">
        <f>'GASTOS FINANCIEROS(A)'!$E$16</f>
        <v>13181.643055106326</v>
      </c>
      <c r="J20" s="193">
        <f>'GASTOS FINANCIEROS(A)'!$E$17</f>
        <v>15290.705943923338</v>
      </c>
      <c r="K20" s="193">
        <f>'GASTOS FINANCIEROS(A)'!$E$18</f>
        <v>17737.21889495107</v>
      </c>
    </row>
    <row r="21" spans="1:11" ht="15">
      <c r="A21" s="197" t="s">
        <v>13</v>
      </c>
      <c r="B21" s="202">
        <f>(B15-B16-B17-B18-B19-B20)</f>
        <v>285518.55478867394</v>
      </c>
      <c r="C21" s="202">
        <f aca="true" t="shared" si="2" ref="C21:K21">(C15-C16-C17-C18-C19-C20)</f>
        <v>297009.23019259056</v>
      </c>
      <c r="D21" s="202">
        <f t="shared" si="2"/>
        <v>303205.7551730255</v>
      </c>
      <c r="E21" s="202">
        <f t="shared" si="2"/>
        <v>308920.253640026</v>
      </c>
      <c r="F21" s="202">
        <f t="shared" si="2"/>
        <v>316235.4264100646</v>
      </c>
      <c r="G21" s="202">
        <f t="shared" si="2"/>
        <v>324479.33207559</v>
      </c>
      <c r="H21" s="202">
        <f t="shared" si="2"/>
        <v>329619.5007672741</v>
      </c>
      <c r="I21" s="202">
        <f t="shared" si="2"/>
        <v>331849.9717398451</v>
      </c>
      <c r="J21" s="202">
        <f t="shared" si="2"/>
        <v>331283.5812598103</v>
      </c>
      <c r="K21" s="202">
        <f t="shared" si="2"/>
        <v>325419.52012427227</v>
      </c>
    </row>
    <row r="22" spans="1:11" ht="15">
      <c r="A22" s="200" t="s">
        <v>315</v>
      </c>
      <c r="B22" s="198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5">
      <c r="A23" s="199" t="s">
        <v>20</v>
      </c>
      <c r="B23" s="198">
        <f>'FLUJO DE CAJA(H)'!C24</f>
        <v>15911.119352833824</v>
      </c>
      <c r="C23" s="198">
        <f>'FLUJO DE CAJA(H)'!D24</f>
        <v>15164.870622384318</v>
      </c>
      <c r="D23" s="198">
        <f>'FLUJO DE CAJA(H)'!E24</f>
        <v>14299.22209506289</v>
      </c>
      <c r="E23" s="198">
        <f>'FLUJO DE CAJA(H)'!F24</f>
        <v>13295.069803370036</v>
      </c>
      <c r="F23" s="198">
        <f>'FLUJO DE CAJA(H)'!G24</f>
        <v>12130.253145006323</v>
      </c>
      <c r="G23" s="198">
        <f>'FLUJO DE CAJA(H)'!H24</f>
        <v>10779.065821304415</v>
      </c>
      <c r="H23" s="198">
        <f>'FLUJO DE CAJA(H)'!I24</f>
        <v>9211.688525810203</v>
      </c>
      <c r="I23" s="198">
        <f>'FLUJO DE CAJA(H)'!J24</f>
        <v>7393.530863036916</v>
      </c>
      <c r="J23" s="198">
        <f>'FLUJO DE CAJA(H)'!K24</f>
        <v>5284.467974219904</v>
      </c>
      <c r="K23" s="198">
        <f>'FLUJO DE CAJA(H)'!L24</f>
        <v>2837.9550231921703</v>
      </c>
    </row>
    <row r="24" spans="1:11" ht="15">
      <c r="A24" s="199" t="s">
        <v>13</v>
      </c>
      <c r="B24" s="202">
        <f>(B21-B23)</f>
        <v>269607.4354358401</v>
      </c>
      <c r="C24" s="202">
        <f aca="true" t="shared" si="3" ref="C24:K24">(C21-C23)</f>
        <v>281844.35957020626</v>
      </c>
      <c r="D24" s="202">
        <f t="shared" si="3"/>
        <v>288906.5330779626</v>
      </c>
      <c r="E24" s="202">
        <f t="shared" si="3"/>
        <v>295625.183836656</v>
      </c>
      <c r="F24" s="202">
        <f t="shared" si="3"/>
        <v>304105.1732650583</v>
      </c>
      <c r="G24" s="202">
        <f t="shared" si="3"/>
        <v>313700.2662542856</v>
      </c>
      <c r="H24" s="202">
        <f t="shared" si="3"/>
        <v>320407.8122414639</v>
      </c>
      <c r="I24" s="202">
        <f t="shared" si="3"/>
        <v>324456.4408768082</v>
      </c>
      <c r="J24" s="202">
        <f t="shared" si="3"/>
        <v>325999.1132855904</v>
      </c>
      <c r="K24" s="202">
        <f t="shared" si="3"/>
        <v>322581.5651010801</v>
      </c>
    </row>
    <row r="25" spans="1:11" ht="15">
      <c r="A25" s="199" t="s">
        <v>21</v>
      </c>
      <c r="B25" s="198">
        <f>(B24*15%)</f>
        <v>40441.11531537602</v>
      </c>
      <c r="C25" s="198">
        <f aca="true" t="shared" si="4" ref="C25:K25">(C24*15%)</f>
        <v>42276.653935530936</v>
      </c>
      <c r="D25" s="198">
        <f t="shared" si="4"/>
        <v>43335.979961694386</v>
      </c>
      <c r="E25" s="198">
        <f t="shared" si="4"/>
        <v>44343.777575498396</v>
      </c>
      <c r="F25" s="198">
        <f t="shared" si="4"/>
        <v>45615.775989758746</v>
      </c>
      <c r="G25" s="198">
        <f t="shared" si="4"/>
        <v>47055.039938142836</v>
      </c>
      <c r="H25" s="198">
        <f t="shared" si="4"/>
        <v>48061.17183621959</v>
      </c>
      <c r="I25" s="198">
        <f t="shared" si="4"/>
        <v>48668.46613152123</v>
      </c>
      <c r="J25" s="198">
        <f t="shared" si="4"/>
        <v>48899.866992838564</v>
      </c>
      <c r="K25" s="198">
        <f t="shared" si="4"/>
        <v>48387.234765162015</v>
      </c>
    </row>
    <row r="26" spans="1:11" ht="15">
      <c r="A26" s="199" t="s">
        <v>316</v>
      </c>
      <c r="B26" s="198">
        <f>(B24-B25)</f>
        <v>229166.32012046408</v>
      </c>
      <c r="C26" s="198">
        <f aca="true" t="shared" si="5" ref="C26:K26">(C24-C25)</f>
        <v>239567.70563467534</v>
      </c>
      <c r="D26" s="198">
        <f t="shared" si="5"/>
        <v>245570.5531162682</v>
      </c>
      <c r="E26" s="198">
        <f t="shared" si="5"/>
        <v>251281.4062611576</v>
      </c>
      <c r="F26" s="198">
        <f t="shared" si="5"/>
        <v>258489.39727529956</v>
      </c>
      <c r="G26" s="198">
        <f t="shared" si="5"/>
        <v>266645.22631614277</v>
      </c>
      <c r="H26" s="198">
        <f t="shared" si="5"/>
        <v>272346.6404052443</v>
      </c>
      <c r="I26" s="198">
        <f t="shared" si="5"/>
        <v>275787.974745287</v>
      </c>
      <c r="J26" s="198">
        <f t="shared" si="5"/>
        <v>277099.24629275186</v>
      </c>
      <c r="K26" s="198">
        <f t="shared" si="5"/>
        <v>274194.3303359181</v>
      </c>
    </row>
    <row r="27" spans="1:11" ht="15">
      <c r="A27" s="199" t="s">
        <v>91</v>
      </c>
      <c r="B27" s="198">
        <f>(B26*25%)</f>
        <v>57291.58003011602</v>
      </c>
      <c r="C27" s="198">
        <f aca="true" t="shared" si="6" ref="C27:K27">(C26*25%)</f>
        <v>59891.926408668834</v>
      </c>
      <c r="D27" s="198">
        <f t="shared" si="6"/>
        <v>61392.63827906705</v>
      </c>
      <c r="E27" s="198">
        <f t="shared" si="6"/>
        <v>62820.3515652894</v>
      </c>
      <c r="F27" s="198">
        <f t="shared" si="6"/>
        <v>64622.34931882489</v>
      </c>
      <c r="G27" s="198">
        <f t="shared" si="6"/>
        <v>66661.30657903569</v>
      </c>
      <c r="H27" s="198">
        <f t="shared" si="6"/>
        <v>68086.66010131108</v>
      </c>
      <c r="I27" s="198">
        <f t="shared" si="6"/>
        <v>68946.99368632174</v>
      </c>
      <c r="J27" s="198">
        <f t="shared" si="6"/>
        <v>69274.81157318797</v>
      </c>
      <c r="K27" s="198">
        <f t="shared" si="6"/>
        <v>68548.58258397953</v>
      </c>
    </row>
    <row r="28" spans="1:11" ht="15">
      <c r="A28" s="190" t="s">
        <v>15</v>
      </c>
      <c r="B28" s="203">
        <f>(B26-B27)</f>
        <v>171874.74009034806</v>
      </c>
      <c r="C28" s="203">
        <f aca="true" t="shared" si="7" ref="C28:K28">(C26-C27)</f>
        <v>179675.7792260065</v>
      </c>
      <c r="D28" s="203">
        <f t="shared" si="7"/>
        <v>184177.91483720113</v>
      </c>
      <c r="E28" s="203">
        <f t="shared" si="7"/>
        <v>188461.0546958682</v>
      </c>
      <c r="F28" s="203">
        <f t="shared" si="7"/>
        <v>193867.04795647468</v>
      </c>
      <c r="G28" s="203">
        <f t="shared" si="7"/>
        <v>199983.91973710706</v>
      </c>
      <c r="H28" s="203">
        <f t="shared" si="7"/>
        <v>204259.98030393323</v>
      </c>
      <c r="I28" s="203">
        <f t="shared" si="7"/>
        <v>206840.98105896523</v>
      </c>
      <c r="J28" s="203">
        <f t="shared" si="7"/>
        <v>207824.4347195639</v>
      </c>
      <c r="K28" s="203">
        <f t="shared" si="7"/>
        <v>205645.7477519386</v>
      </c>
    </row>
  </sheetData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C16"/>
  <sheetViews>
    <sheetView workbookViewId="0" topLeftCell="A1">
      <selection activeCell="A3" sqref="A3:B15"/>
    </sheetView>
  </sheetViews>
  <sheetFormatPr defaultColWidth="11.421875" defaultRowHeight="15"/>
  <cols>
    <col min="2" max="2" width="14.57421875" style="0" bestFit="1" customWidth="1"/>
    <col min="3" max="3" width="12.28125" style="0" bestFit="1" customWidth="1"/>
  </cols>
  <sheetData>
    <row r="1" ht="15">
      <c r="A1" t="s">
        <v>324</v>
      </c>
    </row>
    <row r="2" spans="1:3" ht="15">
      <c r="A2" s="229" t="s">
        <v>319</v>
      </c>
      <c r="B2" s="229"/>
      <c r="C2" s="44"/>
    </row>
    <row r="3" spans="1:3" ht="15">
      <c r="A3" s="194" t="s">
        <v>320</v>
      </c>
      <c r="B3" s="194" t="s">
        <v>321</v>
      </c>
      <c r="C3" s="206"/>
    </row>
    <row r="4" spans="1:3" ht="15">
      <c r="A4" s="205">
        <f>'VALOR DE DESECHO Y TMAR(F)(F.1)'!D13</f>
        <v>0.13786</v>
      </c>
      <c r="B4" s="193">
        <f>'FLUJO DE CAJA(H)'!B37</f>
        <v>-497222.47977605695</v>
      </c>
      <c r="C4" s="206"/>
    </row>
    <row r="5" spans="1:3" ht="15">
      <c r="A5" s="4"/>
      <c r="B5" s="193">
        <f>'FLUJO DE CAJA(H)'!C37</f>
        <v>199907.45364375666</v>
      </c>
      <c r="C5" s="206"/>
    </row>
    <row r="6" spans="1:3" ht="15">
      <c r="A6" s="4"/>
      <c r="B6" s="193">
        <f>'FLUJO DE CAJA(H)'!D37</f>
        <v>207437.97761462716</v>
      </c>
      <c r="C6" s="206"/>
    </row>
    <row r="7" spans="1:3" ht="15">
      <c r="A7" s="4"/>
      <c r="B7" s="193">
        <f>'FLUJO DE CAJA(H)'!E37</f>
        <v>212901.3156346678</v>
      </c>
      <c r="C7" s="206"/>
    </row>
    <row r="8" spans="1:3" ht="15">
      <c r="A8" s="4"/>
      <c r="B8" s="193">
        <f>'FLUJO DE CAJA(H)'!F37</f>
        <v>218095.45028759618</v>
      </c>
      <c r="C8" s="206"/>
    </row>
    <row r="9" spans="1:3" ht="15">
      <c r="A9" s="4"/>
      <c r="B9" s="193">
        <f>'FLUJO DE CAJA(H)'!G37</f>
        <v>225629.19750954577</v>
      </c>
      <c r="C9" s="206"/>
    </row>
    <row r="10" spans="1:3" ht="15">
      <c r="A10" s="4"/>
      <c r="B10" s="193">
        <f>'FLUJO DE CAJA(H)'!H37</f>
        <v>226156.26388533626</v>
      </c>
      <c r="C10" s="206"/>
    </row>
    <row r="11" spans="1:3" ht="15">
      <c r="A11" s="4"/>
      <c r="B11" s="193">
        <f>'FLUJO DE CAJA(H)'!I37</f>
        <v>229864.15018254583</v>
      </c>
      <c r="C11" s="206"/>
    </row>
    <row r="12" spans="1:3" ht="15">
      <c r="A12" s="4"/>
      <c r="B12" s="193">
        <f>'FLUJO DE CAJA(H)'!J37</f>
        <v>233061.06878482248</v>
      </c>
      <c r="C12" s="206"/>
    </row>
    <row r="13" spans="1:3" ht="15">
      <c r="A13" s="4"/>
      <c r="B13" s="193">
        <f>'FLUJO DE CAJA(H)'!K37</f>
        <v>234554.987148225</v>
      </c>
      <c r="C13" s="206"/>
    </row>
    <row r="14" spans="1:3" ht="15">
      <c r="A14" s="4"/>
      <c r="B14" s="193">
        <f>'FLUJO DE CAJA(H)'!L37</f>
        <v>1264704.314988758</v>
      </c>
      <c r="C14" s="206"/>
    </row>
    <row r="15" spans="1:2" ht="15">
      <c r="A15" s="204" t="s">
        <v>322</v>
      </c>
      <c r="B15" s="215">
        <f>NPV(A4,B4:B14)</f>
        <v>819772.1937612949</v>
      </c>
    </row>
    <row r="16" spans="1:2" ht="15">
      <c r="A16" s="96" t="s">
        <v>323</v>
      </c>
      <c r="B16" s="216">
        <f>IRR(B4:B14)</f>
        <v>0.43815096079537047</v>
      </c>
    </row>
  </sheetData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1:K25"/>
  <sheetViews>
    <sheetView workbookViewId="0" topLeftCell="A1">
      <selection activeCell="A2" sqref="A2:C13"/>
    </sheetView>
  </sheetViews>
  <sheetFormatPr defaultColWidth="11.421875" defaultRowHeight="15"/>
  <cols>
    <col min="1" max="1" width="15.00390625" style="0" customWidth="1"/>
    <col min="2" max="2" width="14.57421875" style="0" bestFit="1" customWidth="1"/>
    <col min="3" max="3" width="13.140625" style="0" bestFit="1" customWidth="1"/>
    <col min="4" max="4" width="11.57421875" style="0" bestFit="1" customWidth="1"/>
    <col min="5" max="5" width="13.00390625" style="0" bestFit="1" customWidth="1"/>
    <col min="6" max="6" width="11.57421875" style="0" bestFit="1" customWidth="1"/>
    <col min="10" max="10" width="11.57421875" style="0" bestFit="1" customWidth="1"/>
    <col min="11" max="11" width="13.140625" style="0" bestFit="1" customWidth="1"/>
  </cols>
  <sheetData>
    <row r="1" spans="1:3" ht="15">
      <c r="A1" s="229" t="s">
        <v>282</v>
      </c>
      <c r="B1" s="229"/>
      <c r="C1" s="229"/>
    </row>
    <row r="2" spans="1:3" ht="15">
      <c r="A2" s="213" t="s">
        <v>291</v>
      </c>
      <c r="B2" s="213" t="s">
        <v>283</v>
      </c>
      <c r="C2" s="213" t="s">
        <v>289</v>
      </c>
    </row>
    <row r="3" spans="1:3" ht="15">
      <c r="A3" s="12">
        <v>0</v>
      </c>
      <c r="B3" s="169">
        <f>'FLUJO DE CAJA(H)'!B37</f>
        <v>-497222.47977605695</v>
      </c>
      <c r="C3" s="169">
        <f>B3</f>
        <v>-497222.47977605695</v>
      </c>
    </row>
    <row r="4" spans="1:3" ht="15">
      <c r="A4" s="12">
        <v>1</v>
      </c>
      <c r="B4" s="169">
        <f>'FLUJO DE CAJA(H)'!C37</f>
        <v>199907.45364375666</v>
      </c>
      <c r="C4" s="177">
        <f>(C3+B4)</f>
        <v>-297315.02613230026</v>
      </c>
    </row>
    <row r="5" spans="1:3" ht="15">
      <c r="A5" s="12">
        <v>2</v>
      </c>
      <c r="B5" s="169">
        <f>'FLUJO DE CAJA(H)'!D37</f>
        <v>207437.97761462716</v>
      </c>
      <c r="C5" s="170">
        <f>(C4+B5)</f>
        <v>-89877.0485176731</v>
      </c>
    </row>
    <row r="6" spans="1:3" ht="15">
      <c r="A6" s="12">
        <v>3</v>
      </c>
      <c r="B6" s="171">
        <f>'FLUJO DE CAJA(H)'!E37</f>
        <v>212901.3156346678</v>
      </c>
      <c r="C6" s="177">
        <f aca="true" t="shared" si="0" ref="C6:C13">(C5+B6)</f>
        <v>123024.26711699468</v>
      </c>
    </row>
    <row r="7" spans="1:10" ht="15">
      <c r="A7" s="12">
        <v>4</v>
      </c>
      <c r="B7" s="169">
        <f>'FLUJO DE CAJA(H)'!F37</f>
        <v>218095.45028759618</v>
      </c>
      <c r="C7" s="177">
        <f t="shared" si="0"/>
        <v>341119.71740459086</v>
      </c>
      <c r="J7" s="207"/>
    </row>
    <row r="8" spans="1:3" ht="15">
      <c r="A8" s="12">
        <v>5</v>
      </c>
      <c r="B8" s="169">
        <f>'FLUJO DE CAJA(H)'!G37</f>
        <v>225629.19750954577</v>
      </c>
      <c r="C8" s="177">
        <f t="shared" si="0"/>
        <v>566748.9149141366</v>
      </c>
    </row>
    <row r="9" spans="1:6" ht="15">
      <c r="A9" s="12">
        <v>6</v>
      </c>
      <c r="B9" s="169">
        <f>'FLUJO DE CAJA(H)'!H37</f>
        <v>226156.26388533626</v>
      </c>
      <c r="C9" s="177">
        <f t="shared" si="0"/>
        <v>792905.1787994729</v>
      </c>
      <c r="E9" s="248" t="s">
        <v>285</v>
      </c>
      <c r="F9" s="248"/>
    </row>
    <row r="10" spans="1:6" ht="15">
      <c r="A10" s="12">
        <v>7</v>
      </c>
      <c r="B10" s="169">
        <f>'FLUJO DE CAJA(H)'!I37</f>
        <v>229864.15018254583</v>
      </c>
      <c r="C10" s="177">
        <f t="shared" si="0"/>
        <v>1022769.3289820186</v>
      </c>
      <c r="E10" s="35" t="s">
        <v>291</v>
      </c>
      <c r="F10" s="12">
        <v>2</v>
      </c>
    </row>
    <row r="11" spans="1:6" ht="15">
      <c r="A11" s="12">
        <v>8</v>
      </c>
      <c r="B11" s="169">
        <f>'FLUJO DE CAJA(H)'!J37</f>
        <v>233061.06878482248</v>
      </c>
      <c r="C11" s="177">
        <f t="shared" si="0"/>
        <v>1255830.397766841</v>
      </c>
      <c r="E11" s="35" t="s">
        <v>286</v>
      </c>
      <c r="F11" s="169">
        <v>89877.05</v>
      </c>
    </row>
    <row r="12" spans="1:6" ht="15">
      <c r="A12" s="12">
        <v>9</v>
      </c>
      <c r="B12" s="169">
        <f>'FLUJO DE CAJA(H)'!K37</f>
        <v>234554.987148225</v>
      </c>
      <c r="C12" s="177">
        <f t="shared" si="0"/>
        <v>1490385.3849150662</v>
      </c>
      <c r="E12" s="35" t="s">
        <v>287</v>
      </c>
      <c r="F12" s="169">
        <f>B6</f>
        <v>212901.3156346678</v>
      </c>
    </row>
    <row r="13" spans="1:6" ht="15">
      <c r="A13" s="12">
        <v>10</v>
      </c>
      <c r="B13" s="169">
        <f>'FLUJO DE CAJA(H)'!L37</f>
        <v>1264704.314988758</v>
      </c>
      <c r="C13" s="177">
        <f t="shared" si="0"/>
        <v>2755089.6999038244</v>
      </c>
      <c r="E13" s="181" t="s">
        <v>284</v>
      </c>
      <c r="F13" s="214">
        <f>(F10+(F11/F12))</f>
        <v>2.4221535678728556</v>
      </c>
    </row>
    <row r="14" ht="15">
      <c r="F14" s="213" t="s">
        <v>290</v>
      </c>
    </row>
    <row r="17" spans="1:11" ht="15">
      <c r="A17" s="168">
        <v>0</v>
      </c>
      <c r="B17" s="168">
        <v>1</v>
      </c>
      <c r="C17" s="168">
        <v>2</v>
      </c>
      <c r="D17" s="168">
        <v>3</v>
      </c>
      <c r="E17" s="168">
        <v>4</v>
      </c>
      <c r="F17" s="168">
        <v>5</v>
      </c>
      <c r="G17" s="168">
        <v>6</v>
      </c>
      <c r="H17" s="168">
        <v>7</v>
      </c>
      <c r="I17" s="168">
        <v>8</v>
      </c>
      <c r="J17" s="168">
        <v>9</v>
      </c>
      <c r="K17" s="168">
        <v>10</v>
      </c>
    </row>
    <row r="18" spans="1:11" ht="15">
      <c r="A18" s="166">
        <f>'FLUJO DE CAJA(H)'!$B$37</f>
        <v>-497222.47977605695</v>
      </c>
      <c r="B18" s="167">
        <f>'FLUJO DE CAJA(H)'!$C$37</f>
        <v>199907.45364375666</v>
      </c>
      <c r="C18" s="167">
        <f>'FLUJO DE CAJA(H)'!$D$37</f>
        <v>207437.97761462716</v>
      </c>
      <c r="D18" s="167">
        <f>'FLUJO DE CAJA(H)'!$E$37</f>
        <v>212901.3156346678</v>
      </c>
      <c r="E18" s="167">
        <f>'FLUJO DE CAJA(H)'!$F$37</f>
        <v>218095.45028759618</v>
      </c>
      <c r="F18" s="167">
        <f>'FLUJO DE CAJA(H)'!$G$37</f>
        <v>225629.19750954577</v>
      </c>
      <c r="G18" s="167">
        <f>'FLUJO DE CAJA(H)'!$H$37</f>
        <v>226156.26388533626</v>
      </c>
      <c r="H18" s="167">
        <f>'FLUJO DE CAJA(H)'!$I$37</f>
        <v>229864.15018254583</v>
      </c>
      <c r="I18" s="167">
        <f>'FLUJO DE CAJA(H)'!$J$37</f>
        <v>233061.06878482248</v>
      </c>
      <c r="J18" s="167">
        <f>'FLUJO DE CAJA(H)'!$K$37</f>
        <v>234554.987148225</v>
      </c>
      <c r="K18" s="167">
        <f>'FLUJO DE CAJA(H)'!$L$37</f>
        <v>1264704.314988758</v>
      </c>
    </row>
    <row r="19" spans="1:3" ht="15">
      <c r="A19" s="162"/>
      <c r="B19" s="162"/>
      <c r="C19" s="162"/>
    </row>
    <row r="20" spans="1:5" ht="34.5" customHeight="1">
      <c r="A20" s="246"/>
      <c r="B20" s="246"/>
      <c r="C20" s="163"/>
      <c r="D20" s="245"/>
      <c r="E20" s="245"/>
    </row>
    <row r="21" spans="1:3" ht="48.75" customHeight="1">
      <c r="A21" s="245"/>
      <c r="B21" s="245"/>
      <c r="C21" s="163"/>
    </row>
    <row r="22" spans="1:3" ht="15">
      <c r="A22" s="247"/>
      <c r="B22" s="247"/>
      <c r="C22" s="164"/>
    </row>
    <row r="23" spans="1:2" ht="15">
      <c r="A23" s="98"/>
      <c r="B23" s="98"/>
    </row>
    <row r="24" spans="1:2" ht="15">
      <c r="A24" s="165"/>
      <c r="B24" s="98"/>
    </row>
    <row r="25" spans="1:2" ht="15">
      <c r="A25" s="98"/>
      <c r="B25" s="98"/>
    </row>
  </sheetData>
  <mergeCells count="6">
    <mergeCell ref="A1:C1"/>
    <mergeCell ref="A21:B21"/>
    <mergeCell ref="A20:B20"/>
    <mergeCell ref="D20:E20"/>
    <mergeCell ref="A22:B22"/>
    <mergeCell ref="E9:F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L42"/>
  <sheetViews>
    <sheetView workbookViewId="0" topLeftCell="A1">
      <selection activeCell="C14" sqref="C14"/>
    </sheetView>
  </sheetViews>
  <sheetFormatPr defaultColWidth="11.421875" defaultRowHeight="15"/>
  <cols>
    <col min="1" max="1" width="22.140625" style="0" customWidth="1"/>
    <col min="2" max="2" width="14.00390625" style="0" customWidth="1"/>
    <col min="3" max="3" width="13.57421875" style="0" bestFit="1" customWidth="1"/>
    <col min="4" max="4" width="13.7109375" style="0" bestFit="1" customWidth="1"/>
    <col min="5" max="12" width="14.57421875" style="0" bestFit="1" customWidth="1"/>
  </cols>
  <sheetData>
    <row r="1" spans="1:8" ht="15">
      <c r="A1" s="222" t="s">
        <v>336</v>
      </c>
      <c r="B1" s="222"/>
      <c r="C1" s="222"/>
      <c r="D1" s="222"/>
      <c r="E1" s="222"/>
      <c r="F1" s="222"/>
      <c r="H1" t="s">
        <v>338</v>
      </c>
    </row>
    <row r="2" spans="1:6" ht="15">
      <c r="A2" s="208" t="s">
        <v>328</v>
      </c>
      <c r="B2" s="208" t="s">
        <v>332</v>
      </c>
      <c r="C2" s="208" t="s">
        <v>325</v>
      </c>
      <c r="D2" s="208" t="s">
        <v>326</v>
      </c>
      <c r="E2" s="208" t="s">
        <v>331</v>
      </c>
      <c r="F2" s="208" t="s">
        <v>327</v>
      </c>
    </row>
    <row r="3" spans="1:6" ht="15">
      <c r="A3" s="250" t="s">
        <v>329</v>
      </c>
      <c r="B3" s="210">
        <v>0.2</v>
      </c>
      <c r="C3" s="210">
        <v>0.59</v>
      </c>
      <c r="D3" s="210">
        <f>'FLUJO DE CAJA(H)'!$B$39</f>
        <v>0.13786</v>
      </c>
      <c r="E3" s="209" t="str">
        <f>IF(C3&lt;D3,"No rentable"," Rentable")</f>
        <v xml:space="preserve"> Rentable</v>
      </c>
      <c r="F3" s="251" t="s">
        <v>337</v>
      </c>
    </row>
    <row r="4" spans="1:6" ht="15">
      <c r="A4" s="250"/>
      <c r="B4" s="210">
        <v>0.4</v>
      </c>
      <c r="C4" s="210">
        <v>0.74</v>
      </c>
      <c r="D4" s="210">
        <f>'FLUJO DE CAJA(H)'!$B$39</f>
        <v>0.13786</v>
      </c>
      <c r="E4" s="209" t="str">
        <f aca="true" t="shared" si="0" ref="E4:E8">IF(C4&lt;D4,"No rentable"," Rentable")</f>
        <v xml:space="preserve"> Rentable</v>
      </c>
      <c r="F4" s="252"/>
    </row>
    <row r="5" spans="1:6" ht="15">
      <c r="A5" s="250"/>
      <c r="B5" s="210">
        <v>0.6</v>
      </c>
      <c r="C5" s="210">
        <v>0.89</v>
      </c>
      <c r="D5" s="210">
        <f>'FLUJO DE CAJA(H)'!$B$39</f>
        <v>0.13786</v>
      </c>
      <c r="E5" s="209" t="str">
        <f t="shared" si="0"/>
        <v xml:space="preserve"> Rentable</v>
      </c>
      <c r="F5" s="252"/>
    </row>
    <row r="6" spans="1:6" ht="15">
      <c r="A6" s="250" t="s">
        <v>330</v>
      </c>
      <c r="B6" s="210">
        <f>(20%)*-1</f>
        <v>-0.2</v>
      </c>
      <c r="C6" s="210">
        <v>0.29</v>
      </c>
      <c r="D6" s="210">
        <f>'FLUJO DE CAJA(H)'!$B$39</f>
        <v>0.13786</v>
      </c>
      <c r="E6" s="209" t="str">
        <f t="shared" si="0"/>
        <v xml:space="preserve"> Rentable</v>
      </c>
      <c r="F6" s="252"/>
    </row>
    <row r="7" spans="1:6" ht="15">
      <c r="A7" s="250"/>
      <c r="B7" s="210">
        <f>(40%)*-1</f>
        <v>-0.4</v>
      </c>
      <c r="C7" s="210">
        <v>0.14</v>
      </c>
      <c r="D7" s="210">
        <f>'FLUJO DE CAJA(H)'!$B$39</f>
        <v>0.13786</v>
      </c>
      <c r="E7" s="209" t="str">
        <f t="shared" si="0"/>
        <v xml:space="preserve"> Rentable</v>
      </c>
      <c r="F7" s="252"/>
    </row>
    <row r="8" spans="1:6" ht="15">
      <c r="A8" s="250"/>
      <c r="B8" s="210">
        <f>(60%)*-1</f>
        <v>-0.6</v>
      </c>
      <c r="C8" s="210">
        <v>-0.01</v>
      </c>
      <c r="D8" s="210">
        <f>'FLUJO DE CAJA(H)'!$B$39</f>
        <v>0.13786</v>
      </c>
      <c r="E8" s="209" t="str">
        <f t="shared" si="0"/>
        <v>No rentable</v>
      </c>
      <c r="F8" s="253"/>
    </row>
    <row r="11" spans="1:8" ht="18.75">
      <c r="A11" s="249" t="s">
        <v>335</v>
      </c>
      <c r="B11" s="249"/>
      <c r="C11" s="249"/>
      <c r="D11" s="249"/>
      <c r="E11" s="249"/>
      <c r="F11" s="249"/>
      <c r="G11" s="249"/>
      <c r="H11" s="249"/>
    </row>
    <row r="12" spans="1:8" ht="15">
      <c r="A12" s="208" t="s">
        <v>334</v>
      </c>
      <c r="B12" s="208" t="s">
        <v>333</v>
      </c>
      <c r="C12" s="211">
        <f>B3</f>
        <v>0.2</v>
      </c>
      <c r="D12" s="211">
        <f>B4</f>
        <v>0.4</v>
      </c>
      <c r="E12" s="211">
        <f>B5</f>
        <v>0.6</v>
      </c>
      <c r="F12" s="211">
        <f>B6</f>
        <v>-0.2</v>
      </c>
      <c r="G12" s="211">
        <f>B7</f>
        <v>-0.4</v>
      </c>
      <c r="H12" s="211">
        <f>B8</f>
        <v>-0.6</v>
      </c>
    </row>
    <row r="13" spans="1:8" ht="15">
      <c r="A13" s="209">
        <v>1</v>
      </c>
      <c r="B13" s="209">
        <f>'FLUJO DE CAJA(H)'!$C$8</f>
        <v>582906.6426873166</v>
      </c>
      <c r="C13" s="209">
        <f aca="true" t="shared" si="1" ref="C13:C22">(B13*$C$12)+B13</f>
        <v>699487.97122478</v>
      </c>
      <c r="D13" s="209">
        <f aca="true" t="shared" si="2" ref="D13:D22">(B13*$D$12)+B13</f>
        <v>816069.2997622433</v>
      </c>
      <c r="E13" s="209">
        <f aca="true" t="shared" si="3" ref="E13:E22">(B13*$E$12)+B13</f>
        <v>932650.6282997066</v>
      </c>
      <c r="F13" s="209">
        <f aca="true" t="shared" si="4" ref="F13:F22">(B13*$F$12)+B13</f>
        <v>466325.3141498533</v>
      </c>
      <c r="G13" s="209">
        <f aca="true" t="shared" si="5" ref="G13:G22">(B13*$G$12)+B13</f>
        <v>349743.98561239</v>
      </c>
      <c r="H13" s="209">
        <f aca="true" t="shared" si="6" ref="H13:H22">(B13*$H$12)+B13</f>
        <v>233162.65707492665</v>
      </c>
    </row>
    <row r="14" spans="1:8" ht="15">
      <c r="A14" s="209">
        <v>2</v>
      </c>
      <c r="B14" s="209">
        <f>'FLUJO DE CAJA(H)'!$D$8</f>
        <v>612051.9748216824</v>
      </c>
      <c r="C14" s="209">
        <f t="shared" si="1"/>
        <v>734462.369786019</v>
      </c>
      <c r="D14" s="209">
        <f t="shared" si="2"/>
        <v>856872.7647503554</v>
      </c>
      <c r="E14" s="209">
        <f t="shared" si="3"/>
        <v>979283.1597146918</v>
      </c>
      <c r="F14" s="209">
        <f t="shared" si="4"/>
        <v>489641.57985734596</v>
      </c>
      <c r="G14" s="209">
        <f t="shared" si="5"/>
        <v>367231.1848930095</v>
      </c>
      <c r="H14" s="209">
        <f t="shared" si="6"/>
        <v>244820.789928673</v>
      </c>
    </row>
    <row r="15" spans="1:8" ht="15">
      <c r="A15" s="209">
        <v>3</v>
      </c>
      <c r="B15" s="209">
        <f>'FLUJO DE CAJA(H)'!$E$8</f>
        <v>642654.5735627667</v>
      </c>
      <c r="C15" s="209">
        <f t="shared" si="1"/>
        <v>771185.48827532</v>
      </c>
      <c r="D15" s="209">
        <f t="shared" si="2"/>
        <v>899716.4029878733</v>
      </c>
      <c r="E15" s="209">
        <f t="shared" si="3"/>
        <v>1028247.3177004266</v>
      </c>
      <c r="F15" s="209">
        <f t="shared" si="4"/>
        <v>514123.65885021334</v>
      </c>
      <c r="G15" s="209">
        <f t="shared" si="5"/>
        <v>385592.74413766</v>
      </c>
      <c r="H15" s="209">
        <f t="shared" si="6"/>
        <v>257061.8294251067</v>
      </c>
    </row>
    <row r="16" spans="1:8" ht="15">
      <c r="A16" s="209">
        <v>4</v>
      </c>
      <c r="B16" s="209">
        <f>'FLUJO DE CAJA(H)'!$F$8</f>
        <v>674787.302240905</v>
      </c>
      <c r="C16" s="209">
        <f t="shared" si="1"/>
        <v>809744.762689086</v>
      </c>
      <c r="D16" s="209">
        <f t="shared" si="2"/>
        <v>944702.2231372669</v>
      </c>
      <c r="E16" s="209">
        <f t="shared" si="3"/>
        <v>1079659.683585448</v>
      </c>
      <c r="F16" s="209">
        <f t="shared" si="4"/>
        <v>539829.841792724</v>
      </c>
      <c r="G16" s="209">
        <f t="shared" si="5"/>
        <v>404872.381344543</v>
      </c>
      <c r="H16" s="209">
        <f t="shared" si="6"/>
        <v>269914.920896362</v>
      </c>
    </row>
    <row r="17" spans="1:8" ht="15">
      <c r="A17" s="209">
        <v>5</v>
      </c>
      <c r="B17" s="209">
        <f>'FLUJO DE CAJA(H)'!$H$8</f>
        <v>743953.0007205978</v>
      </c>
      <c r="C17" s="209">
        <f t="shared" si="1"/>
        <v>892743.6008647174</v>
      </c>
      <c r="D17" s="209">
        <f t="shared" si="2"/>
        <v>1041534.201008837</v>
      </c>
      <c r="E17" s="209">
        <f t="shared" si="3"/>
        <v>1190324.8011529564</v>
      </c>
      <c r="F17" s="209">
        <f t="shared" si="4"/>
        <v>595162.4005764782</v>
      </c>
      <c r="G17" s="209">
        <f t="shared" si="5"/>
        <v>446371.8004323587</v>
      </c>
      <c r="H17" s="209">
        <f t="shared" si="6"/>
        <v>297581.2002882391</v>
      </c>
    </row>
    <row r="18" spans="1:8" ht="15">
      <c r="A18" s="209">
        <v>6</v>
      </c>
      <c r="B18" s="209">
        <f>'FLUJO DE CAJA(H)'!$H$8</f>
        <v>743953.0007205978</v>
      </c>
      <c r="C18" s="209">
        <f t="shared" si="1"/>
        <v>892743.6008647174</v>
      </c>
      <c r="D18" s="209">
        <f t="shared" si="2"/>
        <v>1041534.201008837</v>
      </c>
      <c r="E18" s="209">
        <f t="shared" si="3"/>
        <v>1190324.8011529564</v>
      </c>
      <c r="F18" s="209">
        <f t="shared" si="4"/>
        <v>595162.4005764782</v>
      </c>
      <c r="G18" s="209">
        <f t="shared" si="5"/>
        <v>446371.8004323587</v>
      </c>
      <c r="H18" s="209">
        <f t="shared" si="6"/>
        <v>297581.2002882391</v>
      </c>
    </row>
    <row r="19" spans="1:8" ht="15">
      <c r="A19" s="209">
        <v>7</v>
      </c>
      <c r="B19" s="209">
        <f>'FLUJO DE CAJA(H)'!$I$8</f>
        <v>781150.6507566277</v>
      </c>
      <c r="C19" s="209">
        <f t="shared" si="1"/>
        <v>937380.7809079532</v>
      </c>
      <c r="D19" s="209">
        <f t="shared" si="2"/>
        <v>1093610.9110592788</v>
      </c>
      <c r="E19" s="209">
        <f t="shared" si="3"/>
        <v>1249841.0412106044</v>
      </c>
      <c r="F19" s="209">
        <f t="shared" si="4"/>
        <v>624920.5206053022</v>
      </c>
      <c r="G19" s="209">
        <f t="shared" si="5"/>
        <v>468690.3904539766</v>
      </c>
      <c r="H19" s="209">
        <f t="shared" si="6"/>
        <v>312460.2603026511</v>
      </c>
    </row>
    <row r="20" spans="1:8" ht="15">
      <c r="A20" s="209">
        <v>8</v>
      </c>
      <c r="B20" s="209">
        <f>'FLUJO DE CAJA(H)'!$J$8</f>
        <v>820208.1832944591</v>
      </c>
      <c r="C20" s="209">
        <f t="shared" si="1"/>
        <v>984249.8199533509</v>
      </c>
      <c r="D20" s="209">
        <f t="shared" si="2"/>
        <v>1148291.4566122429</v>
      </c>
      <c r="E20" s="209">
        <f t="shared" si="3"/>
        <v>1312333.0932711347</v>
      </c>
      <c r="F20" s="209">
        <f t="shared" si="4"/>
        <v>656166.5466355673</v>
      </c>
      <c r="G20" s="209">
        <f t="shared" si="5"/>
        <v>492124.90997667547</v>
      </c>
      <c r="H20" s="209">
        <f t="shared" si="6"/>
        <v>328083.27331778366</v>
      </c>
    </row>
    <row r="21" spans="1:8" ht="15">
      <c r="A21" s="209">
        <v>9</v>
      </c>
      <c r="B21" s="209">
        <f>'FLUJO DE CAJA(H)'!$K$8</f>
        <v>861218.592459182</v>
      </c>
      <c r="C21" s="209">
        <f t="shared" si="1"/>
        <v>1033462.3109510185</v>
      </c>
      <c r="D21" s="209">
        <f t="shared" si="2"/>
        <v>1205706.029442855</v>
      </c>
      <c r="E21" s="209">
        <f t="shared" si="3"/>
        <v>1377949.7479346911</v>
      </c>
      <c r="F21" s="209">
        <f t="shared" si="4"/>
        <v>688974.8739673456</v>
      </c>
      <c r="G21" s="209">
        <f t="shared" si="5"/>
        <v>516731.1554755092</v>
      </c>
      <c r="H21" s="209">
        <f t="shared" si="6"/>
        <v>344487.43698367284</v>
      </c>
    </row>
    <row r="22" spans="1:8" ht="15">
      <c r="A22" s="209">
        <v>10</v>
      </c>
      <c r="B22" s="209">
        <f>'FLUJO DE CAJA(H)'!$L$8</f>
        <v>904279.5220821414</v>
      </c>
      <c r="C22" s="209">
        <f t="shared" si="1"/>
        <v>1085135.4264985695</v>
      </c>
      <c r="D22" s="209">
        <f t="shared" si="2"/>
        <v>1265991.330914998</v>
      </c>
      <c r="E22" s="209">
        <f t="shared" si="3"/>
        <v>1446847.2353314261</v>
      </c>
      <c r="F22" s="209">
        <f t="shared" si="4"/>
        <v>723423.6176657131</v>
      </c>
      <c r="G22" s="209">
        <f t="shared" si="5"/>
        <v>542567.7132492848</v>
      </c>
      <c r="H22" s="209">
        <f t="shared" si="6"/>
        <v>361711.8088328566</v>
      </c>
    </row>
    <row r="42" spans="7:12" ht="15">
      <c r="G42" s="98"/>
      <c r="H42" s="98"/>
      <c r="I42" s="98"/>
      <c r="J42" s="98"/>
      <c r="K42" s="98"/>
      <c r="L42" s="98"/>
    </row>
  </sheetData>
  <mergeCells count="5">
    <mergeCell ref="A11:H11"/>
    <mergeCell ref="A1:F1"/>
    <mergeCell ref="A3:A5"/>
    <mergeCell ref="F3:F8"/>
    <mergeCell ref="A6:A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"/>
  <sheetViews>
    <sheetView workbookViewId="0" topLeftCell="A1">
      <selection activeCell="B25" sqref="B25"/>
    </sheetView>
  </sheetViews>
  <sheetFormatPr defaultColWidth="11.421875" defaultRowHeight="15"/>
  <cols>
    <col min="1" max="1" width="22.7109375" style="0" customWidth="1"/>
    <col min="3" max="3" width="13.140625" style="0" customWidth="1"/>
  </cols>
  <sheetData>
    <row r="1" spans="1:14" ht="18.75">
      <c r="A1" s="221" t="s">
        <v>144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3" ht="15">
      <c r="A2" s="222" t="s">
        <v>145</v>
      </c>
      <c r="B2" s="222"/>
      <c r="C2" s="222"/>
    </row>
    <row r="3" spans="1:3" ht="15">
      <c r="A3" s="8" t="s">
        <v>146</v>
      </c>
      <c r="B3" s="4"/>
      <c r="C3" s="18" t="s">
        <v>147</v>
      </c>
    </row>
    <row r="4" spans="1:3" ht="15">
      <c r="A4" s="33" t="s">
        <v>148</v>
      </c>
      <c r="B4" s="105">
        <v>350</v>
      </c>
      <c r="C4" s="4"/>
    </row>
    <row r="5" spans="1:3" ht="15">
      <c r="A5" s="33" t="s">
        <v>149</v>
      </c>
      <c r="B5" s="105">
        <v>200</v>
      </c>
      <c r="C5" s="4"/>
    </row>
    <row r="6" spans="1:3" ht="15">
      <c r="A6" s="33" t="s">
        <v>150</v>
      </c>
      <c r="B6" s="105">
        <v>50</v>
      </c>
      <c r="C6" s="4"/>
    </row>
    <row r="7" spans="1:3" ht="25.5">
      <c r="A7" s="33" t="s">
        <v>151</v>
      </c>
      <c r="B7" s="105">
        <v>127</v>
      </c>
      <c r="C7" s="4"/>
    </row>
    <row r="8" spans="1:14" ht="15">
      <c r="A8" s="33" t="s">
        <v>152</v>
      </c>
      <c r="B8" s="105">
        <v>350</v>
      </c>
      <c r="C8" s="4" t="s">
        <v>153</v>
      </c>
      <c r="E8" s="223" t="s">
        <v>154</v>
      </c>
      <c r="F8" s="224"/>
      <c r="G8" s="224"/>
      <c r="H8" s="224"/>
      <c r="I8" s="224"/>
      <c r="J8" s="224"/>
      <c r="K8" s="224"/>
      <c r="L8" s="224"/>
      <c r="M8" s="224"/>
      <c r="N8" s="225"/>
    </row>
    <row r="9" spans="1:14" ht="15">
      <c r="A9" s="33" t="s">
        <v>155</v>
      </c>
      <c r="B9" s="105">
        <v>16</v>
      </c>
      <c r="C9" s="4"/>
      <c r="E9" s="18" t="s">
        <v>156</v>
      </c>
      <c r="F9" s="18" t="s">
        <v>157</v>
      </c>
      <c r="G9" s="18" t="s">
        <v>158</v>
      </c>
      <c r="H9" s="18" t="s">
        <v>36</v>
      </c>
      <c r="I9" s="18" t="s">
        <v>159</v>
      </c>
      <c r="J9" s="18" t="s">
        <v>160</v>
      </c>
      <c r="K9" s="18" t="s">
        <v>161</v>
      </c>
      <c r="L9" s="18" t="s">
        <v>162</v>
      </c>
      <c r="M9" s="18" t="s">
        <v>163</v>
      </c>
      <c r="N9" s="18" t="s">
        <v>164</v>
      </c>
    </row>
    <row r="10" spans="1:14" ht="15">
      <c r="A10" s="33" t="s">
        <v>165</v>
      </c>
      <c r="B10" s="105">
        <v>28</v>
      </c>
      <c r="C10" s="4"/>
      <c r="E10" s="103">
        <f>B15</f>
        <v>1161</v>
      </c>
      <c r="F10" s="156">
        <f aca="true" t="shared" si="0" ref="F10:N10">$E$10-$B$8</f>
        <v>811</v>
      </c>
      <c r="G10" s="156">
        <f t="shared" si="0"/>
        <v>811</v>
      </c>
      <c r="H10" s="156">
        <f t="shared" si="0"/>
        <v>811</v>
      </c>
      <c r="I10" s="156">
        <f t="shared" si="0"/>
        <v>811</v>
      </c>
      <c r="J10" s="156">
        <f t="shared" si="0"/>
        <v>811</v>
      </c>
      <c r="K10" s="156">
        <f t="shared" si="0"/>
        <v>811</v>
      </c>
      <c r="L10" s="156">
        <f t="shared" si="0"/>
        <v>811</v>
      </c>
      <c r="M10" s="156">
        <f t="shared" si="0"/>
        <v>811</v>
      </c>
      <c r="N10" s="156">
        <f t="shared" si="0"/>
        <v>811</v>
      </c>
    </row>
    <row r="11" spans="1:3" ht="15">
      <c r="A11" s="8" t="s">
        <v>166</v>
      </c>
      <c r="B11" s="105"/>
      <c r="C11" s="4"/>
    </row>
    <row r="12" spans="1:3" ht="15">
      <c r="A12" s="33" t="s">
        <v>167</v>
      </c>
      <c r="B12" s="105">
        <v>0</v>
      </c>
      <c r="C12" s="4"/>
    </row>
    <row r="13" spans="1:3" ht="25.5">
      <c r="A13" s="33" t="s">
        <v>168</v>
      </c>
      <c r="B13" s="105">
        <v>8</v>
      </c>
      <c r="C13" s="4" t="s">
        <v>169</v>
      </c>
    </row>
    <row r="14" spans="1:3" ht="15">
      <c r="A14" s="33" t="s">
        <v>170</v>
      </c>
      <c r="B14" s="105">
        <v>32</v>
      </c>
      <c r="C14" s="4" t="s">
        <v>169</v>
      </c>
    </row>
    <row r="15" spans="1:3" ht="15">
      <c r="A15" s="8" t="s">
        <v>171</v>
      </c>
      <c r="B15" s="103">
        <f>SUM(B4:B14)</f>
        <v>1161</v>
      </c>
      <c r="C15" s="4"/>
    </row>
  </sheetData>
  <mergeCells count="3">
    <mergeCell ref="A1:N1"/>
    <mergeCell ref="A2:C2"/>
    <mergeCell ref="E8:N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99"/>
  <sheetViews>
    <sheetView workbookViewId="0" topLeftCell="A1">
      <selection activeCell="O115" sqref="O115"/>
    </sheetView>
  </sheetViews>
  <sheetFormatPr defaultColWidth="11.421875" defaultRowHeight="15"/>
  <cols>
    <col min="1" max="1" width="34.421875" style="0" customWidth="1"/>
    <col min="2" max="2" width="12.7109375" style="0" customWidth="1"/>
    <col min="3" max="3" width="8.7109375" style="0" customWidth="1"/>
    <col min="4" max="4" width="11.57421875" style="0" customWidth="1"/>
    <col min="5" max="5" width="10.421875" style="0" customWidth="1"/>
    <col min="6" max="6" width="9.7109375" style="0" customWidth="1"/>
    <col min="7" max="8" width="11.140625" style="0" customWidth="1"/>
    <col min="9" max="9" width="11.421875" style="0" customWidth="1"/>
  </cols>
  <sheetData>
    <row r="1" spans="1:5" ht="18.75">
      <c r="A1" s="221" t="s">
        <v>116</v>
      </c>
      <c r="B1" s="221"/>
      <c r="C1" s="221"/>
      <c r="D1" s="221"/>
      <c r="E1" s="221"/>
    </row>
    <row r="2" spans="1:5" ht="15">
      <c r="A2" s="22" t="s">
        <v>105</v>
      </c>
      <c r="B2" s="23" t="s">
        <v>106</v>
      </c>
      <c r="C2" s="23" t="s">
        <v>107</v>
      </c>
      <c r="D2" s="23" t="s">
        <v>108</v>
      </c>
      <c r="E2" s="24" t="s">
        <v>69</v>
      </c>
    </row>
    <row r="3" spans="1:5" ht="13.5" customHeight="1">
      <c r="A3" s="25" t="s">
        <v>109</v>
      </c>
      <c r="B3" s="12" t="s">
        <v>110</v>
      </c>
      <c r="C3" s="12">
        <v>500</v>
      </c>
      <c r="D3" s="12">
        <v>200</v>
      </c>
      <c r="E3" s="26">
        <f>(D3*C3)</f>
        <v>100000</v>
      </c>
    </row>
    <row r="4" spans="1:5" ht="16.5" customHeight="1">
      <c r="A4" s="25" t="s">
        <v>111</v>
      </c>
      <c r="B4" s="12" t="s">
        <v>110</v>
      </c>
      <c r="C4" s="12">
        <v>300</v>
      </c>
      <c r="D4" s="12">
        <v>30</v>
      </c>
      <c r="E4" s="26">
        <f aca="true" t="shared" si="0" ref="E4:E7">(D4*C4)</f>
        <v>9000</v>
      </c>
    </row>
    <row r="5" spans="1:5" ht="13.5" customHeight="1">
      <c r="A5" s="25" t="s">
        <v>112</v>
      </c>
      <c r="B5" s="12" t="s">
        <v>110</v>
      </c>
      <c r="C5" s="12">
        <v>400</v>
      </c>
      <c r="D5" s="12">
        <v>30</v>
      </c>
      <c r="E5" s="26">
        <f t="shared" si="0"/>
        <v>12000</v>
      </c>
    </row>
    <row r="6" spans="1:5" ht="15.75" customHeight="1">
      <c r="A6" s="25" t="s">
        <v>113</v>
      </c>
      <c r="B6" s="12" t="s">
        <v>110</v>
      </c>
      <c r="C6" s="12">
        <v>100</v>
      </c>
      <c r="D6" s="12">
        <v>20</v>
      </c>
      <c r="E6" s="26">
        <f t="shared" si="0"/>
        <v>2000</v>
      </c>
    </row>
    <row r="7" spans="1:5" ht="13.5" customHeight="1">
      <c r="A7" s="25" t="s">
        <v>114</v>
      </c>
      <c r="B7" s="12" t="s">
        <v>110</v>
      </c>
      <c r="C7" s="12">
        <v>200</v>
      </c>
      <c r="D7" s="12">
        <v>50</v>
      </c>
      <c r="E7" s="26">
        <f t="shared" si="0"/>
        <v>10000</v>
      </c>
    </row>
    <row r="8" spans="1:5" ht="15">
      <c r="A8" s="27"/>
      <c r="B8" s="28"/>
      <c r="C8" s="29" t="s">
        <v>115</v>
      </c>
      <c r="D8" s="28"/>
      <c r="E8" s="66">
        <f>SUM(E3:E7)</f>
        <v>133000</v>
      </c>
    </row>
    <row r="11" spans="1:10" ht="18.75">
      <c r="A11" s="227" t="s">
        <v>217</v>
      </c>
      <c r="B11" s="228"/>
      <c r="C11" s="228"/>
      <c r="D11" s="228"/>
      <c r="E11" s="228"/>
      <c r="F11" s="228"/>
      <c r="G11" s="228"/>
      <c r="H11" s="228"/>
      <c r="I11" s="228"/>
      <c r="J11" s="228"/>
    </row>
    <row r="12" spans="1:10" ht="22.5">
      <c r="A12" s="61" t="s">
        <v>303</v>
      </c>
      <c r="B12" s="60" t="s">
        <v>71</v>
      </c>
      <c r="C12" s="60" t="s">
        <v>72</v>
      </c>
      <c r="D12" s="60" t="s">
        <v>69</v>
      </c>
      <c r="E12" s="60" t="s">
        <v>73</v>
      </c>
      <c r="F12" s="60" t="s">
        <v>74</v>
      </c>
      <c r="G12" s="60" t="s">
        <v>209</v>
      </c>
      <c r="H12" s="60" t="s">
        <v>204</v>
      </c>
      <c r="I12" s="60" t="s">
        <v>210</v>
      </c>
      <c r="J12" s="60" t="s">
        <v>302</v>
      </c>
    </row>
    <row r="13" spans="1:10" ht="15.75" thickBot="1">
      <c r="A13" s="89" t="s">
        <v>70</v>
      </c>
      <c r="B13" s="90"/>
      <c r="C13" s="90"/>
      <c r="D13" s="185">
        <f>SUM(D14:D24)</f>
        <v>83650</v>
      </c>
      <c r="E13" s="90"/>
      <c r="F13" s="185">
        <f>SUM(F14:F24)</f>
        <v>30580</v>
      </c>
      <c r="G13" s="90"/>
      <c r="H13" s="186">
        <f>SUM(H14:H24)</f>
        <v>9783.333333333332</v>
      </c>
      <c r="I13" s="90"/>
      <c r="J13" s="4"/>
    </row>
    <row r="14" spans="1:10" ht="15">
      <c r="A14" s="12" t="s">
        <v>75</v>
      </c>
      <c r="B14" s="12">
        <v>2</v>
      </c>
      <c r="C14" s="12">
        <v>15000</v>
      </c>
      <c r="D14" s="12">
        <f>(B14*C14)</f>
        <v>30000</v>
      </c>
      <c r="E14" s="12">
        <v>10</v>
      </c>
      <c r="F14" s="12">
        <v>8000</v>
      </c>
      <c r="G14" s="12">
        <f>(C14/E14)</f>
        <v>1500</v>
      </c>
      <c r="H14" s="12">
        <f aca="true" t="shared" si="1" ref="H14:H24">(D14/E14)</f>
        <v>3000</v>
      </c>
      <c r="I14" s="12">
        <f>(G14*E14)</f>
        <v>15000</v>
      </c>
      <c r="J14" s="4">
        <f>(C14-I14)</f>
        <v>0</v>
      </c>
    </row>
    <row r="15" spans="1:10" ht="15">
      <c r="A15" s="12" t="s">
        <v>76</v>
      </c>
      <c r="B15" s="12">
        <v>1</v>
      </c>
      <c r="C15" s="12">
        <v>5000</v>
      </c>
      <c r="D15" s="12">
        <f aca="true" t="shared" si="2" ref="D15:D35">(B15*C15)</f>
        <v>5000</v>
      </c>
      <c r="E15" s="12">
        <v>10</v>
      </c>
      <c r="F15" s="12">
        <v>2000</v>
      </c>
      <c r="G15" s="12">
        <f aca="true" t="shared" si="3" ref="G15:G35">(C15/E15)</f>
        <v>500</v>
      </c>
      <c r="H15" s="12">
        <f t="shared" si="1"/>
        <v>500</v>
      </c>
      <c r="I15" s="12">
        <f aca="true" t="shared" si="4" ref="I15:I35">(G15*E15)</f>
        <v>5000</v>
      </c>
      <c r="J15" s="4">
        <f aca="true" t="shared" si="5" ref="J15:J35">(C15-I15)</f>
        <v>0</v>
      </c>
    </row>
    <row r="16" spans="1:10" ht="15">
      <c r="A16" s="12" t="s">
        <v>77</v>
      </c>
      <c r="B16" s="12">
        <v>5</v>
      </c>
      <c r="C16" s="12">
        <v>120</v>
      </c>
      <c r="D16" s="12">
        <f t="shared" si="2"/>
        <v>600</v>
      </c>
      <c r="E16" s="12">
        <v>5</v>
      </c>
      <c r="F16" s="12">
        <v>50</v>
      </c>
      <c r="G16" s="12">
        <f t="shared" si="3"/>
        <v>24</v>
      </c>
      <c r="H16" s="12">
        <f t="shared" si="1"/>
        <v>120</v>
      </c>
      <c r="I16" s="12">
        <f t="shared" si="4"/>
        <v>120</v>
      </c>
      <c r="J16" s="4">
        <f t="shared" si="5"/>
        <v>0</v>
      </c>
    </row>
    <row r="17" spans="1:10" ht="15">
      <c r="A17" s="12" t="s">
        <v>78</v>
      </c>
      <c r="B17" s="12">
        <v>5</v>
      </c>
      <c r="C17" s="12">
        <v>350</v>
      </c>
      <c r="D17" s="12">
        <f t="shared" si="2"/>
        <v>1750</v>
      </c>
      <c r="E17" s="12">
        <v>5</v>
      </c>
      <c r="F17" s="12">
        <v>150</v>
      </c>
      <c r="G17" s="12">
        <f t="shared" si="3"/>
        <v>70</v>
      </c>
      <c r="H17" s="12">
        <f t="shared" si="1"/>
        <v>350</v>
      </c>
      <c r="I17" s="12">
        <f t="shared" si="4"/>
        <v>350</v>
      </c>
      <c r="J17" s="4">
        <f t="shared" si="5"/>
        <v>0</v>
      </c>
    </row>
    <row r="18" spans="1:10" ht="15">
      <c r="A18" s="12" t="s">
        <v>79</v>
      </c>
      <c r="B18" s="12">
        <v>3</v>
      </c>
      <c r="C18" s="12">
        <v>300</v>
      </c>
      <c r="D18" s="12">
        <f t="shared" si="2"/>
        <v>900</v>
      </c>
      <c r="E18" s="12">
        <v>5</v>
      </c>
      <c r="F18" s="12">
        <v>150</v>
      </c>
      <c r="G18" s="12">
        <f t="shared" si="3"/>
        <v>60</v>
      </c>
      <c r="H18" s="12">
        <f t="shared" si="1"/>
        <v>180</v>
      </c>
      <c r="I18" s="12">
        <f t="shared" si="4"/>
        <v>300</v>
      </c>
      <c r="J18" s="4">
        <f t="shared" si="5"/>
        <v>0</v>
      </c>
    </row>
    <row r="19" spans="1:10" ht="15">
      <c r="A19" s="12" t="s">
        <v>80</v>
      </c>
      <c r="B19" s="12">
        <v>1</v>
      </c>
      <c r="C19" s="12">
        <v>14000</v>
      </c>
      <c r="D19" s="12">
        <f t="shared" si="2"/>
        <v>14000</v>
      </c>
      <c r="E19" s="12">
        <v>10</v>
      </c>
      <c r="F19" s="12">
        <v>7000</v>
      </c>
      <c r="G19" s="12">
        <f t="shared" si="3"/>
        <v>1400</v>
      </c>
      <c r="H19" s="12">
        <f t="shared" si="1"/>
        <v>1400</v>
      </c>
      <c r="I19" s="12">
        <f t="shared" si="4"/>
        <v>14000</v>
      </c>
      <c r="J19" s="4">
        <f t="shared" si="5"/>
        <v>0</v>
      </c>
    </row>
    <row r="20" spans="1:10" ht="15">
      <c r="A20" s="12" t="s">
        <v>81</v>
      </c>
      <c r="B20" s="12" t="s">
        <v>82</v>
      </c>
      <c r="C20" s="12">
        <v>4000</v>
      </c>
      <c r="D20" s="12">
        <f>C20</f>
        <v>4000</v>
      </c>
      <c r="E20" s="12">
        <v>3</v>
      </c>
      <c r="F20" s="12">
        <v>1500</v>
      </c>
      <c r="G20" s="39">
        <f t="shared" si="3"/>
        <v>1333.3333333333333</v>
      </c>
      <c r="H20" s="39">
        <f t="shared" si="1"/>
        <v>1333.3333333333333</v>
      </c>
      <c r="I20" s="12">
        <f t="shared" si="4"/>
        <v>4000</v>
      </c>
      <c r="J20" s="4">
        <f t="shared" si="5"/>
        <v>0</v>
      </c>
    </row>
    <row r="21" spans="1:10" ht="15">
      <c r="A21" s="12" t="s">
        <v>83</v>
      </c>
      <c r="B21" s="12">
        <v>5</v>
      </c>
      <c r="C21" s="12">
        <v>80</v>
      </c>
      <c r="D21" s="12">
        <f t="shared" si="2"/>
        <v>400</v>
      </c>
      <c r="E21" s="12">
        <v>2</v>
      </c>
      <c r="F21" s="12">
        <v>30</v>
      </c>
      <c r="G21" s="12">
        <f t="shared" si="3"/>
        <v>40</v>
      </c>
      <c r="H21" s="12">
        <f t="shared" si="1"/>
        <v>200</v>
      </c>
      <c r="I21" s="12">
        <f t="shared" si="4"/>
        <v>80</v>
      </c>
      <c r="J21" s="4">
        <f t="shared" si="5"/>
        <v>0</v>
      </c>
    </row>
    <row r="22" spans="1:10" ht="15">
      <c r="A22" s="12" t="s">
        <v>84</v>
      </c>
      <c r="B22" s="12">
        <v>1</v>
      </c>
      <c r="C22" s="12">
        <v>8000</v>
      </c>
      <c r="D22" s="12">
        <f t="shared" si="2"/>
        <v>8000</v>
      </c>
      <c r="E22" s="12">
        <v>10</v>
      </c>
      <c r="F22" s="12">
        <v>3500</v>
      </c>
      <c r="G22" s="12">
        <f t="shared" si="3"/>
        <v>800</v>
      </c>
      <c r="H22" s="12">
        <f t="shared" si="1"/>
        <v>800</v>
      </c>
      <c r="I22" s="12">
        <f t="shared" si="4"/>
        <v>8000</v>
      </c>
      <c r="J22" s="4">
        <f t="shared" si="5"/>
        <v>0</v>
      </c>
    </row>
    <row r="23" spans="1:10" ht="15">
      <c r="A23" s="12" t="s">
        <v>85</v>
      </c>
      <c r="B23" s="12">
        <v>1</v>
      </c>
      <c r="C23" s="12">
        <v>16000</v>
      </c>
      <c r="D23" s="12">
        <f t="shared" si="2"/>
        <v>16000</v>
      </c>
      <c r="E23" s="12">
        <v>10</v>
      </c>
      <c r="F23" s="12">
        <v>7000</v>
      </c>
      <c r="G23" s="12">
        <f t="shared" si="3"/>
        <v>1600</v>
      </c>
      <c r="H23" s="12">
        <f t="shared" si="1"/>
        <v>1600</v>
      </c>
      <c r="I23" s="12">
        <f t="shared" si="4"/>
        <v>16000</v>
      </c>
      <c r="J23" s="4">
        <f t="shared" si="5"/>
        <v>0</v>
      </c>
    </row>
    <row r="24" spans="1:10" ht="15">
      <c r="A24" s="28" t="s">
        <v>86</v>
      </c>
      <c r="B24" s="28">
        <v>1</v>
      </c>
      <c r="C24" s="28">
        <v>3000</v>
      </c>
      <c r="D24" s="28">
        <f>(B24*C24)</f>
        <v>3000</v>
      </c>
      <c r="E24" s="28">
        <v>10</v>
      </c>
      <c r="F24" s="28">
        <v>1200</v>
      </c>
      <c r="G24" s="28">
        <f t="shared" si="3"/>
        <v>300</v>
      </c>
      <c r="H24" s="28">
        <f t="shared" si="1"/>
        <v>300</v>
      </c>
      <c r="I24" s="28">
        <f t="shared" si="4"/>
        <v>3000</v>
      </c>
      <c r="J24" s="4">
        <f t="shared" si="5"/>
        <v>0</v>
      </c>
    </row>
    <row r="25" spans="1:10" ht="15">
      <c r="A25" s="61" t="s">
        <v>218</v>
      </c>
      <c r="B25" s="61"/>
      <c r="C25" s="61"/>
      <c r="D25" s="63">
        <v>2400</v>
      </c>
      <c r="E25" s="61"/>
      <c r="F25" s="63">
        <v>500</v>
      </c>
      <c r="G25" s="61"/>
      <c r="H25" s="64">
        <v>800</v>
      </c>
      <c r="I25" s="61"/>
      <c r="J25" s="4">
        <f t="shared" si="5"/>
        <v>0</v>
      </c>
    </row>
    <row r="26" spans="1:10" ht="15">
      <c r="A26" s="62" t="s">
        <v>211</v>
      </c>
      <c r="B26" s="62">
        <v>2</v>
      </c>
      <c r="C26" s="62">
        <v>1200</v>
      </c>
      <c r="D26" s="62">
        <f>(B26*C26)</f>
        <v>2400</v>
      </c>
      <c r="E26" s="62">
        <v>3</v>
      </c>
      <c r="F26" s="62">
        <v>500</v>
      </c>
      <c r="G26" s="62">
        <f t="shared" si="3"/>
        <v>400</v>
      </c>
      <c r="H26" s="62">
        <f>(D26/E26)</f>
        <v>800</v>
      </c>
      <c r="I26" s="62">
        <f t="shared" si="4"/>
        <v>1200</v>
      </c>
      <c r="J26" s="4">
        <f t="shared" si="5"/>
        <v>0</v>
      </c>
    </row>
    <row r="27" spans="1:10" ht="15">
      <c r="A27" s="61" t="s">
        <v>88</v>
      </c>
      <c r="B27" s="61"/>
      <c r="C27" s="61"/>
      <c r="D27" s="63">
        <v>20000</v>
      </c>
      <c r="E27" s="61"/>
      <c r="F27" s="63">
        <v>4500</v>
      </c>
      <c r="G27" s="61"/>
      <c r="H27" s="64">
        <v>4000</v>
      </c>
      <c r="I27" s="61"/>
      <c r="J27" s="4">
        <f t="shared" si="5"/>
        <v>0</v>
      </c>
    </row>
    <row r="28" spans="1:10" ht="15">
      <c r="A28" s="62" t="s">
        <v>89</v>
      </c>
      <c r="B28" s="62">
        <v>1</v>
      </c>
      <c r="C28" s="62">
        <v>20000</v>
      </c>
      <c r="D28" s="62">
        <f t="shared" si="2"/>
        <v>20000</v>
      </c>
      <c r="E28" s="62">
        <v>5</v>
      </c>
      <c r="F28" s="62">
        <v>4500</v>
      </c>
      <c r="G28" s="62">
        <f t="shared" si="3"/>
        <v>4000</v>
      </c>
      <c r="H28" s="62">
        <f>(D28/E28)</f>
        <v>4000</v>
      </c>
      <c r="I28" s="62">
        <f t="shared" si="4"/>
        <v>20000</v>
      </c>
      <c r="J28" s="4">
        <f t="shared" si="5"/>
        <v>0</v>
      </c>
    </row>
    <row r="29" spans="1:10" ht="15">
      <c r="A29" s="61" t="s">
        <v>203</v>
      </c>
      <c r="B29" s="61"/>
      <c r="C29" s="61"/>
      <c r="D29" s="64">
        <f>SUM(D30:D35)</f>
        <v>951</v>
      </c>
      <c r="E29" s="61"/>
      <c r="F29" s="64">
        <f>SUM(F30:F35)</f>
        <v>190</v>
      </c>
      <c r="G29" s="61"/>
      <c r="H29" s="64">
        <f>SUM(H30:H35)</f>
        <v>95.1</v>
      </c>
      <c r="I29" s="61"/>
      <c r="J29" s="4">
        <f t="shared" si="5"/>
        <v>0</v>
      </c>
    </row>
    <row r="30" spans="1:10" ht="15">
      <c r="A30" s="23" t="s">
        <v>208</v>
      </c>
      <c r="B30" s="23">
        <v>5</v>
      </c>
      <c r="C30" s="23">
        <v>90</v>
      </c>
      <c r="D30" s="23">
        <f t="shared" si="2"/>
        <v>450</v>
      </c>
      <c r="E30" s="23">
        <v>10</v>
      </c>
      <c r="F30" s="23">
        <v>60</v>
      </c>
      <c r="G30" s="23">
        <f t="shared" si="3"/>
        <v>9</v>
      </c>
      <c r="H30" s="23">
        <f aca="true" t="shared" si="6" ref="H30:H35">(D30/E30)</f>
        <v>45</v>
      </c>
      <c r="I30" s="23">
        <f t="shared" si="4"/>
        <v>90</v>
      </c>
      <c r="J30" s="4">
        <f t="shared" si="5"/>
        <v>0</v>
      </c>
    </row>
    <row r="31" spans="1:10" ht="15">
      <c r="A31" s="12" t="s">
        <v>206</v>
      </c>
      <c r="B31" s="12">
        <v>2</v>
      </c>
      <c r="C31" s="12">
        <v>35</v>
      </c>
      <c r="D31" s="12">
        <f t="shared" si="2"/>
        <v>70</v>
      </c>
      <c r="E31" s="12">
        <v>10</v>
      </c>
      <c r="F31" s="12">
        <v>25</v>
      </c>
      <c r="G31" s="12">
        <f t="shared" si="3"/>
        <v>3.5</v>
      </c>
      <c r="H31" s="12">
        <f t="shared" si="6"/>
        <v>7</v>
      </c>
      <c r="I31" s="12">
        <f t="shared" si="4"/>
        <v>35</v>
      </c>
      <c r="J31" s="4">
        <f t="shared" si="5"/>
        <v>0</v>
      </c>
    </row>
    <row r="32" spans="1:10" ht="15">
      <c r="A32" s="12" t="s">
        <v>212</v>
      </c>
      <c r="B32" s="12">
        <v>5</v>
      </c>
      <c r="C32" s="12">
        <v>15</v>
      </c>
      <c r="D32" s="12">
        <f t="shared" si="2"/>
        <v>75</v>
      </c>
      <c r="E32" s="12">
        <v>10</v>
      </c>
      <c r="F32" s="12">
        <v>10</v>
      </c>
      <c r="G32" s="12">
        <f t="shared" si="3"/>
        <v>1.5</v>
      </c>
      <c r="H32" s="12">
        <f t="shared" si="6"/>
        <v>7.5</v>
      </c>
      <c r="I32" s="12">
        <f t="shared" si="4"/>
        <v>15</v>
      </c>
      <c r="J32" s="4">
        <f t="shared" si="5"/>
        <v>0</v>
      </c>
    </row>
    <row r="33" spans="1:10" ht="15">
      <c r="A33" s="12" t="s">
        <v>213</v>
      </c>
      <c r="B33" s="12">
        <v>2</v>
      </c>
      <c r="C33" s="12">
        <v>43</v>
      </c>
      <c r="D33" s="12">
        <f t="shared" si="2"/>
        <v>86</v>
      </c>
      <c r="E33" s="12">
        <v>10</v>
      </c>
      <c r="F33" s="12">
        <v>25</v>
      </c>
      <c r="G33" s="12">
        <f t="shared" si="3"/>
        <v>4.3</v>
      </c>
      <c r="H33" s="12">
        <f t="shared" si="6"/>
        <v>8.6</v>
      </c>
      <c r="I33" s="12">
        <f t="shared" si="4"/>
        <v>43</v>
      </c>
      <c r="J33" s="4">
        <f t="shared" si="5"/>
        <v>0</v>
      </c>
    </row>
    <row r="34" spans="1:10" ht="15">
      <c r="A34" s="12" t="s">
        <v>205</v>
      </c>
      <c r="B34" s="12">
        <v>2</v>
      </c>
      <c r="C34" s="12">
        <v>110</v>
      </c>
      <c r="D34" s="12">
        <f t="shared" si="2"/>
        <v>220</v>
      </c>
      <c r="E34" s="12">
        <v>10</v>
      </c>
      <c r="F34" s="12">
        <v>55</v>
      </c>
      <c r="G34" s="12">
        <f t="shared" si="3"/>
        <v>11</v>
      </c>
      <c r="H34" s="12">
        <f t="shared" si="6"/>
        <v>22</v>
      </c>
      <c r="I34" s="12">
        <f t="shared" si="4"/>
        <v>110</v>
      </c>
      <c r="J34" s="4">
        <f t="shared" si="5"/>
        <v>0</v>
      </c>
    </row>
    <row r="35" spans="1:10" ht="15">
      <c r="A35" s="12" t="s">
        <v>207</v>
      </c>
      <c r="B35" s="12">
        <v>2</v>
      </c>
      <c r="C35" s="12">
        <v>25</v>
      </c>
      <c r="D35" s="12">
        <f t="shared" si="2"/>
        <v>50</v>
      </c>
      <c r="E35" s="12">
        <v>10</v>
      </c>
      <c r="F35" s="12">
        <v>15</v>
      </c>
      <c r="G35" s="12">
        <f t="shared" si="3"/>
        <v>2.5</v>
      </c>
      <c r="H35" s="12">
        <f t="shared" si="6"/>
        <v>5</v>
      </c>
      <c r="I35" s="12">
        <f t="shared" si="4"/>
        <v>25</v>
      </c>
      <c r="J35" s="4">
        <f t="shared" si="5"/>
        <v>0</v>
      </c>
    </row>
    <row r="36" spans="3:8" ht="15">
      <c r="C36" s="35" t="s">
        <v>215</v>
      </c>
      <c r="D36" s="88">
        <f>SUM(D13,D25,D27,D29)</f>
        <v>107001</v>
      </c>
      <c r="E36" s="35" t="s">
        <v>216</v>
      </c>
      <c r="F36" s="88">
        <f>SUM(F13,F25,F27,F29)</f>
        <v>35770</v>
      </c>
      <c r="G36" s="35" t="s">
        <v>214</v>
      </c>
      <c r="H36" s="88">
        <f>SUM(H13,H25,H27,H29)</f>
        <v>14678.433333333332</v>
      </c>
    </row>
    <row r="39" spans="1:11" ht="19.5" thickBot="1">
      <c r="A39" s="226" t="s">
        <v>264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</row>
    <row r="40" spans="1:11" ht="15.75" thickBot="1">
      <c r="A40" s="59" t="s">
        <v>70</v>
      </c>
      <c r="B40" s="35">
        <v>1</v>
      </c>
      <c r="C40" s="35">
        <v>2</v>
      </c>
      <c r="D40" s="35">
        <v>3</v>
      </c>
      <c r="E40" s="35">
        <v>4</v>
      </c>
      <c r="F40" s="35">
        <v>5</v>
      </c>
      <c r="G40" s="35">
        <v>6</v>
      </c>
      <c r="H40" s="35">
        <v>7</v>
      </c>
      <c r="I40" s="35">
        <v>8</v>
      </c>
      <c r="J40" s="35">
        <v>9</v>
      </c>
      <c r="K40" s="35">
        <v>10</v>
      </c>
    </row>
    <row r="41" spans="1:11" ht="15">
      <c r="A41" s="12" t="s">
        <v>75</v>
      </c>
      <c r="B41" s="12"/>
      <c r="C41" s="12"/>
      <c r="D41" s="12"/>
      <c r="E41" s="12"/>
      <c r="F41" s="12"/>
      <c r="G41" s="12"/>
      <c r="H41" s="12"/>
      <c r="I41" s="12"/>
      <c r="J41" s="12"/>
      <c r="K41" s="12">
        <v>30000</v>
      </c>
    </row>
    <row r="42" spans="1:11" ht="15">
      <c r="A42" s="12" t="s">
        <v>76</v>
      </c>
      <c r="B42" s="12"/>
      <c r="C42" s="12"/>
      <c r="D42" s="12"/>
      <c r="E42" s="12"/>
      <c r="F42" s="12"/>
      <c r="G42" s="12"/>
      <c r="H42" s="12"/>
      <c r="I42" s="12"/>
      <c r="J42" s="12"/>
      <c r="K42" s="12">
        <v>5000</v>
      </c>
    </row>
    <row r="43" spans="1:11" ht="15">
      <c r="A43" s="12" t="s">
        <v>77</v>
      </c>
      <c r="B43" s="12"/>
      <c r="C43" s="12"/>
      <c r="D43" s="12"/>
      <c r="E43" s="12"/>
      <c r="F43" s="12">
        <v>600</v>
      </c>
      <c r="G43" s="12"/>
      <c r="H43" s="12"/>
      <c r="I43" s="12"/>
      <c r="J43" s="12"/>
      <c r="K43" s="12"/>
    </row>
    <row r="44" spans="1:11" ht="15">
      <c r="A44" s="12" t="s">
        <v>78</v>
      </c>
      <c r="B44" s="12"/>
      <c r="C44" s="12"/>
      <c r="D44" s="12"/>
      <c r="E44" s="12"/>
      <c r="F44" s="12">
        <v>1750</v>
      </c>
      <c r="G44" s="12"/>
      <c r="H44" s="12"/>
      <c r="I44" s="12"/>
      <c r="J44" s="12"/>
      <c r="K44" s="12"/>
    </row>
    <row r="45" spans="1:11" ht="15">
      <c r="A45" s="12" t="s">
        <v>79</v>
      </c>
      <c r="B45" s="12"/>
      <c r="C45" s="12"/>
      <c r="D45" s="12"/>
      <c r="E45" s="12"/>
      <c r="F45" s="12">
        <v>900</v>
      </c>
      <c r="G45" s="12"/>
      <c r="H45" s="12"/>
      <c r="I45" s="12"/>
      <c r="J45" s="12"/>
      <c r="K45" s="12"/>
    </row>
    <row r="46" spans="1:11" ht="15">
      <c r="A46" s="12" t="s">
        <v>80</v>
      </c>
      <c r="B46" s="12"/>
      <c r="C46" s="12"/>
      <c r="D46" s="12"/>
      <c r="E46" s="12"/>
      <c r="F46" s="12"/>
      <c r="G46" s="12"/>
      <c r="H46" s="12"/>
      <c r="I46" s="12"/>
      <c r="J46" s="12"/>
      <c r="K46" s="12">
        <v>14000</v>
      </c>
    </row>
    <row r="47" spans="1:11" ht="15">
      <c r="A47" s="12" t="s">
        <v>81</v>
      </c>
      <c r="B47" s="12"/>
      <c r="C47" s="12"/>
      <c r="D47" s="12">
        <v>4000</v>
      </c>
      <c r="E47" s="12"/>
      <c r="F47" s="12"/>
      <c r="G47" s="12"/>
      <c r="H47" s="12"/>
      <c r="I47" s="12"/>
      <c r="J47" s="12"/>
      <c r="K47" s="12"/>
    </row>
    <row r="48" spans="1:11" ht="15">
      <c r="A48" s="12" t="s">
        <v>83</v>
      </c>
      <c r="B48" s="12"/>
      <c r="C48" s="12">
        <v>400</v>
      </c>
      <c r="D48" s="12"/>
      <c r="E48" s="12"/>
      <c r="F48" s="12"/>
      <c r="G48" s="12"/>
      <c r="H48" s="12"/>
      <c r="I48" s="12"/>
      <c r="J48" s="12"/>
      <c r="K48" s="12"/>
    </row>
    <row r="49" spans="1:11" ht="15">
      <c r="A49" s="12" t="s">
        <v>84</v>
      </c>
      <c r="B49" s="12"/>
      <c r="C49" s="12"/>
      <c r="D49" s="12"/>
      <c r="E49" s="12"/>
      <c r="F49" s="12"/>
      <c r="G49" s="12"/>
      <c r="H49" s="12"/>
      <c r="I49" s="12"/>
      <c r="J49" s="12"/>
      <c r="K49" s="12">
        <v>8000</v>
      </c>
    </row>
    <row r="50" spans="1:11" ht="15">
      <c r="A50" s="12" t="s">
        <v>85</v>
      </c>
      <c r="B50" s="12"/>
      <c r="C50" s="12"/>
      <c r="D50" s="12"/>
      <c r="E50" s="12"/>
      <c r="F50" s="12"/>
      <c r="G50" s="12"/>
      <c r="H50" s="12"/>
      <c r="I50" s="12"/>
      <c r="J50" s="12"/>
      <c r="K50" s="12">
        <v>16000</v>
      </c>
    </row>
    <row r="51" spans="1:11" ht="15">
      <c r="A51" s="28" t="s">
        <v>86</v>
      </c>
      <c r="B51" s="12"/>
      <c r="C51" s="12"/>
      <c r="D51" s="12"/>
      <c r="E51" s="12"/>
      <c r="F51" s="12"/>
      <c r="G51" s="12"/>
      <c r="H51" s="12"/>
      <c r="I51" s="12"/>
      <c r="J51" s="12"/>
      <c r="K51" s="12">
        <v>3000</v>
      </c>
    </row>
    <row r="52" spans="1:11" ht="15">
      <c r="A52" s="61" t="s">
        <v>218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62" t="s">
        <v>211</v>
      </c>
      <c r="B53" s="12"/>
      <c r="C53" s="12"/>
      <c r="D53" s="12">
        <v>2400</v>
      </c>
      <c r="E53" s="12"/>
      <c r="F53" s="12"/>
      <c r="G53" s="12"/>
      <c r="H53" s="12"/>
      <c r="I53" s="12"/>
      <c r="J53" s="12"/>
      <c r="K53" s="12"/>
    </row>
    <row r="54" spans="1:11" ht="15">
      <c r="A54" s="61" t="s">
        <v>88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62" t="s">
        <v>89</v>
      </c>
      <c r="B55" s="12"/>
      <c r="C55" s="12"/>
      <c r="D55" s="12"/>
      <c r="E55" s="12"/>
      <c r="F55" s="12">
        <v>20000</v>
      </c>
      <c r="G55" s="12"/>
      <c r="H55" s="12"/>
      <c r="I55" s="12"/>
      <c r="J55" s="12"/>
      <c r="K55" s="12"/>
    </row>
    <row r="56" spans="1:11" ht="15">
      <c r="A56" s="61" t="s">
        <v>203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">
      <c r="A57" s="12" t="s">
        <v>208</v>
      </c>
      <c r="B57" s="12"/>
      <c r="C57" s="12"/>
      <c r="D57" s="12"/>
      <c r="E57" s="12"/>
      <c r="F57" s="12"/>
      <c r="G57" s="12"/>
      <c r="H57" s="12"/>
      <c r="I57" s="12"/>
      <c r="J57" s="12"/>
      <c r="K57" s="12">
        <v>450</v>
      </c>
    </row>
    <row r="58" spans="1:11" ht="15">
      <c r="A58" s="12" t="s">
        <v>206</v>
      </c>
      <c r="B58" s="12"/>
      <c r="C58" s="12"/>
      <c r="D58" s="12"/>
      <c r="E58" s="12"/>
      <c r="F58" s="12"/>
      <c r="G58" s="12"/>
      <c r="H58" s="12"/>
      <c r="I58" s="12"/>
      <c r="J58" s="12"/>
      <c r="K58" s="12">
        <v>70</v>
      </c>
    </row>
    <row r="59" spans="1:11" ht="15">
      <c r="A59" s="12" t="s">
        <v>212</v>
      </c>
      <c r="B59" s="12"/>
      <c r="C59" s="12"/>
      <c r="D59" s="12"/>
      <c r="E59" s="12"/>
      <c r="F59" s="12"/>
      <c r="G59" s="12"/>
      <c r="H59" s="12"/>
      <c r="I59" s="12"/>
      <c r="J59" s="12"/>
      <c r="K59" s="12">
        <v>75</v>
      </c>
    </row>
    <row r="60" spans="1:11" ht="15">
      <c r="A60" s="12" t="s">
        <v>213</v>
      </c>
      <c r="B60" s="12"/>
      <c r="C60" s="12"/>
      <c r="D60" s="12"/>
      <c r="E60" s="12"/>
      <c r="F60" s="12"/>
      <c r="G60" s="12"/>
      <c r="H60" s="12"/>
      <c r="I60" s="12"/>
      <c r="J60" s="12"/>
      <c r="K60" s="12">
        <v>86</v>
      </c>
    </row>
    <row r="61" spans="1:11" ht="15">
      <c r="A61" s="12" t="s">
        <v>205</v>
      </c>
      <c r="B61" s="12"/>
      <c r="C61" s="12"/>
      <c r="D61" s="12"/>
      <c r="E61" s="12"/>
      <c r="F61" s="12"/>
      <c r="G61" s="12"/>
      <c r="H61" s="12"/>
      <c r="I61" s="12"/>
      <c r="J61" s="12"/>
      <c r="K61" s="12">
        <v>220</v>
      </c>
    </row>
    <row r="62" spans="1:11" ht="15">
      <c r="A62" s="12" t="s">
        <v>207</v>
      </c>
      <c r="B62" s="12"/>
      <c r="C62" s="12"/>
      <c r="D62" s="12"/>
      <c r="E62" s="12"/>
      <c r="F62" s="12"/>
      <c r="G62" s="12"/>
      <c r="H62" s="12"/>
      <c r="I62" s="12"/>
      <c r="J62" s="12"/>
      <c r="K62" s="12">
        <v>50</v>
      </c>
    </row>
    <row r="63" spans="1:11" ht="15">
      <c r="A63" s="61" t="s">
        <v>263</v>
      </c>
      <c r="B63" s="60">
        <f>SUM(B41:B62)</f>
        <v>0</v>
      </c>
      <c r="C63" s="60">
        <f aca="true" t="shared" si="7" ref="C63:K63">SUM(C41:C62)</f>
        <v>400</v>
      </c>
      <c r="D63" s="60">
        <f t="shared" si="7"/>
        <v>6400</v>
      </c>
      <c r="E63" s="60">
        <f t="shared" si="7"/>
        <v>0</v>
      </c>
      <c r="F63" s="60">
        <f t="shared" si="7"/>
        <v>23250</v>
      </c>
      <c r="G63" s="60">
        <f t="shared" si="7"/>
        <v>0</v>
      </c>
      <c r="H63" s="60">
        <f t="shared" si="7"/>
        <v>0</v>
      </c>
      <c r="I63" s="60">
        <f t="shared" si="7"/>
        <v>0</v>
      </c>
      <c r="J63" s="60">
        <f t="shared" si="7"/>
        <v>0</v>
      </c>
      <c r="K63" s="60">
        <f t="shared" si="7"/>
        <v>76951</v>
      </c>
    </row>
    <row r="75" spans="1:11" ht="19.5" thickBot="1">
      <c r="A75" s="226" t="s">
        <v>265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5.75" thickBot="1">
      <c r="A76" s="59" t="s">
        <v>70</v>
      </c>
      <c r="B76" s="35">
        <v>1</v>
      </c>
      <c r="C76" s="35">
        <v>2</v>
      </c>
      <c r="D76" s="35">
        <v>3</v>
      </c>
      <c r="E76" s="35">
        <v>4</v>
      </c>
      <c r="F76" s="35">
        <v>5</v>
      </c>
      <c r="G76" s="35">
        <v>6</v>
      </c>
      <c r="H76" s="35">
        <v>7</v>
      </c>
      <c r="I76" s="35">
        <v>8</v>
      </c>
      <c r="J76" s="35">
        <v>9</v>
      </c>
      <c r="K76" s="35">
        <v>10</v>
      </c>
    </row>
    <row r="77" spans="1:11" ht="15">
      <c r="A77" s="12" t="s">
        <v>75</v>
      </c>
      <c r="B77" s="12"/>
      <c r="C77" s="12"/>
      <c r="D77" s="12"/>
      <c r="E77" s="12"/>
      <c r="F77" s="12"/>
      <c r="G77" s="12"/>
      <c r="H77" s="12"/>
      <c r="I77" s="12"/>
      <c r="J77" s="12"/>
      <c r="K77" s="12">
        <v>8000</v>
      </c>
    </row>
    <row r="78" spans="1:11" ht="15">
      <c r="A78" s="12" t="s">
        <v>76</v>
      </c>
      <c r="B78" s="12"/>
      <c r="C78" s="12"/>
      <c r="D78" s="12"/>
      <c r="E78" s="12"/>
      <c r="F78" s="12"/>
      <c r="G78" s="12"/>
      <c r="H78" s="12"/>
      <c r="I78" s="12"/>
      <c r="J78" s="12"/>
      <c r="K78" s="12">
        <v>2000</v>
      </c>
    </row>
    <row r="79" spans="1:11" ht="15">
      <c r="A79" s="12" t="s">
        <v>77</v>
      </c>
      <c r="B79" s="12"/>
      <c r="C79" s="12"/>
      <c r="D79" s="12"/>
      <c r="E79" s="12"/>
      <c r="F79" s="12">
        <v>50</v>
      </c>
      <c r="G79" s="12"/>
      <c r="H79" s="12"/>
      <c r="I79" s="12"/>
      <c r="J79" s="12"/>
      <c r="K79" s="12"/>
    </row>
    <row r="80" spans="1:11" ht="15">
      <c r="A80" s="12" t="s">
        <v>78</v>
      </c>
      <c r="B80" s="12"/>
      <c r="C80" s="12"/>
      <c r="D80" s="12"/>
      <c r="E80" s="12"/>
      <c r="F80" s="12">
        <v>150</v>
      </c>
      <c r="G80" s="12"/>
      <c r="H80" s="12"/>
      <c r="I80" s="12"/>
      <c r="J80" s="12"/>
      <c r="K80" s="12"/>
    </row>
    <row r="81" spans="1:11" ht="15">
      <c r="A81" s="12" t="s">
        <v>79</v>
      </c>
      <c r="B81" s="12"/>
      <c r="C81" s="12"/>
      <c r="D81" s="12"/>
      <c r="E81" s="12"/>
      <c r="F81" s="12">
        <v>150</v>
      </c>
      <c r="G81" s="12"/>
      <c r="H81" s="12"/>
      <c r="I81" s="12"/>
      <c r="J81" s="12"/>
      <c r="K81" s="12"/>
    </row>
    <row r="82" spans="1:11" ht="15">
      <c r="A82" s="12" t="s">
        <v>80</v>
      </c>
      <c r="B82" s="12"/>
      <c r="C82" s="12"/>
      <c r="D82" s="12"/>
      <c r="E82" s="12"/>
      <c r="F82" s="12"/>
      <c r="G82" s="12"/>
      <c r="H82" s="12"/>
      <c r="I82" s="12"/>
      <c r="J82" s="12"/>
      <c r="K82" s="12">
        <v>7000</v>
      </c>
    </row>
    <row r="83" spans="1:11" ht="15">
      <c r="A83" s="12" t="s">
        <v>81</v>
      </c>
      <c r="B83" s="12"/>
      <c r="C83" s="12"/>
      <c r="D83" s="12">
        <v>1500</v>
      </c>
      <c r="E83" s="12"/>
      <c r="F83" s="12"/>
      <c r="G83" s="12"/>
      <c r="H83" s="12"/>
      <c r="I83" s="12"/>
      <c r="J83" s="12"/>
      <c r="K83" s="12"/>
    </row>
    <row r="84" spans="1:11" ht="15">
      <c r="A84" s="12" t="s">
        <v>83</v>
      </c>
      <c r="B84" s="12"/>
      <c r="C84" s="12">
        <v>30</v>
      </c>
      <c r="D84" s="12"/>
      <c r="E84" s="12"/>
      <c r="F84" s="12"/>
      <c r="G84" s="12"/>
      <c r="H84" s="12"/>
      <c r="I84" s="12"/>
      <c r="J84" s="12"/>
      <c r="K84" s="12"/>
    </row>
    <row r="85" spans="1:11" ht="15">
      <c r="A85" s="12" t="s">
        <v>84</v>
      </c>
      <c r="B85" s="12"/>
      <c r="C85" s="12"/>
      <c r="D85" s="12"/>
      <c r="E85" s="12"/>
      <c r="F85" s="12"/>
      <c r="G85" s="12"/>
      <c r="H85" s="12"/>
      <c r="I85" s="12"/>
      <c r="J85" s="12"/>
      <c r="K85" s="12">
        <v>3500</v>
      </c>
    </row>
    <row r="86" spans="1:11" ht="15">
      <c r="A86" s="12" t="s">
        <v>85</v>
      </c>
      <c r="B86" s="12"/>
      <c r="C86" s="12"/>
      <c r="D86" s="12"/>
      <c r="E86" s="12"/>
      <c r="F86" s="12"/>
      <c r="G86" s="12"/>
      <c r="H86" s="12"/>
      <c r="I86" s="12"/>
      <c r="J86" s="12"/>
      <c r="K86" s="12">
        <v>7000</v>
      </c>
    </row>
    <row r="87" spans="1:11" ht="15">
      <c r="A87" s="28" t="s">
        <v>86</v>
      </c>
      <c r="B87" s="12"/>
      <c r="C87" s="12"/>
      <c r="D87" s="12"/>
      <c r="E87" s="12"/>
      <c r="F87" s="12"/>
      <c r="G87" s="12"/>
      <c r="H87" s="12"/>
      <c r="I87" s="12"/>
      <c r="J87" s="12"/>
      <c r="K87" s="12">
        <v>1200</v>
      </c>
    </row>
    <row r="88" spans="1:11" ht="15">
      <c r="A88" s="61" t="s">
        <v>218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">
      <c r="A89" s="62" t="s">
        <v>211</v>
      </c>
      <c r="B89" s="12"/>
      <c r="C89" s="12"/>
      <c r="D89" s="12">
        <v>500</v>
      </c>
      <c r="E89" s="12"/>
      <c r="F89" s="12"/>
      <c r="G89" s="12"/>
      <c r="H89" s="12"/>
      <c r="I89" s="12"/>
      <c r="J89" s="12"/>
      <c r="K89" s="12"/>
    </row>
    <row r="90" spans="1:11" ht="15">
      <c r="A90" s="61" t="s">
        <v>88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5">
      <c r="A91" s="62" t="s">
        <v>89</v>
      </c>
      <c r="B91" s="12"/>
      <c r="C91" s="12"/>
      <c r="D91" s="12"/>
      <c r="E91" s="12"/>
      <c r="F91" s="12">
        <v>4500</v>
      </c>
      <c r="G91" s="12"/>
      <c r="H91" s="12"/>
      <c r="I91" s="12"/>
      <c r="J91" s="12"/>
      <c r="K91" s="12"/>
    </row>
    <row r="92" spans="1:11" ht="15">
      <c r="A92" s="61" t="s">
        <v>203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5">
      <c r="A93" s="12" t="s">
        <v>208</v>
      </c>
      <c r="B93" s="12"/>
      <c r="C93" s="12"/>
      <c r="D93" s="12"/>
      <c r="E93" s="12"/>
      <c r="F93" s="12">
        <v>60</v>
      </c>
      <c r="G93" s="12"/>
      <c r="H93" s="12"/>
      <c r="I93" s="12"/>
      <c r="J93" s="12"/>
      <c r="K93" s="12"/>
    </row>
    <row r="94" spans="1:11" ht="15">
      <c r="A94" s="12" t="s">
        <v>206</v>
      </c>
      <c r="B94" s="12"/>
      <c r="C94" s="12"/>
      <c r="D94" s="12"/>
      <c r="E94" s="12"/>
      <c r="F94" s="12">
        <v>25</v>
      </c>
      <c r="G94" s="12"/>
      <c r="H94" s="12"/>
      <c r="I94" s="12"/>
      <c r="J94" s="12"/>
      <c r="K94" s="12"/>
    </row>
    <row r="95" spans="1:11" ht="15">
      <c r="A95" s="12" t="s">
        <v>212</v>
      </c>
      <c r="B95" s="12"/>
      <c r="C95" s="12"/>
      <c r="D95" s="12"/>
      <c r="E95" s="12"/>
      <c r="F95" s="12">
        <v>10</v>
      </c>
      <c r="G95" s="12"/>
      <c r="H95" s="12"/>
      <c r="I95" s="12"/>
      <c r="J95" s="12"/>
      <c r="K95" s="12"/>
    </row>
    <row r="96" spans="1:11" ht="15">
      <c r="A96" s="12" t="s">
        <v>213</v>
      </c>
      <c r="B96" s="12"/>
      <c r="C96" s="12"/>
      <c r="D96" s="12"/>
      <c r="E96" s="12"/>
      <c r="F96" s="12">
        <v>25</v>
      </c>
      <c r="G96" s="12"/>
      <c r="H96" s="12"/>
      <c r="I96" s="12"/>
      <c r="J96" s="12"/>
      <c r="K96" s="12"/>
    </row>
    <row r="97" spans="1:11" ht="15">
      <c r="A97" s="12" t="s">
        <v>205</v>
      </c>
      <c r="B97" s="12"/>
      <c r="C97" s="12"/>
      <c r="D97" s="12"/>
      <c r="E97" s="12"/>
      <c r="F97" s="12">
        <v>55</v>
      </c>
      <c r="G97" s="12"/>
      <c r="H97" s="12"/>
      <c r="I97" s="12"/>
      <c r="J97" s="12"/>
      <c r="K97" s="12"/>
    </row>
    <row r="98" spans="1:11" ht="15">
      <c r="A98" s="12" t="s">
        <v>207</v>
      </c>
      <c r="B98" s="12"/>
      <c r="C98" s="12"/>
      <c r="D98" s="12"/>
      <c r="E98" s="12"/>
      <c r="F98" s="12">
        <v>15</v>
      </c>
      <c r="G98" s="12"/>
      <c r="H98" s="12"/>
      <c r="I98" s="12"/>
      <c r="J98" s="12"/>
      <c r="K98" s="12"/>
    </row>
    <row r="99" spans="1:11" ht="15">
      <c r="A99" s="61" t="s">
        <v>263</v>
      </c>
      <c r="B99" s="60">
        <f aca="true" t="shared" si="8" ref="B99:K99">SUM(B77:B97)</f>
        <v>0</v>
      </c>
      <c r="C99" s="60">
        <f t="shared" si="8"/>
        <v>30</v>
      </c>
      <c r="D99" s="60">
        <f t="shared" si="8"/>
        <v>2000</v>
      </c>
      <c r="E99" s="60">
        <f t="shared" si="8"/>
        <v>0</v>
      </c>
      <c r="F99" s="60">
        <f t="shared" si="8"/>
        <v>5025</v>
      </c>
      <c r="G99" s="60">
        <f t="shared" si="8"/>
        <v>0</v>
      </c>
      <c r="H99" s="60">
        <f t="shared" si="8"/>
        <v>0</v>
      </c>
      <c r="I99" s="60">
        <f t="shared" si="8"/>
        <v>0</v>
      </c>
      <c r="J99" s="60">
        <f t="shared" si="8"/>
        <v>0</v>
      </c>
      <c r="K99" s="60">
        <f t="shared" si="8"/>
        <v>28700</v>
      </c>
    </row>
  </sheetData>
  <mergeCells count="4">
    <mergeCell ref="A1:E1"/>
    <mergeCell ref="A39:K39"/>
    <mergeCell ref="A75:K75"/>
    <mergeCell ref="A11:J11"/>
  </mergeCells>
  <printOptions horizontalCentered="1" verticalCentered="1"/>
  <pageMargins left="1.2598425196850394" right="0.7086614173228347" top="1.04" bottom="0.7480314960629921" header="0.31496062992125984" footer="0.31496062992125984"/>
  <pageSetup horizontalDpi="300" verticalDpi="300" orientation="landscape" paperSize="9" scale="85" r:id="rId2"/>
  <ignoredErrors>
    <ignoredError sqref="B63:K63" formulaRange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2:K99"/>
  <sheetViews>
    <sheetView workbookViewId="0" topLeftCell="A43">
      <selection activeCell="E54" sqref="E54"/>
    </sheetView>
  </sheetViews>
  <sheetFormatPr defaultColWidth="11.421875" defaultRowHeight="15"/>
  <cols>
    <col min="1" max="1" width="30.00390625" style="0" customWidth="1"/>
    <col min="2" max="2" width="14.57421875" style="0" customWidth="1"/>
    <col min="3" max="3" width="13.421875" style="0" customWidth="1"/>
    <col min="4" max="4" width="10.7109375" style="0" bestFit="1" customWidth="1"/>
    <col min="5" max="5" width="13.57421875" style="0" bestFit="1" customWidth="1"/>
    <col min="6" max="6" width="17.140625" style="0" customWidth="1"/>
    <col min="13" max="13" width="13.00390625" style="0" bestFit="1" customWidth="1"/>
  </cols>
  <sheetData>
    <row r="2" spans="1:6" ht="15">
      <c r="A2" t="s">
        <v>295</v>
      </c>
      <c r="F2" s="16"/>
    </row>
    <row r="3" spans="1:11" ht="18.75">
      <c r="A3" s="221" t="s">
        <v>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3:6" ht="18.75">
      <c r="C4" s="2"/>
      <c r="D4" s="2"/>
      <c r="E4" s="2"/>
      <c r="F4" s="2"/>
    </row>
    <row r="5" spans="1:11" ht="15">
      <c r="A5" s="41"/>
      <c r="B5" s="42" t="s">
        <v>2</v>
      </c>
      <c r="C5" s="42" t="s">
        <v>3</v>
      </c>
      <c r="D5" s="42" t="s">
        <v>4</v>
      </c>
      <c r="E5" s="42" t="s">
        <v>36</v>
      </c>
      <c r="F5" s="42" t="s">
        <v>6</v>
      </c>
      <c r="G5" s="42" t="s">
        <v>92</v>
      </c>
      <c r="H5" s="42" t="s">
        <v>93</v>
      </c>
      <c r="I5" s="42" t="s">
        <v>7</v>
      </c>
      <c r="J5" s="42" t="s">
        <v>8</v>
      </c>
      <c r="K5" s="42" t="s">
        <v>9</v>
      </c>
    </row>
    <row r="6" spans="1:11" ht="15">
      <c r="A6" s="45" t="s">
        <v>31</v>
      </c>
      <c r="B6" s="12">
        <v>264</v>
      </c>
      <c r="C6" s="12">
        <f>(B6*1.05)</f>
        <v>277.2</v>
      </c>
      <c r="D6" s="12">
        <f aca="true" t="shared" si="0" ref="D6:F6">(C6*1.05)</f>
        <v>291.06</v>
      </c>
      <c r="E6" s="131">
        <f t="shared" si="0"/>
        <v>305.613</v>
      </c>
      <c r="F6" s="131">
        <f t="shared" si="0"/>
        <v>320.89365000000004</v>
      </c>
      <c r="G6" s="131">
        <f aca="true" t="shared" si="1" ref="G6">(F6*1.05)</f>
        <v>336.93833250000006</v>
      </c>
      <c r="H6" s="131">
        <f aca="true" t="shared" si="2" ref="H6">(G6*1.05)</f>
        <v>353.78524912500006</v>
      </c>
      <c r="I6" s="131">
        <f aca="true" t="shared" si="3" ref="I6">(H6*1.05)</f>
        <v>371.47451158125006</v>
      </c>
      <c r="J6" s="131">
        <f aca="true" t="shared" si="4" ref="J6">(I6*1.05)</f>
        <v>390.04823716031257</v>
      </c>
      <c r="K6" s="131">
        <f aca="true" t="shared" si="5" ref="K6">(J6*1.05)</f>
        <v>409.5506490183282</v>
      </c>
    </row>
    <row r="7" spans="1:11" ht="26.25" customHeight="1">
      <c r="A7" s="45" t="s">
        <v>34</v>
      </c>
      <c r="B7" s="12">
        <v>0.05</v>
      </c>
      <c r="C7" s="12">
        <v>0.05</v>
      </c>
      <c r="D7" s="12">
        <v>0.05</v>
      </c>
      <c r="E7" s="12">
        <v>0.05</v>
      </c>
      <c r="F7" s="12">
        <v>0.05</v>
      </c>
      <c r="G7" s="12">
        <v>0.05</v>
      </c>
      <c r="H7" s="12">
        <v>0.05</v>
      </c>
      <c r="I7" s="12">
        <v>0.05</v>
      </c>
      <c r="J7" s="12">
        <v>0.05</v>
      </c>
      <c r="K7" s="12">
        <v>0.05</v>
      </c>
    </row>
    <row r="8" spans="1:11" ht="19.5" customHeight="1">
      <c r="A8" s="45" t="s">
        <v>32</v>
      </c>
      <c r="B8" s="12">
        <f>B7*B6</f>
        <v>13.200000000000001</v>
      </c>
      <c r="C8" s="12">
        <f aca="true" t="shared" si="6" ref="C8:K8">C7*C6</f>
        <v>13.86</v>
      </c>
      <c r="D8" s="131">
        <f t="shared" si="6"/>
        <v>14.553</v>
      </c>
      <c r="E8" s="131">
        <f t="shared" si="6"/>
        <v>15.280650000000001</v>
      </c>
      <c r="F8" s="131">
        <f t="shared" si="6"/>
        <v>16.044682500000004</v>
      </c>
      <c r="G8" s="131">
        <f t="shared" si="6"/>
        <v>16.846916625000002</v>
      </c>
      <c r="H8" s="131">
        <f t="shared" si="6"/>
        <v>17.689262456250002</v>
      </c>
      <c r="I8" s="131">
        <f t="shared" si="6"/>
        <v>18.573725579062504</v>
      </c>
      <c r="J8" s="131">
        <f t="shared" si="6"/>
        <v>19.50241185801563</v>
      </c>
      <c r="K8" s="131">
        <f t="shared" si="6"/>
        <v>20.477532450916414</v>
      </c>
    </row>
    <row r="9" spans="1:11" ht="19.5" customHeight="1">
      <c r="A9" s="45" t="s">
        <v>37</v>
      </c>
      <c r="B9" s="12">
        <v>0.71</v>
      </c>
      <c r="C9" s="12">
        <v>0.71</v>
      </c>
      <c r="D9" s="12">
        <v>0.71</v>
      </c>
      <c r="E9" s="12">
        <v>0.71</v>
      </c>
      <c r="F9" s="12">
        <v>0.71</v>
      </c>
      <c r="G9" s="12">
        <v>0.71</v>
      </c>
      <c r="H9" s="12">
        <v>0.71</v>
      </c>
      <c r="I9" s="12">
        <v>0.71</v>
      </c>
      <c r="J9" s="12">
        <v>0.71</v>
      </c>
      <c r="K9" s="12">
        <v>0.71</v>
      </c>
    </row>
    <row r="10" spans="1:11" ht="18" customHeight="1">
      <c r="A10" s="45" t="s">
        <v>33</v>
      </c>
      <c r="B10" s="39">
        <f>B9*B8</f>
        <v>9.372</v>
      </c>
      <c r="C10" s="39">
        <f aca="true" t="shared" si="7" ref="C10:K10">C9*C8</f>
        <v>9.840599999999998</v>
      </c>
      <c r="D10" s="39">
        <f t="shared" si="7"/>
        <v>10.33263</v>
      </c>
      <c r="E10" s="39">
        <f t="shared" si="7"/>
        <v>10.8492615</v>
      </c>
      <c r="F10" s="39">
        <f t="shared" si="7"/>
        <v>11.391724575000001</v>
      </c>
      <c r="G10" s="39">
        <f t="shared" si="7"/>
        <v>11.96131080375</v>
      </c>
      <c r="H10" s="39">
        <f t="shared" si="7"/>
        <v>12.559376343937501</v>
      </c>
      <c r="I10" s="39">
        <f t="shared" si="7"/>
        <v>13.187345161134377</v>
      </c>
      <c r="J10" s="39">
        <f t="shared" si="7"/>
        <v>13.846712419191096</v>
      </c>
      <c r="K10" s="39">
        <f t="shared" si="7"/>
        <v>14.539048040150654</v>
      </c>
    </row>
    <row r="11" spans="1:11" ht="21.75" customHeight="1">
      <c r="A11" s="45" t="s">
        <v>35</v>
      </c>
      <c r="B11" s="39">
        <f>$G$72</f>
        <v>52.596858638743456</v>
      </c>
      <c r="C11" s="39">
        <f aca="true" t="shared" si="8" ref="C11:K11">$G$72</f>
        <v>52.596858638743456</v>
      </c>
      <c r="D11" s="39">
        <f t="shared" si="8"/>
        <v>52.596858638743456</v>
      </c>
      <c r="E11" s="39">
        <f t="shared" si="8"/>
        <v>52.596858638743456</v>
      </c>
      <c r="F11" s="39">
        <f t="shared" si="8"/>
        <v>52.596858638743456</v>
      </c>
      <c r="G11" s="39">
        <f t="shared" si="8"/>
        <v>52.596858638743456</v>
      </c>
      <c r="H11" s="39">
        <f t="shared" si="8"/>
        <v>52.596858638743456</v>
      </c>
      <c r="I11" s="39">
        <f t="shared" si="8"/>
        <v>52.596858638743456</v>
      </c>
      <c r="J11" s="39">
        <f t="shared" si="8"/>
        <v>52.596858638743456</v>
      </c>
      <c r="K11" s="39">
        <f t="shared" si="8"/>
        <v>52.596858638743456</v>
      </c>
    </row>
    <row r="12" spans="1:11" ht="15" customHeight="1">
      <c r="A12" s="43" t="s">
        <v>45</v>
      </c>
      <c r="B12" s="132">
        <f>B11*B10</f>
        <v>492.9377591623037</v>
      </c>
      <c r="C12" s="132">
        <f aca="true" t="shared" si="9" ref="C12:K12">C11*C10</f>
        <v>517.5846471204188</v>
      </c>
      <c r="D12" s="132">
        <f t="shared" si="9"/>
        <v>543.4638794764398</v>
      </c>
      <c r="E12" s="132">
        <f t="shared" si="9"/>
        <v>570.6370734502618</v>
      </c>
      <c r="F12" s="132">
        <f t="shared" si="9"/>
        <v>599.1689271227749</v>
      </c>
      <c r="G12" s="132">
        <f t="shared" si="9"/>
        <v>629.1273734789137</v>
      </c>
      <c r="H12" s="132">
        <f t="shared" si="9"/>
        <v>660.5837421528594</v>
      </c>
      <c r="I12" s="132">
        <f t="shared" si="9"/>
        <v>693.6129292605024</v>
      </c>
      <c r="J12" s="132">
        <f t="shared" si="9"/>
        <v>728.2935757235275</v>
      </c>
      <c r="K12" s="132">
        <f t="shared" si="9"/>
        <v>764.708254509704</v>
      </c>
    </row>
    <row r="16" ht="18.75">
      <c r="B16" s="40" t="s">
        <v>182</v>
      </c>
    </row>
    <row r="33" spans="2:5" ht="15">
      <c r="B33" s="38"/>
      <c r="C33" s="38"/>
      <c r="D33" s="38"/>
      <c r="E33" s="38"/>
    </row>
    <row r="44" spans="2:5" ht="15">
      <c r="B44" s="38"/>
      <c r="C44" s="38"/>
      <c r="D44" s="38"/>
      <c r="E44" s="38"/>
    </row>
    <row r="45" spans="2:7" ht="15">
      <c r="B45" s="229" t="s">
        <v>46</v>
      </c>
      <c r="C45" s="229"/>
      <c r="D45" s="229"/>
      <c r="E45" s="229"/>
      <c r="F45" s="229"/>
      <c r="G45" s="229"/>
    </row>
    <row r="46" spans="2:7" ht="15">
      <c r="B46" s="180" t="s">
        <v>294</v>
      </c>
      <c r="C46" s="230" t="s">
        <v>47</v>
      </c>
      <c r="D46" s="230"/>
      <c r="E46" s="87" t="s">
        <v>48</v>
      </c>
      <c r="F46" s="87" t="s">
        <v>49</v>
      </c>
      <c r="G46" s="87" t="s">
        <v>10</v>
      </c>
    </row>
    <row r="47" spans="2:7" ht="15">
      <c r="B47" s="12">
        <v>22</v>
      </c>
      <c r="C47" s="12">
        <v>100</v>
      </c>
      <c r="D47" s="12">
        <v>500</v>
      </c>
      <c r="E47" s="12">
        <f>AVERAGE(C47:D47)</f>
        <v>300</v>
      </c>
      <c r="F47" s="133">
        <f>(B47/$B$52)</f>
        <v>0.05759162303664921</v>
      </c>
      <c r="G47" s="131">
        <f>+(E47*F47)</f>
        <v>17.277486910994764</v>
      </c>
    </row>
    <row r="48" spans="2:7" ht="15">
      <c r="B48" s="12">
        <v>44</v>
      </c>
      <c r="C48" s="12">
        <v>501</v>
      </c>
      <c r="D48" s="12">
        <v>1000</v>
      </c>
      <c r="E48" s="12">
        <f aca="true" t="shared" si="10" ref="E48:E51">AVERAGE(C48:D48)</f>
        <v>750.5</v>
      </c>
      <c r="F48" s="133">
        <f aca="true" t="shared" si="11" ref="F48:F51">(B48/$B$52)</f>
        <v>0.11518324607329843</v>
      </c>
      <c r="G48" s="131">
        <f aca="true" t="shared" si="12" ref="G48:G51">+(E48*F48)</f>
        <v>86.44502617801047</v>
      </c>
    </row>
    <row r="49" spans="2:7" ht="15">
      <c r="B49" s="12">
        <v>83</v>
      </c>
      <c r="C49" s="12">
        <v>1001</v>
      </c>
      <c r="D49" s="12">
        <v>2000</v>
      </c>
      <c r="E49" s="12">
        <f t="shared" si="10"/>
        <v>1500.5</v>
      </c>
      <c r="F49" s="133">
        <f t="shared" si="11"/>
        <v>0.21727748691099477</v>
      </c>
      <c r="G49" s="131">
        <f t="shared" si="12"/>
        <v>326.02486910994764</v>
      </c>
    </row>
    <row r="50" spans="2:7" ht="15">
      <c r="B50" s="12">
        <v>115</v>
      </c>
      <c r="C50" s="12">
        <v>2001</v>
      </c>
      <c r="D50" s="12">
        <v>3000</v>
      </c>
      <c r="E50" s="12">
        <f t="shared" si="10"/>
        <v>2500.5</v>
      </c>
      <c r="F50" s="133">
        <f t="shared" si="11"/>
        <v>0.3010471204188482</v>
      </c>
      <c r="G50" s="131">
        <f t="shared" si="12"/>
        <v>752.7683246073299</v>
      </c>
    </row>
    <row r="51" spans="2:7" ht="15">
      <c r="B51" s="12">
        <v>118</v>
      </c>
      <c r="C51" s="12" t="s">
        <v>50</v>
      </c>
      <c r="D51" s="12">
        <v>0</v>
      </c>
      <c r="E51" s="12">
        <f t="shared" si="10"/>
        <v>0</v>
      </c>
      <c r="F51" s="133">
        <f t="shared" si="11"/>
        <v>0.3089005235602094</v>
      </c>
      <c r="G51" s="131">
        <f t="shared" si="12"/>
        <v>0</v>
      </c>
    </row>
    <row r="52" spans="2:7" ht="15">
      <c r="B52" s="174">
        <f>SUM(B47:B51)</f>
        <v>382</v>
      </c>
      <c r="C52" s="98"/>
      <c r="D52" s="98"/>
      <c r="E52" s="98"/>
      <c r="F52" s="134" t="s">
        <v>51</v>
      </c>
      <c r="G52" s="135">
        <f>SUM(G47:G51)</f>
        <v>1182.5157068062827</v>
      </c>
    </row>
    <row r="56" spans="4:5" ht="15">
      <c r="D56" s="44"/>
      <c r="E56" s="44"/>
    </row>
    <row r="66" spans="2:7" ht="15">
      <c r="B66" s="229" t="s">
        <v>293</v>
      </c>
      <c r="C66" s="229"/>
      <c r="D66" s="229"/>
      <c r="E66" s="229"/>
      <c r="F66" s="229"/>
      <c r="G66" s="229"/>
    </row>
    <row r="67" spans="2:7" ht="40.5" customHeight="1">
      <c r="B67" s="176" t="s">
        <v>288</v>
      </c>
      <c r="C67" s="231" t="s">
        <v>292</v>
      </c>
      <c r="D67" s="231"/>
      <c r="E67" s="176" t="s">
        <v>48</v>
      </c>
      <c r="F67" s="176" t="s">
        <v>49</v>
      </c>
      <c r="G67" s="175" t="s">
        <v>35</v>
      </c>
    </row>
    <row r="68" spans="2:7" ht="15">
      <c r="B68" s="12">
        <v>127</v>
      </c>
      <c r="C68" s="12">
        <v>1</v>
      </c>
      <c r="D68" s="12">
        <v>20</v>
      </c>
      <c r="E68" s="12">
        <f>SUM(C68:D68)</f>
        <v>21</v>
      </c>
      <c r="F68" s="178">
        <f>(B68/$B$72)</f>
        <v>0.3324607329842932</v>
      </c>
      <c r="G68" s="131">
        <f>(F68*E68)</f>
        <v>6.981675392670157</v>
      </c>
    </row>
    <row r="69" spans="2:7" ht="15">
      <c r="B69" s="12">
        <v>111</v>
      </c>
      <c r="C69" s="12">
        <v>21</v>
      </c>
      <c r="D69" s="12">
        <v>30</v>
      </c>
      <c r="E69" s="12">
        <f aca="true" t="shared" si="13" ref="E69:E71">SUM(C69:D69)</f>
        <v>51</v>
      </c>
      <c r="F69" s="178">
        <f>(B69/$B$72)</f>
        <v>0.2905759162303665</v>
      </c>
      <c r="G69" s="131">
        <f aca="true" t="shared" si="14" ref="G69:G71">(F69*E69)</f>
        <v>14.819371727748692</v>
      </c>
    </row>
    <row r="70" spans="2:7" ht="15">
      <c r="B70" s="12">
        <v>67</v>
      </c>
      <c r="C70" s="12">
        <v>31</v>
      </c>
      <c r="D70" s="12">
        <v>40</v>
      </c>
      <c r="E70" s="12">
        <f t="shared" si="13"/>
        <v>71</v>
      </c>
      <c r="F70" s="178">
        <f>(B70/$B$72)</f>
        <v>0.17539267015706805</v>
      </c>
      <c r="G70" s="131">
        <f t="shared" si="14"/>
        <v>12.452879581151832</v>
      </c>
    </row>
    <row r="71" spans="2:7" ht="15">
      <c r="B71" s="12">
        <v>77</v>
      </c>
      <c r="C71" s="12">
        <v>41</v>
      </c>
      <c r="D71" s="12">
        <v>50</v>
      </c>
      <c r="E71" s="12">
        <f t="shared" si="13"/>
        <v>91</v>
      </c>
      <c r="F71" s="178">
        <f>(B71/$B$72)</f>
        <v>0.20157068062827224</v>
      </c>
      <c r="G71" s="131">
        <f t="shared" si="14"/>
        <v>18.342931937172775</v>
      </c>
    </row>
    <row r="72" spans="2:7" ht="15">
      <c r="B72" s="179">
        <f>SUM(B68:B71)</f>
        <v>382</v>
      </c>
      <c r="C72" s="173"/>
      <c r="D72" s="173"/>
      <c r="E72" s="173"/>
      <c r="F72" s="173"/>
      <c r="G72" s="135">
        <f>SUM(G68:G71)</f>
        <v>52.596858638743456</v>
      </c>
    </row>
    <row r="83" spans="2:11" ht="15"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8" spans="1:4" ht="15">
      <c r="A88" s="229" t="s">
        <v>262</v>
      </c>
      <c r="B88" s="229"/>
      <c r="C88" s="229"/>
      <c r="D88" s="229"/>
    </row>
    <row r="89" spans="1:4" ht="22.5">
      <c r="A89" s="35" t="s">
        <v>258</v>
      </c>
      <c r="B89" s="182" t="s">
        <v>259</v>
      </c>
      <c r="C89" s="182" t="s">
        <v>260</v>
      </c>
      <c r="D89" s="181" t="s">
        <v>261</v>
      </c>
    </row>
    <row r="90" spans="1:4" ht="15">
      <c r="A90" s="42" t="s">
        <v>2</v>
      </c>
      <c r="B90" s="39">
        <f>B12</f>
        <v>492.9377591623037</v>
      </c>
      <c r="C90" s="39">
        <f>$G$52</f>
        <v>1182.5157068062827</v>
      </c>
      <c r="D90" s="161">
        <f aca="true" t="shared" si="15" ref="D90:D99">(B90*C90)</f>
        <v>582906.6426873166</v>
      </c>
    </row>
    <row r="91" spans="1:4" ht="15">
      <c r="A91" s="42" t="s">
        <v>3</v>
      </c>
      <c r="B91" s="39">
        <f>C12</f>
        <v>517.5846471204188</v>
      </c>
      <c r="C91" s="39">
        <f aca="true" t="shared" si="16" ref="C91:C99">$G$52</f>
        <v>1182.5157068062827</v>
      </c>
      <c r="D91" s="161">
        <f t="shared" si="15"/>
        <v>612051.9748216824</v>
      </c>
    </row>
    <row r="92" spans="1:4" ht="15">
      <c r="A92" s="42" t="s">
        <v>4</v>
      </c>
      <c r="B92" s="39">
        <f>D12</f>
        <v>543.4638794764398</v>
      </c>
      <c r="C92" s="39">
        <f t="shared" si="16"/>
        <v>1182.5157068062827</v>
      </c>
      <c r="D92" s="161">
        <f t="shared" si="15"/>
        <v>642654.5735627667</v>
      </c>
    </row>
    <row r="93" spans="1:4" ht="15">
      <c r="A93" s="42" t="s">
        <v>36</v>
      </c>
      <c r="B93" s="39">
        <f>E12</f>
        <v>570.6370734502618</v>
      </c>
      <c r="C93" s="39">
        <f t="shared" si="16"/>
        <v>1182.5157068062827</v>
      </c>
      <c r="D93" s="161">
        <f t="shared" si="15"/>
        <v>674787.302240905</v>
      </c>
    </row>
    <row r="94" spans="1:4" ht="15">
      <c r="A94" s="42" t="s">
        <v>6</v>
      </c>
      <c r="B94" s="39">
        <f>F12</f>
        <v>599.1689271227749</v>
      </c>
      <c r="C94" s="39">
        <f t="shared" si="16"/>
        <v>1182.5157068062827</v>
      </c>
      <c r="D94" s="161">
        <f t="shared" si="15"/>
        <v>708526.6673529502</v>
      </c>
    </row>
    <row r="95" spans="1:4" ht="15">
      <c r="A95" s="42" t="s">
        <v>92</v>
      </c>
      <c r="B95" s="39">
        <f>G12</f>
        <v>629.1273734789137</v>
      </c>
      <c r="C95" s="39">
        <f t="shared" si="16"/>
        <v>1182.5157068062827</v>
      </c>
      <c r="D95" s="161">
        <f t="shared" si="15"/>
        <v>743953.0007205978</v>
      </c>
    </row>
    <row r="96" spans="1:4" ht="15">
      <c r="A96" s="42" t="s">
        <v>93</v>
      </c>
      <c r="B96" s="39">
        <f>H12</f>
        <v>660.5837421528594</v>
      </c>
      <c r="C96" s="39">
        <f t="shared" si="16"/>
        <v>1182.5157068062827</v>
      </c>
      <c r="D96" s="161">
        <f t="shared" si="15"/>
        <v>781150.6507566277</v>
      </c>
    </row>
    <row r="97" spans="1:4" ht="15">
      <c r="A97" s="42" t="s">
        <v>7</v>
      </c>
      <c r="B97" s="39">
        <f>I12</f>
        <v>693.6129292605024</v>
      </c>
      <c r="C97" s="39">
        <f t="shared" si="16"/>
        <v>1182.5157068062827</v>
      </c>
      <c r="D97" s="161">
        <f t="shared" si="15"/>
        <v>820208.1832944591</v>
      </c>
    </row>
    <row r="98" spans="1:4" ht="15">
      <c r="A98" s="42" t="s">
        <v>8</v>
      </c>
      <c r="B98" s="39">
        <f>J12</f>
        <v>728.2935757235275</v>
      </c>
      <c r="C98" s="39">
        <f t="shared" si="16"/>
        <v>1182.5157068062827</v>
      </c>
      <c r="D98" s="161">
        <f t="shared" si="15"/>
        <v>861218.592459182</v>
      </c>
    </row>
    <row r="99" spans="1:4" ht="15">
      <c r="A99" s="42" t="s">
        <v>9</v>
      </c>
      <c r="B99" s="39">
        <f>K12</f>
        <v>764.708254509704</v>
      </c>
      <c r="C99" s="39">
        <f t="shared" si="16"/>
        <v>1182.5157068062827</v>
      </c>
      <c r="D99" s="161">
        <f t="shared" si="15"/>
        <v>904279.5220821414</v>
      </c>
    </row>
  </sheetData>
  <mergeCells count="6">
    <mergeCell ref="A88:D88"/>
    <mergeCell ref="A3:K3"/>
    <mergeCell ref="C46:D46"/>
    <mergeCell ref="C67:D67"/>
    <mergeCell ref="B66:G66"/>
    <mergeCell ref="B45:G4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4"/>
  <ignoredErrors>
    <ignoredError sqref="E47:E51" formulaRange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N15"/>
  <sheetViews>
    <sheetView workbookViewId="0" topLeftCell="A1">
      <selection activeCell="E26" sqref="E26"/>
    </sheetView>
  </sheetViews>
  <sheetFormatPr defaultColWidth="11.421875" defaultRowHeight="15"/>
  <cols>
    <col min="2" max="2" width="13.00390625" style="0" bestFit="1" customWidth="1"/>
    <col min="3" max="3" width="13.140625" style="0" bestFit="1" customWidth="1"/>
    <col min="5" max="6" width="13.00390625" style="0" bestFit="1" customWidth="1"/>
    <col min="7" max="7" width="12.00390625" style="0" bestFit="1" customWidth="1"/>
    <col min="8" max="8" width="12.8515625" style="0" customWidth="1"/>
    <col min="9" max="11" width="12.00390625" style="0" bestFit="1" customWidth="1"/>
    <col min="12" max="14" width="11.57421875" style="0" bestFit="1" customWidth="1"/>
  </cols>
  <sheetData>
    <row r="1" spans="1:14" ht="18.75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ht="15">
      <c r="E2" t="s">
        <v>297</v>
      </c>
    </row>
    <row r="3" spans="1:3" ht="15">
      <c r="A3" s="223" t="s">
        <v>298</v>
      </c>
      <c r="B3" s="224"/>
      <c r="C3" s="225"/>
    </row>
    <row r="4" spans="1:3" ht="15">
      <c r="A4" s="18" t="s">
        <v>118</v>
      </c>
      <c r="B4" s="18" t="s">
        <v>119</v>
      </c>
      <c r="C4" s="18" t="s">
        <v>120</v>
      </c>
    </row>
    <row r="5" spans="1:3" ht="15">
      <c r="A5" s="4" t="s">
        <v>121</v>
      </c>
      <c r="B5" s="105">
        <v>133</v>
      </c>
      <c r="C5" s="105">
        <v>186</v>
      </c>
    </row>
    <row r="6" spans="1:14" ht="15">
      <c r="A6" s="4" t="s">
        <v>122</v>
      </c>
      <c r="B6" s="105">
        <v>44</v>
      </c>
      <c r="C6" s="105">
        <v>66</v>
      </c>
      <c r="E6" s="229" t="s">
        <v>123</v>
      </c>
      <c r="F6" s="229"/>
      <c r="G6" s="229"/>
      <c r="H6" s="229"/>
      <c r="I6" s="229"/>
      <c r="J6" s="229"/>
      <c r="K6" s="229"/>
      <c r="L6" s="229"/>
      <c r="M6" s="229"/>
      <c r="N6" s="229"/>
    </row>
    <row r="7" spans="1:14" ht="15">
      <c r="A7" s="4" t="s">
        <v>124</v>
      </c>
      <c r="B7" s="105">
        <v>34</v>
      </c>
      <c r="C7" s="105">
        <v>76</v>
      </c>
      <c r="E7" s="183" t="s">
        <v>125</v>
      </c>
      <c r="F7" s="183" t="s">
        <v>126</v>
      </c>
      <c r="G7" s="183" t="s">
        <v>127</v>
      </c>
      <c r="H7" s="183" t="s">
        <v>128</v>
      </c>
      <c r="I7" s="183" t="s">
        <v>129</v>
      </c>
      <c r="J7" s="183" t="s">
        <v>130</v>
      </c>
      <c r="K7" s="183" t="s">
        <v>131</v>
      </c>
      <c r="L7" s="183" t="s">
        <v>132</v>
      </c>
      <c r="M7" s="183" t="s">
        <v>133</v>
      </c>
      <c r="N7" s="183" t="s">
        <v>134</v>
      </c>
    </row>
    <row r="8" spans="1:14" ht="15">
      <c r="A8" s="4" t="s">
        <v>135</v>
      </c>
      <c r="B8" s="105">
        <v>40</v>
      </c>
      <c r="C8" s="105">
        <v>50</v>
      </c>
      <c r="E8" s="105">
        <f>$D$13</f>
        <v>9156</v>
      </c>
      <c r="F8" s="105">
        <f>$D$13</f>
        <v>9156</v>
      </c>
      <c r="G8" s="105">
        <f>(F8-(F8*30%))</f>
        <v>6409.200000000001</v>
      </c>
      <c r="H8" s="105">
        <f>(G8-(G8*30%))</f>
        <v>4486.4400000000005</v>
      </c>
      <c r="I8" s="105">
        <f>(H8-(H8*30%))</f>
        <v>3140.5080000000007</v>
      </c>
      <c r="J8" s="105">
        <f>($I$8-($I$8*50%))</f>
        <v>1570.2540000000004</v>
      </c>
      <c r="K8" s="105">
        <f aca="true" t="shared" si="0" ref="K8:N8">($I$8-($I$8*50%))</f>
        <v>1570.2540000000004</v>
      </c>
      <c r="L8" s="105">
        <f t="shared" si="0"/>
        <v>1570.2540000000004</v>
      </c>
      <c r="M8" s="105">
        <f t="shared" si="0"/>
        <v>1570.2540000000004</v>
      </c>
      <c r="N8" s="105">
        <f t="shared" si="0"/>
        <v>1570.2540000000004</v>
      </c>
    </row>
    <row r="9" spans="1:3" ht="15">
      <c r="A9" s="4" t="s">
        <v>136</v>
      </c>
      <c r="B9" s="105">
        <v>44</v>
      </c>
      <c r="C9" s="105">
        <v>60</v>
      </c>
    </row>
    <row r="10" spans="1:3" ht="15">
      <c r="A10" s="4" t="s">
        <v>299</v>
      </c>
      <c r="B10" s="105">
        <v>30</v>
      </c>
      <c r="C10" s="105"/>
    </row>
    <row r="11" spans="1:3" ht="15">
      <c r="A11" s="18" t="s">
        <v>137</v>
      </c>
      <c r="B11" s="103">
        <f>SUM(B5:B10)</f>
        <v>325</v>
      </c>
      <c r="C11" s="103">
        <f>SUM(C5:C9)</f>
        <v>438</v>
      </c>
    </row>
    <row r="12" spans="1:3" ht="15">
      <c r="A12" s="30" t="s">
        <v>57</v>
      </c>
      <c r="B12" s="31" t="s">
        <v>138</v>
      </c>
      <c r="C12" s="32" t="s">
        <v>139</v>
      </c>
    </row>
    <row r="13" spans="1:5" ht="15">
      <c r="A13" s="30" t="s">
        <v>57</v>
      </c>
      <c r="B13" s="153">
        <f>B11*12</f>
        <v>3900</v>
      </c>
      <c r="C13" s="123">
        <f>C11*12</f>
        <v>5256</v>
      </c>
      <c r="D13" s="154">
        <f>SUM(B13:C13)</f>
        <v>9156</v>
      </c>
      <c r="E13" s="17" t="s">
        <v>140</v>
      </c>
    </row>
    <row r="14" spans="1:5" ht="15">
      <c r="A14" s="232" t="s">
        <v>141</v>
      </c>
      <c r="B14" s="232"/>
      <c r="C14" s="232"/>
      <c r="D14" s="155">
        <f>D13/12</f>
        <v>763</v>
      </c>
      <c r="E14" s="17" t="s">
        <v>142</v>
      </c>
    </row>
    <row r="15" spans="1:3" ht="15">
      <c r="A15" s="232" t="s">
        <v>143</v>
      </c>
      <c r="B15" s="232"/>
      <c r="C15" s="232"/>
    </row>
  </sheetData>
  <mergeCells count="5">
    <mergeCell ref="A1:N1"/>
    <mergeCell ref="A3:C3"/>
    <mergeCell ref="E6:N6"/>
    <mergeCell ref="A14:C14"/>
    <mergeCell ref="A15:C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2:L51"/>
  <sheetViews>
    <sheetView workbookViewId="0" topLeftCell="A13">
      <selection activeCell="N21" sqref="N21"/>
    </sheetView>
  </sheetViews>
  <sheetFormatPr defaultColWidth="11.421875" defaultRowHeight="15"/>
  <cols>
    <col min="1" max="1" width="3.00390625" style="0" customWidth="1"/>
    <col min="2" max="2" width="44.00390625" style="0" customWidth="1"/>
    <col min="3" max="3" width="13.28125" style="0" bestFit="1" customWidth="1"/>
    <col min="4" max="9" width="12.00390625" style="0" bestFit="1" customWidth="1"/>
    <col min="10" max="10" width="13.140625" style="0" bestFit="1" customWidth="1"/>
    <col min="11" max="12" width="12.00390625" style="0" bestFit="1" customWidth="1"/>
  </cols>
  <sheetData>
    <row r="2" spans="2:12" ht="15">
      <c r="B2" s="233" t="s">
        <v>53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4" spans="2:12" ht="15">
      <c r="B4" s="180" t="s">
        <v>300</v>
      </c>
      <c r="C4" s="180" t="s">
        <v>2</v>
      </c>
      <c r="D4" s="180" t="s">
        <v>3</v>
      </c>
      <c r="E4" s="180" t="s">
        <v>4</v>
      </c>
      <c r="F4" s="180" t="s">
        <v>5</v>
      </c>
      <c r="G4" s="180" t="s">
        <v>6</v>
      </c>
      <c r="H4" s="180" t="s">
        <v>92</v>
      </c>
      <c r="I4" s="180" t="s">
        <v>93</v>
      </c>
      <c r="J4" s="180" t="s">
        <v>7</v>
      </c>
      <c r="K4" s="180" t="s">
        <v>8</v>
      </c>
      <c r="L4" s="180" t="s">
        <v>9</v>
      </c>
    </row>
    <row r="5" spans="2:12" ht="15">
      <c r="B5" s="37" t="s">
        <v>38</v>
      </c>
      <c r="C5" s="184">
        <f>$C$33</f>
        <v>8901.6</v>
      </c>
      <c r="D5" s="184">
        <f aca="true" t="shared" si="0" ref="D5:L5">$C$33</f>
        <v>8901.6</v>
      </c>
      <c r="E5" s="184">
        <f t="shared" si="0"/>
        <v>8901.6</v>
      </c>
      <c r="F5" s="184">
        <f t="shared" si="0"/>
        <v>8901.6</v>
      </c>
      <c r="G5" s="184">
        <f t="shared" si="0"/>
        <v>8901.6</v>
      </c>
      <c r="H5" s="184">
        <f t="shared" si="0"/>
        <v>8901.6</v>
      </c>
      <c r="I5" s="184">
        <f t="shared" si="0"/>
        <v>8901.6</v>
      </c>
      <c r="J5" s="184">
        <f t="shared" si="0"/>
        <v>8901.6</v>
      </c>
      <c r="K5" s="184">
        <f t="shared" si="0"/>
        <v>8901.6</v>
      </c>
      <c r="L5" s="184">
        <f t="shared" si="0"/>
        <v>8901.6</v>
      </c>
    </row>
    <row r="6" spans="2:12" ht="15">
      <c r="B6" s="49" t="s">
        <v>52</v>
      </c>
      <c r="C6" s="184">
        <v>100</v>
      </c>
      <c r="D6" s="184">
        <v>100</v>
      </c>
      <c r="E6" s="184">
        <v>100</v>
      </c>
      <c r="F6" s="184">
        <v>120</v>
      </c>
      <c r="G6" s="184">
        <v>120</v>
      </c>
      <c r="H6" s="184">
        <v>130</v>
      </c>
      <c r="I6" s="184">
        <v>130</v>
      </c>
      <c r="J6" s="184">
        <v>150</v>
      </c>
      <c r="K6" s="184">
        <v>150</v>
      </c>
      <c r="L6" s="184">
        <v>150</v>
      </c>
    </row>
    <row r="7" spans="2:12" ht="15">
      <c r="B7" s="217" t="s">
        <v>54</v>
      </c>
      <c r="C7" s="184">
        <v>1000</v>
      </c>
      <c r="D7" s="184">
        <v>1000</v>
      </c>
      <c r="E7" s="184">
        <v>2000</v>
      </c>
      <c r="F7" s="184">
        <v>3000</v>
      </c>
      <c r="G7" s="184">
        <v>5000</v>
      </c>
      <c r="H7" s="184">
        <v>1000</v>
      </c>
      <c r="I7" s="184">
        <v>1000</v>
      </c>
      <c r="J7" s="184">
        <v>2000</v>
      </c>
      <c r="K7" s="184">
        <v>3000</v>
      </c>
      <c r="L7" s="184">
        <v>5000</v>
      </c>
    </row>
    <row r="8" spans="2:12" ht="15">
      <c r="B8" s="49" t="s">
        <v>68</v>
      </c>
      <c r="C8" s="184">
        <f>$C$51</f>
        <v>5400</v>
      </c>
      <c r="D8" s="184">
        <f aca="true" t="shared" si="1" ref="D8:L8">$C$51</f>
        <v>5400</v>
      </c>
      <c r="E8" s="184">
        <f t="shared" si="1"/>
        <v>5400</v>
      </c>
      <c r="F8" s="184">
        <f t="shared" si="1"/>
        <v>5400</v>
      </c>
      <c r="G8" s="184">
        <f t="shared" si="1"/>
        <v>5400</v>
      </c>
      <c r="H8" s="184">
        <f t="shared" si="1"/>
        <v>5400</v>
      </c>
      <c r="I8" s="184">
        <f t="shared" si="1"/>
        <v>5400</v>
      </c>
      <c r="J8" s="184">
        <f t="shared" si="1"/>
        <v>5400</v>
      </c>
      <c r="K8" s="184">
        <f t="shared" si="1"/>
        <v>5400</v>
      </c>
      <c r="L8" s="184">
        <f t="shared" si="1"/>
        <v>5400</v>
      </c>
    </row>
    <row r="9" spans="2:12" ht="15">
      <c r="B9" s="49" t="s">
        <v>90</v>
      </c>
      <c r="C9" s="184">
        <f>$C$40</f>
        <v>14678.433333333332</v>
      </c>
      <c r="D9" s="184">
        <f aca="true" t="shared" si="2" ref="D9:L9">$C$40</f>
        <v>14678.433333333332</v>
      </c>
      <c r="E9" s="184">
        <f t="shared" si="2"/>
        <v>14678.433333333332</v>
      </c>
      <c r="F9" s="184">
        <f t="shared" si="2"/>
        <v>14678.433333333332</v>
      </c>
      <c r="G9" s="184">
        <f t="shared" si="2"/>
        <v>14678.433333333332</v>
      </c>
      <c r="H9" s="184">
        <f t="shared" si="2"/>
        <v>14678.433333333332</v>
      </c>
      <c r="I9" s="184">
        <f t="shared" si="2"/>
        <v>14678.433333333332</v>
      </c>
      <c r="J9" s="184">
        <f t="shared" si="2"/>
        <v>14678.433333333332</v>
      </c>
      <c r="K9" s="184">
        <f t="shared" si="2"/>
        <v>14678.433333333332</v>
      </c>
      <c r="L9" s="184">
        <f t="shared" si="2"/>
        <v>14678.433333333332</v>
      </c>
    </row>
    <row r="10" spans="2:12" ht="15">
      <c r="B10" s="7" t="s">
        <v>339</v>
      </c>
      <c r="C10" s="103">
        <v>5400</v>
      </c>
      <c r="D10" s="103">
        <v>5400</v>
      </c>
      <c r="E10" s="103">
        <v>5400</v>
      </c>
      <c r="F10" s="103">
        <v>5400</v>
      </c>
      <c r="G10" s="103">
        <v>5400</v>
      </c>
      <c r="H10" s="103">
        <v>5400</v>
      </c>
      <c r="I10" s="103">
        <v>5400</v>
      </c>
      <c r="J10" s="103">
        <v>5400</v>
      </c>
      <c r="K10" s="103">
        <v>5400</v>
      </c>
      <c r="L10" s="103">
        <v>5400</v>
      </c>
    </row>
    <row r="14" ht="15.75" thickBot="1"/>
    <row r="15" spans="2:10" ht="15.75" thickBot="1">
      <c r="B15" s="239" t="s">
        <v>192</v>
      </c>
      <c r="C15" s="240"/>
      <c r="D15" s="240"/>
      <c r="E15" s="241"/>
      <c r="F15" s="236" t="s">
        <v>184</v>
      </c>
      <c r="G15" s="237"/>
      <c r="H15" s="238"/>
      <c r="I15" s="50"/>
      <c r="J15" s="51"/>
    </row>
    <row r="16" spans="2:10" ht="45.75" thickBot="1">
      <c r="B16" s="52" t="s">
        <v>196</v>
      </c>
      <c r="C16" s="52" t="s">
        <v>193</v>
      </c>
      <c r="D16" s="52" t="s">
        <v>185</v>
      </c>
      <c r="E16" s="53" t="s">
        <v>186</v>
      </c>
      <c r="F16" s="53" t="s">
        <v>187</v>
      </c>
      <c r="G16" s="53" t="s">
        <v>138</v>
      </c>
      <c r="H16" s="54" t="s">
        <v>188</v>
      </c>
      <c r="I16" s="52" t="s">
        <v>189</v>
      </c>
      <c r="J16" s="52" t="s">
        <v>190</v>
      </c>
    </row>
    <row r="17" spans="2:10" ht="15.75" thickBot="1">
      <c r="B17" s="56" t="s">
        <v>75</v>
      </c>
      <c r="C17" s="56">
        <v>2</v>
      </c>
      <c r="D17" s="56">
        <v>1</v>
      </c>
      <c r="E17" s="56">
        <v>8</v>
      </c>
      <c r="F17" s="56">
        <f>D17*E17</f>
        <v>8</v>
      </c>
      <c r="G17" s="56">
        <f>(F17*30)</f>
        <v>240</v>
      </c>
      <c r="H17" s="56">
        <f>(G17*12)</f>
        <v>2880</v>
      </c>
      <c r="I17" s="56">
        <v>0.09</v>
      </c>
      <c r="J17" s="56">
        <f>(H17*I17)*C17</f>
        <v>518.4</v>
      </c>
    </row>
    <row r="18" spans="2:10" ht="15.75" thickBot="1">
      <c r="B18" s="56" t="s">
        <v>76</v>
      </c>
      <c r="C18" s="56">
        <v>1</v>
      </c>
      <c r="D18" s="56">
        <v>0.5</v>
      </c>
      <c r="E18" s="56">
        <v>8</v>
      </c>
      <c r="F18" s="56">
        <f>E18*D18</f>
        <v>4</v>
      </c>
      <c r="G18" s="56">
        <f aca="true" t="shared" si="3" ref="G18:G26">(F18*30)</f>
        <v>120</v>
      </c>
      <c r="H18" s="56">
        <f aca="true" t="shared" si="4" ref="H18:H26">(G18*12)</f>
        <v>1440</v>
      </c>
      <c r="I18" s="56">
        <f>I17</f>
        <v>0.09</v>
      </c>
      <c r="J18" s="56">
        <f aca="true" t="shared" si="5" ref="J18:J26">(H18*I18)*C18</f>
        <v>129.6</v>
      </c>
    </row>
    <row r="19" spans="2:10" ht="15.75" thickBot="1">
      <c r="B19" s="56" t="s">
        <v>77</v>
      </c>
      <c r="C19" s="56">
        <v>5</v>
      </c>
      <c r="D19" s="56">
        <v>0.5</v>
      </c>
      <c r="E19" s="56">
        <v>8</v>
      </c>
      <c r="F19" s="56">
        <f>E19*D19</f>
        <v>4</v>
      </c>
      <c r="G19" s="56">
        <f t="shared" si="3"/>
        <v>120</v>
      </c>
      <c r="H19" s="56">
        <f t="shared" si="4"/>
        <v>1440</v>
      </c>
      <c r="I19" s="56">
        <f>I18</f>
        <v>0.09</v>
      </c>
      <c r="J19" s="56">
        <f t="shared" si="5"/>
        <v>648</v>
      </c>
    </row>
    <row r="20" spans="2:10" ht="15.75" thickBot="1">
      <c r="B20" s="56" t="s">
        <v>78</v>
      </c>
      <c r="C20" s="56">
        <v>5</v>
      </c>
      <c r="D20" s="56">
        <v>1</v>
      </c>
      <c r="E20" s="56">
        <v>8</v>
      </c>
      <c r="F20" s="56">
        <f>E20*D20</f>
        <v>8</v>
      </c>
      <c r="G20" s="56">
        <f t="shared" si="3"/>
        <v>240</v>
      </c>
      <c r="H20" s="56">
        <f t="shared" si="4"/>
        <v>2880</v>
      </c>
      <c r="I20" s="56">
        <f>I19</f>
        <v>0.09</v>
      </c>
      <c r="J20" s="56">
        <f t="shared" si="5"/>
        <v>1296</v>
      </c>
    </row>
    <row r="21" spans="2:10" ht="15.75" thickBot="1">
      <c r="B21" s="56" t="s">
        <v>80</v>
      </c>
      <c r="C21" s="56">
        <v>1</v>
      </c>
      <c r="D21" s="56">
        <v>0.75</v>
      </c>
      <c r="E21" s="56">
        <v>8</v>
      </c>
      <c r="F21" s="56">
        <f>E21*D21</f>
        <v>6</v>
      </c>
      <c r="G21" s="56">
        <f t="shared" si="3"/>
        <v>180</v>
      </c>
      <c r="H21" s="56">
        <f t="shared" si="4"/>
        <v>2160</v>
      </c>
      <c r="I21" s="56">
        <f>I20</f>
        <v>0.09</v>
      </c>
      <c r="J21" s="56">
        <f t="shared" si="5"/>
        <v>194.4</v>
      </c>
    </row>
    <row r="22" spans="2:10" ht="15.75" thickBot="1">
      <c r="B22" s="56" t="s">
        <v>83</v>
      </c>
      <c r="C22" s="56">
        <v>5</v>
      </c>
      <c r="D22" s="56">
        <v>0.5</v>
      </c>
      <c r="E22" s="56">
        <v>8</v>
      </c>
      <c r="F22" s="56">
        <f>E22*D22</f>
        <v>4</v>
      </c>
      <c r="G22" s="56">
        <f t="shared" si="3"/>
        <v>120</v>
      </c>
      <c r="H22" s="56">
        <f t="shared" si="4"/>
        <v>1440</v>
      </c>
      <c r="I22" s="56">
        <f>I21</f>
        <v>0.09</v>
      </c>
      <c r="J22" s="56">
        <f t="shared" si="5"/>
        <v>648</v>
      </c>
    </row>
    <row r="23" spans="2:10" ht="15.75" thickBot="1">
      <c r="B23" s="56" t="s">
        <v>85</v>
      </c>
      <c r="C23" s="56">
        <v>1</v>
      </c>
      <c r="D23" s="56">
        <v>1</v>
      </c>
      <c r="E23" s="56">
        <v>8</v>
      </c>
      <c r="F23" s="56">
        <f aca="true" t="shared" si="6" ref="F23:F26">E23*D23</f>
        <v>8</v>
      </c>
      <c r="G23" s="56">
        <f t="shared" si="3"/>
        <v>240</v>
      </c>
      <c r="H23" s="56">
        <f t="shared" si="4"/>
        <v>2880</v>
      </c>
      <c r="I23" s="56">
        <f aca="true" t="shared" si="7" ref="I23:I26">I22</f>
        <v>0.09</v>
      </c>
      <c r="J23" s="56">
        <f t="shared" si="5"/>
        <v>259.2</v>
      </c>
    </row>
    <row r="24" spans="2:10" ht="15.75" thickBot="1">
      <c r="B24" s="56" t="s">
        <v>87</v>
      </c>
      <c r="C24" s="56">
        <v>2</v>
      </c>
      <c r="D24" s="56">
        <v>1</v>
      </c>
      <c r="E24" s="56">
        <v>8</v>
      </c>
      <c r="F24" s="56">
        <f t="shared" si="6"/>
        <v>8</v>
      </c>
      <c r="G24" s="56">
        <f t="shared" si="3"/>
        <v>240</v>
      </c>
      <c r="H24" s="56">
        <f t="shared" si="4"/>
        <v>2880</v>
      </c>
      <c r="I24" s="56">
        <f t="shared" si="7"/>
        <v>0.09</v>
      </c>
      <c r="J24" s="56">
        <f t="shared" si="5"/>
        <v>518.4</v>
      </c>
    </row>
    <row r="25" spans="2:10" ht="15.75" thickBot="1">
      <c r="B25" s="56" t="s">
        <v>194</v>
      </c>
      <c r="C25" s="56">
        <v>1</v>
      </c>
      <c r="D25" s="56">
        <v>1</v>
      </c>
      <c r="E25" s="56">
        <v>4</v>
      </c>
      <c r="F25" s="56">
        <f t="shared" si="6"/>
        <v>4</v>
      </c>
      <c r="G25" s="56">
        <f t="shared" si="3"/>
        <v>120</v>
      </c>
      <c r="H25" s="56">
        <f t="shared" si="4"/>
        <v>1440</v>
      </c>
      <c r="I25" s="56">
        <f t="shared" si="7"/>
        <v>0.09</v>
      </c>
      <c r="J25" s="56">
        <f t="shared" si="5"/>
        <v>129.6</v>
      </c>
    </row>
    <row r="26" spans="2:10" ht="15.75" thickBot="1">
      <c r="B26" s="56" t="s">
        <v>195</v>
      </c>
      <c r="C26" s="56">
        <v>10</v>
      </c>
      <c r="D26" s="56">
        <v>1</v>
      </c>
      <c r="E26" s="56">
        <v>4</v>
      </c>
      <c r="F26" s="56">
        <f t="shared" si="6"/>
        <v>4</v>
      </c>
      <c r="G26" s="56">
        <f t="shared" si="3"/>
        <v>120</v>
      </c>
      <c r="H26" s="56">
        <f t="shared" si="4"/>
        <v>1440</v>
      </c>
      <c r="I26" s="56">
        <f t="shared" si="7"/>
        <v>0.09</v>
      </c>
      <c r="J26" s="56">
        <f t="shared" si="5"/>
        <v>1296</v>
      </c>
    </row>
    <row r="27" spans="9:10" ht="15.75" thickBot="1">
      <c r="I27" s="55" t="s">
        <v>191</v>
      </c>
      <c r="J27" s="56">
        <f>SUM(J17:J25)</f>
        <v>4341.6</v>
      </c>
    </row>
    <row r="28" spans="2:3" ht="15">
      <c r="B28" s="242" t="s">
        <v>197</v>
      </c>
      <c r="C28" s="242"/>
    </row>
    <row r="29" spans="2:3" ht="15">
      <c r="B29" s="57" t="s">
        <v>202</v>
      </c>
      <c r="C29" s="136">
        <f>J27</f>
        <v>4341.6</v>
      </c>
    </row>
    <row r="30" spans="2:3" ht="15">
      <c r="B30" s="57" t="s">
        <v>198</v>
      </c>
      <c r="C30" s="136">
        <f>(130*12)</f>
        <v>1560</v>
      </c>
    </row>
    <row r="31" spans="2:3" ht="15">
      <c r="B31" s="57" t="s">
        <v>199</v>
      </c>
      <c r="C31" s="136">
        <v>2400</v>
      </c>
    </row>
    <row r="32" spans="2:3" ht="15">
      <c r="B32" s="57" t="s">
        <v>200</v>
      </c>
      <c r="C32" s="136">
        <v>600</v>
      </c>
    </row>
    <row r="33" spans="2:3" ht="15">
      <c r="B33" s="58" t="s">
        <v>201</v>
      </c>
      <c r="C33" s="137">
        <f>SUM(C29:C32)</f>
        <v>8901.6</v>
      </c>
    </row>
    <row r="35" spans="2:3" ht="15">
      <c r="B35" s="242" t="s">
        <v>223</v>
      </c>
      <c r="C35" s="242"/>
    </row>
    <row r="36" spans="2:3" ht="15">
      <c r="B36" s="65" t="s">
        <v>222</v>
      </c>
      <c r="C36" s="105">
        <f>'INV.OBRA CIVIL  MAQUINARIA(A.2)'!H29</f>
        <v>95.1</v>
      </c>
    </row>
    <row r="37" spans="2:3" ht="15">
      <c r="B37" s="65" t="s">
        <v>221</v>
      </c>
      <c r="C37" s="105">
        <f>'INV.OBRA CIVIL  MAQUINARIA(A.2)'!H13</f>
        <v>9783.333333333332</v>
      </c>
    </row>
    <row r="38" spans="2:3" ht="15">
      <c r="B38" s="65" t="s">
        <v>220</v>
      </c>
      <c r="C38" s="105">
        <f>'INV.OBRA CIVIL  MAQUINARIA(A.2)'!H25</f>
        <v>800</v>
      </c>
    </row>
    <row r="39" spans="2:3" ht="15">
      <c r="B39" s="65" t="s">
        <v>219</v>
      </c>
      <c r="C39" s="105">
        <f>'INV.OBRA CIVIL  MAQUINARIA(A.2)'!H27</f>
        <v>4000</v>
      </c>
    </row>
    <row r="40" spans="2:3" ht="15">
      <c r="B40" s="58" t="s">
        <v>224</v>
      </c>
      <c r="C40" s="137">
        <f>SUM(C36:C39)</f>
        <v>14678.433333333332</v>
      </c>
    </row>
    <row r="43" spans="2:3" ht="15">
      <c r="B43" s="234" t="s">
        <v>227</v>
      </c>
      <c r="C43" s="235"/>
    </row>
    <row r="44" spans="2:3" ht="15">
      <c r="B44" s="234" t="s">
        <v>228</v>
      </c>
      <c r="C44" s="235"/>
    </row>
    <row r="45" spans="2:3" ht="15">
      <c r="B45" s="3" t="s">
        <v>232</v>
      </c>
      <c r="C45" s="12" t="s">
        <v>231</v>
      </c>
    </row>
    <row r="46" spans="2:3" ht="15">
      <c r="B46" s="3" t="s">
        <v>233</v>
      </c>
      <c r="C46" s="12">
        <v>30</v>
      </c>
    </row>
    <row r="47" spans="2:3" ht="15">
      <c r="B47" s="3" t="s">
        <v>234</v>
      </c>
      <c r="C47" s="12">
        <v>10</v>
      </c>
    </row>
    <row r="48" spans="2:3" ht="15">
      <c r="B48" s="3" t="s">
        <v>235</v>
      </c>
      <c r="C48" s="12">
        <f>(C47*C46)</f>
        <v>300</v>
      </c>
    </row>
    <row r="49" spans="2:3" ht="15">
      <c r="B49" s="1" t="s">
        <v>229</v>
      </c>
      <c r="C49" s="12">
        <v>1.5</v>
      </c>
    </row>
    <row r="50" spans="2:3" ht="15">
      <c r="B50" s="3" t="s">
        <v>139</v>
      </c>
      <c r="C50" s="12">
        <f>(C48*C49)</f>
        <v>450</v>
      </c>
    </row>
    <row r="51" spans="2:3" ht="15">
      <c r="B51" s="58" t="s">
        <v>230</v>
      </c>
      <c r="C51" s="137">
        <f>(C50*12)</f>
        <v>5400</v>
      </c>
    </row>
  </sheetData>
  <mergeCells count="7">
    <mergeCell ref="B2:L2"/>
    <mergeCell ref="B44:C44"/>
    <mergeCell ref="F15:H15"/>
    <mergeCell ref="B15:E15"/>
    <mergeCell ref="B35:C35"/>
    <mergeCell ref="B28:C28"/>
    <mergeCell ref="B43:C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J67"/>
  <sheetViews>
    <sheetView workbookViewId="0" topLeftCell="A1">
      <selection activeCell="F24" sqref="F24"/>
    </sheetView>
  </sheetViews>
  <sheetFormatPr defaultColWidth="11.421875" defaultRowHeight="15"/>
  <cols>
    <col min="1" max="1" width="18.140625" style="0" bestFit="1" customWidth="1"/>
    <col min="2" max="2" width="16.140625" style="0" customWidth="1"/>
    <col min="3" max="10" width="13.00390625" style="0" bestFit="1" customWidth="1"/>
  </cols>
  <sheetData>
    <row r="1" ht="15">
      <c r="A1" t="s">
        <v>301</v>
      </c>
    </row>
    <row r="2" spans="2:9" ht="15">
      <c r="B2" s="222" t="s">
        <v>178</v>
      </c>
      <c r="C2" s="222"/>
      <c r="D2" s="222"/>
      <c r="E2" s="222"/>
      <c r="F2" s="222"/>
      <c r="H2" s="223" t="s">
        <v>66</v>
      </c>
      <c r="I2" s="225"/>
    </row>
    <row r="3" spans="2:9" ht="30">
      <c r="B3" s="222" t="s">
        <v>183</v>
      </c>
      <c r="C3" s="222"/>
      <c r="D3" s="222"/>
      <c r="E3" s="222"/>
      <c r="F3" s="222"/>
      <c r="H3" s="172" t="s">
        <v>291</v>
      </c>
      <c r="I3" s="37" t="s">
        <v>181</v>
      </c>
    </row>
    <row r="4" spans="2:9" ht="30">
      <c r="B4" s="34" t="s">
        <v>55</v>
      </c>
      <c r="C4" s="8" t="s">
        <v>56</v>
      </c>
      <c r="D4" s="36" t="s">
        <v>179</v>
      </c>
      <c r="E4" s="36" t="s">
        <v>180</v>
      </c>
      <c r="F4" s="9" t="s">
        <v>177</v>
      </c>
      <c r="H4" s="12">
        <v>2005</v>
      </c>
      <c r="I4" s="133">
        <v>0.044</v>
      </c>
    </row>
    <row r="5" spans="2:9" ht="15">
      <c r="B5" s="47" t="s">
        <v>58</v>
      </c>
      <c r="C5" s="12">
        <v>1</v>
      </c>
      <c r="D5" s="105">
        <v>1400</v>
      </c>
      <c r="E5" s="105">
        <f>(D5*C5)</f>
        <v>1400</v>
      </c>
      <c r="F5" s="105">
        <f>(E5*12)</f>
        <v>16800</v>
      </c>
      <c r="H5" s="12">
        <v>2006</v>
      </c>
      <c r="I5" s="133">
        <v>0.042</v>
      </c>
    </row>
    <row r="6" spans="2:9" ht="15">
      <c r="B6" s="47" t="s">
        <v>59</v>
      </c>
      <c r="C6" s="12">
        <v>1</v>
      </c>
      <c r="D6" s="105">
        <v>800</v>
      </c>
      <c r="E6" s="105">
        <f aca="true" t="shared" si="0" ref="E6:E11">(D6*C6)</f>
        <v>800</v>
      </c>
      <c r="F6" s="105">
        <f aca="true" t="shared" si="1" ref="F6:F11">(E6*12)</f>
        <v>9600</v>
      </c>
      <c r="H6" s="12">
        <v>2007</v>
      </c>
      <c r="I6" s="133">
        <v>0.0332</v>
      </c>
    </row>
    <row r="7" spans="2:9" ht="15">
      <c r="B7" s="47" t="s">
        <v>60</v>
      </c>
      <c r="C7" s="12">
        <v>1</v>
      </c>
      <c r="D7" s="105">
        <v>1200</v>
      </c>
      <c r="E7" s="105">
        <f t="shared" si="0"/>
        <v>1200</v>
      </c>
      <c r="F7" s="105">
        <f t="shared" si="1"/>
        <v>14400</v>
      </c>
      <c r="H7" s="12">
        <v>2008</v>
      </c>
      <c r="I7" s="133">
        <v>0.0883</v>
      </c>
    </row>
    <row r="8" spans="2:9" ht="15">
      <c r="B8" s="47" t="s">
        <v>61</v>
      </c>
      <c r="C8" s="12">
        <v>1</v>
      </c>
      <c r="D8" s="105">
        <v>1200</v>
      </c>
      <c r="E8" s="105">
        <f t="shared" si="0"/>
        <v>1200</v>
      </c>
      <c r="F8" s="105">
        <f t="shared" si="1"/>
        <v>14400</v>
      </c>
      <c r="H8" s="12">
        <v>2009</v>
      </c>
      <c r="I8" s="133">
        <v>0.0431</v>
      </c>
    </row>
    <row r="9" spans="2:9" ht="15">
      <c r="B9" s="47" t="s">
        <v>62</v>
      </c>
      <c r="C9" s="12">
        <v>10</v>
      </c>
      <c r="D9" s="105">
        <v>800</v>
      </c>
      <c r="E9" s="105">
        <f t="shared" si="0"/>
        <v>8000</v>
      </c>
      <c r="F9" s="105">
        <f t="shared" si="1"/>
        <v>96000</v>
      </c>
      <c r="H9" s="12">
        <v>2010</v>
      </c>
      <c r="I9" s="133">
        <f aca="true" t="shared" si="2" ref="I9:I17">TREND(I4:I8,H4:H8,H9)</f>
        <v>0.0634699999999988</v>
      </c>
    </row>
    <row r="10" spans="2:9" ht="15">
      <c r="B10" s="47" t="s">
        <v>63</v>
      </c>
      <c r="C10" s="12">
        <v>8</v>
      </c>
      <c r="D10" s="105">
        <v>700</v>
      </c>
      <c r="E10" s="105">
        <f t="shared" si="0"/>
        <v>5600</v>
      </c>
      <c r="F10" s="105">
        <f t="shared" si="1"/>
        <v>67200</v>
      </c>
      <c r="H10" s="12">
        <v>2011</v>
      </c>
      <c r="I10" s="133">
        <f t="shared" si="2"/>
        <v>0.06986599999999932</v>
      </c>
    </row>
    <row r="11" spans="2:9" ht="15">
      <c r="B11" s="47" t="s">
        <v>64</v>
      </c>
      <c r="C11" s="12">
        <v>10</v>
      </c>
      <c r="D11" s="105">
        <v>400</v>
      </c>
      <c r="E11" s="105">
        <f t="shared" si="0"/>
        <v>4000</v>
      </c>
      <c r="F11" s="105">
        <f t="shared" si="1"/>
        <v>48000</v>
      </c>
      <c r="H11" s="12">
        <v>2012</v>
      </c>
      <c r="I11" s="133">
        <f t="shared" si="2"/>
        <v>0.07413779999999726</v>
      </c>
    </row>
    <row r="12" spans="1:9" ht="15">
      <c r="A12" s="46"/>
      <c r="B12" s="4"/>
      <c r="C12" s="12"/>
      <c r="D12" s="35" t="s">
        <v>57</v>
      </c>
      <c r="E12" s="100"/>
      <c r="F12" s="138">
        <f>SUM(F5:F11)</f>
        <v>266400</v>
      </c>
      <c r="H12" s="12">
        <v>2013</v>
      </c>
      <c r="I12" s="133">
        <f t="shared" si="2"/>
        <v>0.06730723999999721</v>
      </c>
    </row>
    <row r="13" spans="2:9" ht="15">
      <c r="B13" s="243" t="s">
        <v>65</v>
      </c>
      <c r="C13" s="243"/>
      <c r="D13" s="243"/>
      <c r="E13" s="243"/>
      <c r="F13" s="243"/>
      <c r="H13" s="12">
        <v>2014</v>
      </c>
      <c r="I13" s="133">
        <f t="shared" si="2"/>
        <v>0.08130089199999624</v>
      </c>
    </row>
    <row r="14" spans="1:9" ht="15">
      <c r="A14" s="48"/>
      <c r="B14" s="48"/>
      <c r="C14" s="48"/>
      <c r="D14" s="48"/>
      <c r="H14" s="12">
        <v>2015</v>
      </c>
      <c r="I14" s="133">
        <f t="shared" si="2"/>
        <v>0.0811472935999964</v>
      </c>
    </row>
    <row r="15" spans="8:9" ht="15">
      <c r="H15" s="12">
        <v>2016</v>
      </c>
      <c r="I15" s="133">
        <f t="shared" si="2"/>
        <v>0.08366954887999523</v>
      </c>
    </row>
    <row r="16" spans="8:9" ht="15">
      <c r="H16" s="12">
        <v>2017</v>
      </c>
      <c r="I16" s="133">
        <f t="shared" si="2"/>
        <v>0.08738362030399482</v>
      </c>
    </row>
    <row r="17" spans="8:9" ht="15">
      <c r="H17" s="12">
        <v>2018</v>
      </c>
      <c r="I17" s="133">
        <f t="shared" si="2"/>
        <v>0.0929181442031961</v>
      </c>
    </row>
    <row r="18" spans="1:10" ht="15">
      <c r="A18" s="229" t="s">
        <v>67</v>
      </c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ht="15">
      <c r="A19" s="172" t="s">
        <v>2</v>
      </c>
      <c r="B19" s="172" t="s">
        <v>3</v>
      </c>
      <c r="C19" s="172" t="s">
        <v>4</v>
      </c>
      <c r="D19" s="172" t="s">
        <v>5</v>
      </c>
      <c r="E19" s="172" t="s">
        <v>6</v>
      </c>
      <c r="F19" s="172" t="s">
        <v>92</v>
      </c>
      <c r="G19" s="172" t="s">
        <v>93</v>
      </c>
      <c r="H19" s="172" t="s">
        <v>7</v>
      </c>
      <c r="I19" s="172" t="s">
        <v>8</v>
      </c>
      <c r="J19" s="172" t="s">
        <v>9</v>
      </c>
    </row>
    <row r="20" spans="1:10" ht="15">
      <c r="A20" s="139">
        <f>F12</f>
        <v>266400</v>
      </c>
      <c r="B20" s="139">
        <f>(A20*I9)+A20</f>
        <v>283308.4079999997</v>
      </c>
      <c r="C20" s="139">
        <f>(B20*I10)+B20</f>
        <v>303102.0332333275</v>
      </c>
      <c r="D20" s="139">
        <f>(C20*I11)+C20</f>
        <v>325573.35115277243</v>
      </c>
      <c r="E20" s="139">
        <f>(D20*$I$12)+D20</f>
        <v>347486.79483641544</v>
      </c>
      <c r="F20" s="139">
        <f>(E20*$I$13)+E20</f>
        <v>375737.7812148357</v>
      </c>
      <c r="G20" s="139">
        <f>(F20*$I$14)+F20</f>
        <v>406227.8852636872</v>
      </c>
      <c r="H20" s="139">
        <f>(G20*$I$15)+G20</f>
        <v>440216.78916617436</v>
      </c>
      <c r="I20" s="139">
        <f>(H20*$I$16)+H20</f>
        <v>478684.5259221151</v>
      </c>
      <c r="J20" s="139">
        <f>(I20*$I$17)+I20</f>
        <v>523163.00372958474</v>
      </c>
    </row>
    <row r="55" spans="4:9" ht="15">
      <c r="D55" s="10"/>
      <c r="E55" s="11"/>
      <c r="I55" s="11"/>
    </row>
    <row r="56" spans="4:9" ht="15">
      <c r="D56" s="10"/>
      <c r="E56" s="11"/>
      <c r="H56" s="10"/>
      <c r="I56" s="11"/>
    </row>
    <row r="57" spans="4:9" ht="15">
      <c r="D57" s="10"/>
      <c r="E57" s="11"/>
      <c r="H57" s="10"/>
      <c r="I57" s="11"/>
    </row>
    <row r="58" spans="4:9" ht="15">
      <c r="D58" s="10"/>
      <c r="E58" s="11"/>
      <c r="H58" s="10"/>
      <c r="I58" s="11"/>
    </row>
    <row r="59" spans="4:9" ht="15">
      <c r="D59" s="10"/>
      <c r="E59" s="11"/>
      <c r="H59" s="10"/>
      <c r="I59" s="11"/>
    </row>
    <row r="60" spans="4:9" ht="15">
      <c r="D60" s="10"/>
      <c r="E60" s="11"/>
      <c r="H60" s="10"/>
      <c r="I60" s="11"/>
    </row>
    <row r="61" spans="4:9" ht="15">
      <c r="D61" s="10"/>
      <c r="E61" s="11"/>
      <c r="H61" s="10"/>
      <c r="I61" s="11"/>
    </row>
    <row r="62" spans="4:9" ht="15">
      <c r="D62" s="10"/>
      <c r="E62" s="11"/>
      <c r="H62" s="10"/>
      <c r="I62" s="11"/>
    </row>
    <row r="63" spans="4:9" ht="15">
      <c r="D63" s="10"/>
      <c r="E63" s="11"/>
      <c r="H63" s="10"/>
      <c r="I63" s="11"/>
    </row>
    <row r="64" spans="4:9" ht="15">
      <c r="D64" s="10"/>
      <c r="E64" s="11"/>
      <c r="H64" s="10"/>
      <c r="I64" s="11"/>
    </row>
    <row r="65" spans="4:9" ht="15">
      <c r="D65" s="10"/>
      <c r="E65" s="11"/>
      <c r="H65" s="10"/>
      <c r="I65" s="11"/>
    </row>
    <row r="66" spans="4:9" ht="15">
      <c r="D66" s="10"/>
      <c r="E66" s="11"/>
      <c r="H66" s="10"/>
      <c r="I66" s="11"/>
    </row>
    <row r="67" spans="5:9" ht="15">
      <c r="E67" s="11"/>
      <c r="H67" s="10"/>
      <c r="I67" s="11"/>
    </row>
  </sheetData>
  <mergeCells count="5">
    <mergeCell ref="A18:J18"/>
    <mergeCell ref="H2:I2"/>
    <mergeCell ref="B2:F2"/>
    <mergeCell ref="B3:F3"/>
    <mergeCell ref="B13:F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E22"/>
  <sheetViews>
    <sheetView tabSelected="1" workbookViewId="0" topLeftCell="A1">
      <selection activeCell="F10" sqref="F10"/>
    </sheetView>
  </sheetViews>
  <sheetFormatPr defaultColWidth="11.421875" defaultRowHeight="15"/>
  <cols>
    <col min="3" max="3" width="48.28125" style="0" bestFit="1" customWidth="1"/>
    <col min="4" max="4" width="26.140625" style="0" customWidth="1"/>
    <col min="5" max="5" width="42.7109375" style="0" bestFit="1" customWidth="1"/>
  </cols>
  <sheetData>
    <row r="1" ht="15">
      <c r="A1" t="s">
        <v>305</v>
      </c>
    </row>
    <row r="7" ht="21">
      <c r="C7" s="5" t="s">
        <v>39</v>
      </c>
    </row>
    <row r="9" ht="18.75">
      <c r="C9" s="95" t="s">
        <v>40</v>
      </c>
    </row>
    <row r="10" ht="15">
      <c r="D10" s="159"/>
    </row>
    <row r="11" spans="3:4" ht="15">
      <c r="C11" s="1" t="s">
        <v>41</v>
      </c>
      <c r="D11" s="151">
        <v>156765.89310462892</v>
      </c>
    </row>
    <row r="12" spans="3:5" ht="15">
      <c r="C12" s="1" t="s">
        <v>42</v>
      </c>
      <c r="D12" s="151">
        <f>'GASTOS OPERATIVOS(D)'!C40</f>
        <v>14678.433333333332</v>
      </c>
      <c r="E12" s="157"/>
    </row>
    <row r="13" spans="3:4" ht="15">
      <c r="C13" s="1" t="s">
        <v>27</v>
      </c>
      <c r="D13" s="152">
        <f>D18</f>
        <v>0.13786</v>
      </c>
    </row>
    <row r="14" spans="3:4" ht="15">
      <c r="C14" s="94" t="s">
        <v>43</v>
      </c>
      <c r="D14" s="188"/>
    </row>
    <row r="15" ht="15">
      <c r="D15" s="158">
        <v>1030664.8757529057</v>
      </c>
    </row>
    <row r="16" spans="3:4" ht="21">
      <c r="C16" s="5" t="s">
        <v>266</v>
      </c>
      <c r="D16" s="92"/>
    </row>
    <row r="17" spans="3:4" ht="18.75">
      <c r="C17" s="95" t="s">
        <v>267</v>
      </c>
      <c r="D17" s="93"/>
    </row>
    <row r="18" spans="3:5" ht="15">
      <c r="C18" s="96" t="s">
        <v>268</v>
      </c>
      <c r="D18" s="189">
        <f>(D19+(D21-D19)*D20)+D22</f>
        <v>0.13786</v>
      </c>
      <c r="E18" s="91" t="s">
        <v>276</v>
      </c>
    </row>
    <row r="19" spans="3:5" ht="15">
      <c r="C19" s="4" t="s">
        <v>269</v>
      </c>
      <c r="D19" s="178">
        <v>0.0283</v>
      </c>
      <c r="E19" s="4" t="s">
        <v>273</v>
      </c>
    </row>
    <row r="20" spans="3:5" ht="15">
      <c r="C20" s="4" t="s">
        <v>270</v>
      </c>
      <c r="D20" s="12">
        <v>0.394</v>
      </c>
      <c r="E20" s="4" t="s">
        <v>306</v>
      </c>
    </row>
    <row r="21" spans="3:5" ht="15">
      <c r="C21" s="4" t="s">
        <v>271</v>
      </c>
      <c r="D21" s="178">
        <v>0.2083</v>
      </c>
      <c r="E21" s="4" t="s">
        <v>274</v>
      </c>
    </row>
    <row r="22" spans="3:5" ht="15">
      <c r="C22" s="4" t="s">
        <v>272</v>
      </c>
      <c r="D22" s="178">
        <v>0.03864</v>
      </c>
      <c r="E22" s="4" t="s">
        <v>275</v>
      </c>
    </row>
  </sheetData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B2:N25"/>
  <sheetViews>
    <sheetView showGridLines="0" workbookViewId="0" topLeftCell="D1">
      <selection activeCell="C14" sqref="C14"/>
    </sheetView>
  </sheetViews>
  <sheetFormatPr defaultColWidth="11.421875" defaultRowHeight="15"/>
  <cols>
    <col min="1" max="1" width="11.421875" style="67" customWidth="1"/>
    <col min="2" max="2" width="27.140625" style="67" customWidth="1"/>
    <col min="3" max="3" width="10.7109375" style="67" bestFit="1" customWidth="1"/>
    <col min="4" max="4" width="9.28125" style="67" customWidth="1"/>
    <col min="5" max="5" width="9.140625" style="67" customWidth="1"/>
    <col min="6" max="6" width="9.7109375" style="67" customWidth="1"/>
    <col min="7" max="7" width="10.7109375" style="67" customWidth="1"/>
    <col min="8" max="8" width="11.140625" style="67" customWidth="1"/>
    <col min="9" max="9" width="12.00390625" style="67" customWidth="1"/>
    <col min="10" max="10" width="9.28125" style="67" customWidth="1"/>
    <col min="11" max="11" width="10.140625" style="67" customWidth="1"/>
    <col min="12" max="12" width="9.8515625" style="67" customWidth="1"/>
    <col min="13" max="13" width="10.00390625" style="67" customWidth="1"/>
    <col min="14" max="14" width="9.421875" style="67" customWidth="1"/>
    <col min="15" max="257" width="11.421875" style="67" customWidth="1"/>
    <col min="258" max="258" width="25.7109375" style="67" bestFit="1" customWidth="1"/>
    <col min="259" max="259" width="9.57421875" style="67" customWidth="1"/>
    <col min="260" max="260" width="9.28125" style="67" customWidth="1"/>
    <col min="261" max="261" width="9.140625" style="67" customWidth="1"/>
    <col min="262" max="262" width="9.00390625" style="67" customWidth="1"/>
    <col min="263" max="263" width="9.7109375" style="67" customWidth="1"/>
    <col min="264" max="264" width="9.140625" style="67" customWidth="1"/>
    <col min="265" max="265" width="8.8515625" style="67" customWidth="1"/>
    <col min="266" max="267" width="9.28125" style="67" customWidth="1"/>
    <col min="268" max="268" width="9.8515625" style="67" customWidth="1"/>
    <col min="269" max="269" width="10.00390625" style="67" customWidth="1"/>
    <col min="270" max="270" width="9.421875" style="67" customWidth="1"/>
    <col min="271" max="513" width="11.421875" style="67" customWidth="1"/>
    <col min="514" max="514" width="25.7109375" style="67" bestFit="1" customWidth="1"/>
    <col min="515" max="515" width="9.57421875" style="67" customWidth="1"/>
    <col min="516" max="516" width="9.28125" style="67" customWidth="1"/>
    <col min="517" max="517" width="9.140625" style="67" customWidth="1"/>
    <col min="518" max="518" width="9.00390625" style="67" customWidth="1"/>
    <col min="519" max="519" width="9.7109375" style="67" customWidth="1"/>
    <col min="520" max="520" width="9.140625" style="67" customWidth="1"/>
    <col min="521" max="521" width="8.8515625" style="67" customWidth="1"/>
    <col min="522" max="523" width="9.28125" style="67" customWidth="1"/>
    <col min="524" max="524" width="9.8515625" style="67" customWidth="1"/>
    <col min="525" max="525" width="10.00390625" style="67" customWidth="1"/>
    <col min="526" max="526" width="9.421875" style="67" customWidth="1"/>
    <col min="527" max="769" width="11.421875" style="67" customWidth="1"/>
    <col min="770" max="770" width="25.7109375" style="67" bestFit="1" customWidth="1"/>
    <col min="771" max="771" width="9.57421875" style="67" customWidth="1"/>
    <col min="772" max="772" width="9.28125" style="67" customWidth="1"/>
    <col min="773" max="773" width="9.140625" style="67" customWidth="1"/>
    <col min="774" max="774" width="9.00390625" style="67" customWidth="1"/>
    <col min="775" max="775" width="9.7109375" style="67" customWidth="1"/>
    <col min="776" max="776" width="9.140625" style="67" customWidth="1"/>
    <col min="777" max="777" width="8.8515625" style="67" customWidth="1"/>
    <col min="778" max="779" width="9.28125" style="67" customWidth="1"/>
    <col min="780" max="780" width="9.8515625" style="67" customWidth="1"/>
    <col min="781" max="781" width="10.00390625" style="67" customWidth="1"/>
    <col min="782" max="782" width="9.421875" style="67" customWidth="1"/>
    <col min="783" max="1025" width="11.421875" style="67" customWidth="1"/>
    <col min="1026" max="1026" width="25.7109375" style="67" bestFit="1" customWidth="1"/>
    <col min="1027" max="1027" width="9.57421875" style="67" customWidth="1"/>
    <col min="1028" max="1028" width="9.28125" style="67" customWidth="1"/>
    <col min="1029" max="1029" width="9.140625" style="67" customWidth="1"/>
    <col min="1030" max="1030" width="9.00390625" style="67" customWidth="1"/>
    <col min="1031" max="1031" width="9.7109375" style="67" customWidth="1"/>
    <col min="1032" max="1032" width="9.140625" style="67" customWidth="1"/>
    <col min="1033" max="1033" width="8.8515625" style="67" customWidth="1"/>
    <col min="1034" max="1035" width="9.28125" style="67" customWidth="1"/>
    <col min="1036" max="1036" width="9.8515625" style="67" customWidth="1"/>
    <col min="1037" max="1037" width="10.00390625" style="67" customWidth="1"/>
    <col min="1038" max="1038" width="9.421875" style="67" customWidth="1"/>
    <col min="1039" max="1281" width="11.421875" style="67" customWidth="1"/>
    <col min="1282" max="1282" width="25.7109375" style="67" bestFit="1" customWidth="1"/>
    <col min="1283" max="1283" width="9.57421875" style="67" customWidth="1"/>
    <col min="1284" max="1284" width="9.28125" style="67" customWidth="1"/>
    <col min="1285" max="1285" width="9.140625" style="67" customWidth="1"/>
    <col min="1286" max="1286" width="9.00390625" style="67" customWidth="1"/>
    <col min="1287" max="1287" width="9.7109375" style="67" customWidth="1"/>
    <col min="1288" max="1288" width="9.140625" style="67" customWidth="1"/>
    <col min="1289" max="1289" width="8.8515625" style="67" customWidth="1"/>
    <col min="1290" max="1291" width="9.28125" style="67" customWidth="1"/>
    <col min="1292" max="1292" width="9.8515625" style="67" customWidth="1"/>
    <col min="1293" max="1293" width="10.00390625" style="67" customWidth="1"/>
    <col min="1294" max="1294" width="9.421875" style="67" customWidth="1"/>
    <col min="1295" max="1537" width="11.421875" style="67" customWidth="1"/>
    <col min="1538" max="1538" width="25.7109375" style="67" bestFit="1" customWidth="1"/>
    <col min="1539" max="1539" width="9.57421875" style="67" customWidth="1"/>
    <col min="1540" max="1540" width="9.28125" style="67" customWidth="1"/>
    <col min="1541" max="1541" width="9.140625" style="67" customWidth="1"/>
    <col min="1542" max="1542" width="9.00390625" style="67" customWidth="1"/>
    <col min="1543" max="1543" width="9.7109375" style="67" customWidth="1"/>
    <col min="1544" max="1544" width="9.140625" style="67" customWidth="1"/>
    <col min="1545" max="1545" width="8.8515625" style="67" customWidth="1"/>
    <col min="1546" max="1547" width="9.28125" style="67" customWidth="1"/>
    <col min="1548" max="1548" width="9.8515625" style="67" customWidth="1"/>
    <col min="1549" max="1549" width="10.00390625" style="67" customWidth="1"/>
    <col min="1550" max="1550" width="9.421875" style="67" customWidth="1"/>
    <col min="1551" max="1793" width="11.421875" style="67" customWidth="1"/>
    <col min="1794" max="1794" width="25.7109375" style="67" bestFit="1" customWidth="1"/>
    <col min="1795" max="1795" width="9.57421875" style="67" customWidth="1"/>
    <col min="1796" max="1796" width="9.28125" style="67" customWidth="1"/>
    <col min="1797" max="1797" width="9.140625" style="67" customWidth="1"/>
    <col min="1798" max="1798" width="9.00390625" style="67" customWidth="1"/>
    <col min="1799" max="1799" width="9.7109375" style="67" customWidth="1"/>
    <col min="1800" max="1800" width="9.140625" style="67" customWidth="1"/>
    <col min="1801" max="1801" width="8.8515625" style="67" customWidth="1"/>
    <col min="1802" max="1803" width="9.28125" style="67" customWidth="1"/>
    <col min="1804" max="1804" width="9.8515625" style="67" customWidth="1"/>
    <col min="1805" max="1805" width="10.00390625" style="67" customWidth="1"/>
    <col min="1806" max="1806" width="9.421875" style="67" customWidth="1"/>
    <col min="1807" max="2049" width="11.421875" style="67" customWidth="1"/>
    <col min="2050" max="2050" width="25.7109375" style="67" bestFit="1" customWidth="1"/>
    <col min="2051" max="2051" width="9.57421875" style="67" customWidth="1"/>
    <col min="2052" max="2052" width="9.28125" style="67" customWidth="1"/>
    <col min="2053" max="2053" width="9.140625" style="67" customWidth="1"/>
    <col min="2054" max="2054" width="9.00390625" style="67" customWidth="1"/>
    <col min="2055" max="2055" width="9.7109375" style="67" customWidth="1"/>
    <col min="2056" max="2056" width="9.140625" style="67" customWidth="1"/>
    <col min="2057" max="2057" width="8.8515625" style="67" customWidth="1"/>
    <col min="2058" max="2059" width="9.28125" style="67" customWidth="1"/>
    <col min="2060" max="2060" width="9.8515625" style="67" customWidth="1"/>
    <col min="2061" max="2061" width="10.00390625" style="67" customWidth="1"/>
    <col min="2062" max="2062" width="9.421875" style="67" customWidth="1"/>
    <col min="2063" max="2305" width="11.421875" style="67" customWidth="1"/>
    <col min="2306" max="2306" width="25.7109375" style="67" bestFit="1" customWidth="1"/>
    <col min="2307" max="2307" width="9.57421875" style="67" customWidth="1"/>
    <col min="2308" max="2308" width="9.28125" style="67" customWidth="1"/>
    <col min="2309" max="2309" width="9.140625" style="67" customWidth="1"/>
    <col min="2310" max="2310" width="9.00390625" style="67" customWidth="1"/>
    <col min="2311" max="2311" width="9.7109375" style="67" customWidth="1"/>
    <col min="2312" max="2312" width="9.140625" style="67" customWidth="1"/>
    <col min="2313" max="2313" width="8.8515625" style="67" customWidth="1"/>
    <col min="2314" max="2315" width="9.28125" style="67" customWidth="1"/>
    <col min="2316" max="2316" width="9.8515625" style="67" customWidth="1"/>
    <col min="2317" max="2317" width="10.00390625" style="67" customWidth="1"/>
    <col min="2318" max="2318" width="9.421875" style="67" customWidth="1"/>
    <col min="2319" max="2561" width="11.421875" style="67" customWidth="1"/>
    <col min="2562" max="2562" width="25.7109375" style="67" bestFit="1" customWidth="1"/>
    <col min="2563" max="2563" width="9.57421875" style="67" customWidth="1"/>
    <col min="2564" max="2564" width="9.28125" style="67" customWidth="1"/>
    <col min="2565" max="2565" width="9.140625" style="67" customWidth="1"/>
    <col min="2566" max="2566" width="9.00390625" style="67" customWidth="1"/>
    <col min="2567" max="2567" width="9.7109375" style="67" customWidth="1"/>
    <col min="2568" max="2568" width="9.140625" style="67" customWidth="1"/>
    <col min="2569" max="2569" width="8.8515625" style="67" customWidth="1"/>
    <col min="2570" max="2571" width="9.28125" style="67" customWidth="1"/>
    <col min="2572" max="2572" width="9.8515625" style="67" customWidth="1"/>
    <col min="2573" max="2573" width="10.00390625" style="67" customWidth="1"/>
    <col min="2574" max="2574" width="9.421875" style="67" customWidth="1"/>
    <col min="2575" max="2817" width="11.421875" style="67" customWidth="1"/>
    <col min="2818" max="2818" width="25.7109375" style="67" bestFit="1" customWidth="1"/>
    <col min="2819" max="2819" width="9.57421875" style="67" customWidth="1"/>
    <col min="2820" max="2820" width="9.28125" style="67" customWidth="1"/>
    <col min="2821" max="2821" width="9.140625" style="67" customWidth="1"/>
    <col min="2822" max="2822" width="9.00390625" style="67" customWidth="1"/>
    <col min="2823" max="2823" width="9.7109375" style="67" customWidth="1"/>
    <col min="2824" max="2824" width="9.140625" style="67" customWidth="1"/>
    <col min="2825" max="2825" width="8.8515625" style="67" customWidth="1"/>
    <col min="2826" max="2827" width="9.28125" style="67" customWidth="1"/>
    <col min="2828" max="2828" width="9.8515625" style="67" customWidth="1"/>
    <col min="2829" max="2829" width="10.00390625" style="67" customWidth="1"/>
    <col min="2830" max="2830" width="9.421875" style="67" customWidth="1"/>
    <col min="2831" max="3073" width="11.421875" style="67" customWidth="1"/>
    <col min="3074" max="3074" width="25.7109375" style="67" bestFit="1" customWidth="1"/>
    <col min="3075" max="3075" width="9.57421875" style="67" customWidth="1"/>
    <col min="3076" max="3076" width="9.28125" style="67" customWidth="1"/>
    <col min="3077" max="3077" width="9.140625" style="67" customWidth="1"/>
    <col min="3078" max="3078" width="9.00390625" style="67" customWidth="1"/>
    <col min="3079" max="3079" width="9.7109375" style="67" customWidth="1"/>
    <col min="3080" max="3080" width="9.140625" style="67" customWidth="1"/>
    <col min="3081" max="3081" width="8.8515625" style="67" customWidth="1"/>
    <col min="3082" max="3083" width="9.28125" style="67" customWidth="1"/>
    <col min="3084" max="3084" width="9.8515625" style="67" customWidth="1"/>
    <col min="3085" max="3085" width="10.00390625" style="67" customWidth="1"/>
    <col min="3086" max="3086" width="9.421875" style="67" customWidth="1"/>
    <col min="3087" max="3329" width="11.421875" style="67" customWidth="1"/>
    <col min="3330" max="3330" width="25.7109375" style="67" bestFit="1" customWidth="1"/>
    <col min="3331" max="3331" width="9.57421875" style="67" customWidth="1"/>
    <col min="3332" max="3332" width="9.28125" style="67" customWidth="1"/>
    <col min="3333" max="3333" width="9.140625" style="67" customWidth="1"/>
    <col min="3334" max="3334" width="9.00390625" style="67" customWidth="1"/>
    <col min="3335" max="3335" width="9.7109375" style="67" customWidth="1"/>
    <col min="3336" max="3336" width="9.140625" style="67" customWidth="1"/>
    <col min="3337" max="3337" width="8.8515625" style="67" customWidth="1"/>
    <col min="3338" max="3339" width="9.28125" style="67" customWidth="1"/>
    <col min="3340" max="3340" width="9.8515625" style="67" customWidth="1"/>
    <col min="3341" max="3341" width="10.00390625" style="67" customWidth="1"/>
    <col min="3342" max="3342" width="9.421875" style="67" customWidth="1"/>
    <col min="3343" max="3585" width="11.421875" style="67" customWidth="1"/>
    <col min="3586" max="3586" width="25.7109375" style="67" bestFit="1" customWidth="1"/>
    <col min="3587" max="3587" width="9.57421875" style="67" customWidth="1"/>
    <col min="3588" max="3588" width="9.28125" style="67" customWidth="1"/>
    <col min="3589" max="3589" width="9.140625" style="67" customWidth="1"/>
    <col min="3590" max="3590" width="9.00390625" style="67" customWidth="1"/>
    <col min="3591" max="3591" width="9.7109375" style="67" customWidth="1"/>
    <col min="3592" max="3592" width="9.140625" style="67" customWidth="1"/>
    <col min="3593" max="3593" width="8.8515625" style="67" customWidth="1"/>
    <col min="3594" max="3595" width="9.28125" style="67" customWidth="1"/>
    <col min="3596" max="3596" width="9.8515625" style="67" customWidth="1"/>
    <col min="3597" max="3597" width="10.00390625" style="67" customWidth="1"/>
    <col min="3598" max="3598" width="9.421875" style="67" customWidth="1"/>
    <col min="3599" max="3841" width="11.421875" style="67" customWidth="1"/>
    <col min="3842" max="3842" width="25.7109375" style="67" bestFit="1" customWidth="1"/>
    <col min="3843" max="3843" width="9.57421875" style="67" customWidth="1"/>
    <col min="3844" max="3844" width="9.28125" style="67" customWidth="1"/>
    <col min="3845" max="3845" width="9.140625" style="67" customWidth="1"/>
    <col min="3846" max="3846" width="9.00390625" style="67" customWidth="1"/>
    <col min="3847" max="3847" width="9.7109375" style="67" customWidth="1"/>
    <col min="3848" max="3848" width="9.140625" style="67" customWidth="1"/>
    <col min="3849" max="3849" width="8.8515625" style="67" customWidth="1"/>
    <col min="3850" max="3851" width="9.28125" style="67" customWidth="1"/>
    <col min="3852" max="3852" width="9.8515625" style="67" customWidth="1"/>
    <col min="3853" max="3853" width="10.00390625" style="67" customWidth="1"/>
    <col min="3854" max="3854" width="9.421875" style="67" customWidth="1"/>
    <col min="3855" max="4097" width="11.421875" style="67" customWidth="1"/>
    <col min="4098" max="4098" width="25.7109375" style="67" bestFit="1" customWidth="1"/>
    <col min="4099" max="4099" width="9.57421875" style="67" customWidth="1"/>
    <col min="4100" max="4100" width="9.28125" style="67" customWidth="1"/>
    <col min="4101" max="4101" width="9.140625" style="67" customWidth="1"/>
    <col min="4102" max="4102" width="9.00390625" style="67" customWidth="1"/>
    <col min="4103" max="4103" width="9.7109375" style="67" customWidth="1"/>
    <col min="4104" max="4104" width="9.140625" style="67" customWidth="1"/>
    <col min="4105" max="4105" width="8.8515625" style="67" customWidth="1"/>
    <col min="4106" max="4107" width="9.28125" style="67" customWidth="1"/>
    <col min="4108" max="4108" width="9.8515625" style="67" customWidth="1"/>
    <col min="4109" max="4109" width="10.00390625" style="67" customWidth="1"/>
    <col min="4110" max="4110" width="9.421875" style="67" customWidth="1"/>
    <col min="4111" max="4353" width="11.421875" style="67" customWidth="1"/>
    <col min="4354" max="4354" width="25.7109375" style="67" bestFit="1" customWidth="1"/>
    <col min="4355" max="4355" width="9.57421875" style="67" customWidth="1"/>
    <col min="4356" max="4356" width="9.28125" style="67" customWidth="1"/>
    <col min="4357" max="4357" width="9.140625" style="67" customWidth="1"/>
    <col min="4358" max="4358" width="9.00390625" style="67" customWidth="1"/>
    <col min="4359" max="4359" width="9.7109375" style="67" customWidth="1"/>
    <col min="4360" max="4360" width="9.140625" style="67" customWidth="1"/>
    <col min="4361" max="4361" width="8.8515625" style="67" customWidth="1"/>
    <col min="4362" max="4363" width="9.28125" style="67" customWidth="1"/>
    <col min="4364" max="4364" width="9.8515625" style="67" customWidth="1"/>
    <col min="4365" max="4365" width="10.00390625" style="67" customWidth="1"/>
    <col min="4366" max="4366" width="9.421875" style="67" customWidth="1"/>
    <col min="4367" max="4609" width="11.421875" style="67" customWidth="1"/>
    <col min="4610" max="4610" width="25.7109375" style="67" bestFit="1" customWidth="1"/>
    <col min="4611" max="4611" width="9.57421875" style="67" customWidth="1"/>
    <col min="4612" max="4612" width="9.28125" style="67" customWidth="1"/>
    <col min="4613" max="4613" width="9.140625" style="67" customWidth="1"/>
    <col min="4614" max="4614" width="9.00390625" style="67" customWidth="1"/>
    <col min="4615" max="4615" width="9.7109375" style="67" customWidth="1"/>
    <col min="4616" max="4616" width="9.140625" style="67" customWidth="1"/>
    <col min="4617" max="4617" width="8.8515625" style="67" customWidth="1"/>
    <col min="4618" max="4619" width="9.28125" style="67" customWidth="1"/>
    <col min="4620" max="4620" width="9.8515625" style="67" customWidth="1"/>
    <col min="4621" max="4621" width="10.00390625" style="67" customWidth="1"/>
    <col min="4622" max="4622" width="9.421875" style="67" customWidth="1"/>
    <col min="4623" max="4865" width="11.421875" style="67" customWidth="1"/>
    <col min="4866" max="4866" width="25.7109375" style="67" bestFit="1" customWidth="1"/>
    <col min="4867" max="4867" width="9.57421875" style="67" customWidth="1"/>
    <col min="4868" max="4868" width="9.28125" style="67" customWidth="1"/>
    <col min="4869" max="4869" width="9.140625" style="67" customWidth="1"/>
    <col min="4870" max="4870" width="9.00390625" style="67" customWidth="1"/>
    <col min="4871" max="4871" width="9.7109375" style="67" customWidth="1"/>
    <col min="4872" max="4872" width="9.140625" style="67" customWidth="1"/>
    <col min="4873" max="4873" width="8.8515625" style="67" customWidth="1"/>
    <col min="4874" max="4875" width="9.28125" style="67" customWidth="1"/>
    <col min="4876" max="4876" width="9.8515625" style="67" customWidth="1"/>
    <col min="4877" max="4877" width="10.00390625" style="67" customWidth="1"/>
    <col min="4878" max="4878" width="9.421875" style="67" customWidth="1"/>
    <col min="4879" max="5121" width="11.421875" style="67" customWidth="1"/>
    <col min="5122" max="5122" width="25.7109375" style="67" bestFit="1" customWidth="1"/>
    <col min="5123" max="5123" width="9.57421875" style="67" customWidth="1"/>
    <col min="5124" max="5124" width="9.28125" style="67" customWidth="1"/>
    <col min="5125" max="5125" width="9.140625" style="67" customWidth="1"/>
    <col min="5126" max="5126" width="9.00390625" style="67" customWidth="1"/>
    <col min="5127" max="5127" width="9.7109375" style="67" customWidth="1"/>
    <col min="5128" max="5128" width="9.140625" style="67" customWidth="1"/>
    <col min="5129" max="5129" width="8.8515625" style="67" customWidth="1"/>
    <col min="5130" max="5131" width="9.28125" style="67" customWidth="1"/>
    <col min="5132" max="5132" width="9.8515625" style="67" customWidth="1"/>
    <col min="5133" max="5133" width="10.00390625" style="67" customWidth="1"/>
    <col min="5134" max="5134" width="9.421875" style="67" customWidth="1"/>
    <col min="5135" max="5377" width="11.421875" style="67" customWidth="1"/>
    <col min="5378" max="5378" width="25.7109375" style="67" bestFit="1" customWidth="1"/>
    <col min="5379" max="5379" width="9.57421875" style="67" customWidth="1"/>
    <col min="5380" max="5380" width="9.28125" style="67" customWidth="1"/>
    <col min="5381" max="5381" width="9.140625" style="67" customWidth="1"/>
    <col min="5382" max="5382" width="9.00390625" style="67" customWidth="1"/>
    <col min="5383" max="5383" width="9.7109375" style="67" customWidth="1"/>
    <col min="5384" max="5384" width="9.140625" style="67" customWidth="1"/>
    <col min="5385" max="5385" width="8.8515625" style="67" customWidth="1"/>
    <col min="5386" max="5387" width="9.28125" style="67" customWidth="1"/>
    <col min="5388" max="5388" width="9.8515625" style="67" customWidth="1"/>
    <col min="5389" max="5389" width="10.00390625" style="67" customWidth="1"/>
    <col min="5390" max="5390" width="9.421875" style="67" customWidth="1"/>
    <col min="5391" max="5633" width="11.421875" style="67" customWidth="1"/>
    <col min="5634" max="5634" width="25.7109375" style="67" bestFit="1" customWidth="1"/>
    <col min="5635" max="5635" width="9.57421875" style="67" customWidth="1"/>
    <col min="5636" max="5636" width="9.28125" style="67" customWidth="1"/>
    <col min="5637" max="5637" width="9.140625" style="67" customWidth="1"/>
    <col min="5638" max="5638" width="9.00390625" style="67" customWidth="1"/>
    <col min="5639" max="5639" width="9.7109375" style="67" customWidth="1"/>
    <col min="5640" max="5640" width="9.140625" style="67" customWidth="1"/>
    <col min="5641" max="5641" width="8.8515625" style="67" customWidth="1"/>
    <col min="5642" max="5643" width="9.28125" style="67" customWidth="1"/>
    <col min="5644" max="5644" width="9.8515625" style="67" customWidth="1"/>
    <col min="5645" max="5645" width="10.00390625" style="67" customWidth="1"/>
    <col min="5646" max="5646" width="9.421875" style="67" customWidth="1"/>
    <col min="5647" max="5889" width="11.421875" style="67" customWidth="1"/>
    <col min="5890" max="5890" width="25.7109375" style="67" bestFit="1" customWidth="1"/>
    <col min="5891" max="5891" width="9.57421875" style="67" customWidth="1"/>
    <col min="5892" max="5892" width="9.28125" style="67" customWidth="1"/>
    <col min="5893" max="5893" width="9.140625" style="67" customWidth="1"/>
    <col min="5894" max="5894" width="9.00390625" style="67" customWidth="1"/>
    <col min="5895" max="5895" width="9.7109375" style="67" customWidth="1"/>
    <col min="5896" max="5896" width="9.140625" style="67" customWidth="1"/>
    <col min="5897" max="5897" width="8.8515625" style="67" customWidth="1"/>
    <col min="5898" max="5899" width="9.28125" style="67" customWidth="1"/>
    <col min="5900" max="5900" width="9.8515625" style="67" customWidth="1"/>
    <col min="5901" max="5901" width="10.00390625" style="67" customWidth="1"/>
    <col min="5902" max="5902" width="9.421875" style="67" customWidth="1"/>
    <col min="5903" max="6145" width="11.421875" style="67" customWidth="1"/>
    <col min="6146" max="6146" width="25.7109375" style="67" bestFit="1" customWidth="1"/>
    <col min="6147" max="6147" width="9.57421875" style="67" customWidth="1"/>
    <col min="6148" max="6148" width="9.28125" style="67" customWidth="1"/>
    <col min="6149" max="6149" width="9.140625" style="67" customWidth="1"/>
    <col min="6150" max="6150" width="9.00390625" style="67" customWidth="1"/>
    <col min="6151" max="6151" width="9.7109375" style="67" customWidth="1"/>
    <col min="6152" max="6152" width="9.140625" style="67" customWidth="1"/>
    <col min="6153" max="6153" width="8.8515625" style="67" customWidth="1"/>
    <col min="6154" max="6155" width="9.28125" style="67" customWidth="1"/>
    <col min="6156" max="6156" width="9.8515625" style="67" customWidth="1"/>
    <col min="6157" max="6157" width="10.00390625" style="67" customWidth="1"/>
    <col min="6158" max="6158" width="9.421875" style="67" customWidth="1"/>
    <col min="6159" max="6401" width="11.421875" style="67" customWidth="1"/>
    <col min="6402" max="6402" width="25.7109375" style="67" bestFit="1" customWidth="1"/>
    <col min="6403" max="6403" width="9.57421875" style="67" customWidth="1"/>
    <col min="6404" max="6404" width="9.28125" style="67" customWidth="1"/>
    <col min="6405" max="6405" width="9.140625" style="67" customWidth="1"/>
    <col min="6406" max="6406" width="9.00390625" style="67" customWidth="1"/>
    <col min="6407" max="6407" width="9.7109375" style="67" customWidth="1"/>
    <col min="6408" max="6408" width="9.140625" style="67" customWidth="1"/>
    <col min="6409" max="6409" width="8.8515625" style="67" customWidth="1"/>
    <col min="6410" max="6411" width="9.28125" style="67" customWidth="1"/>
    <col min="6412" max="6412" width="9.8515625" style="67" customWidth="1"/>
    <col min="6413" max="6413" width="10.00390625" style="67" customWidth="1"/>
    <col min="6414" max="6414" width="9.421875" style="67" customWidth="1"/>
    <col min="6415" max="6657" width="11.421875" style="67" customWidth="1"/>
    <col min="6658" max="6658" width="25.7109375" style="67" bestFit="1" customWidth="1"/>
    <col min="6659" max="6659" width="9.57421875" style="67" customWidth="1"/>
    <col min="6660" max="6660" width="9.28125" style="67" customWidth="1"/>
    <col min="6661" max="6661" width="9.140625" style="67" customWidth="1"/>
    <col min="6662" max="6662" width="9.00390625" style="67" customWidth="1"/>
    <col min="6663" max="6663" width="9.7109375" style="67" customWidth="1"/>
    <col min="6664" max="6664" width="9.140625" style="67" customWidth="1"/>
    <col min="6665" max="6665" width="8.8515625" style="67" customWidth="1"/>
    <col min="6666" max="6667" width="9.28125" style="67" customWidth="1"/>
    <col min="6668" max="6668" width="9.8515625" style="67" customWidth="1"/>
    <col min="6669" max="6669" width="10.00390625" style="67" customWidth="1"/>
    <col min="6670" max="6670" width="9.421875" style="67" customWidth="1"/>
    <col min="6671" max="6913" width="11.421875" style="67" customWidth="1"/>
    <col min="6914" max="6914" width="25.7109375" style="67" bestFit="1" customWidth="1"/>
    <col min="6915" max="6915" width="9.57421875" style="67" customWidth="1"/>
    <col min="6916" max="6916" width="9.28125" style="67" customWidth="1"/>
    <col min="6917" max="6917" width="9.140625" style="67" customWidth="1"/>
    <col min="6918" max="6918" width="9.00390625" style="67" customWidth="1"/>
    <col min="6919" max="6919" width="9.7109375" style="67" customWidth="1"/>
    <col min="6920" max="6920" width="9.140625" style="67" customWidth="1"/>
    <col min="6921" max="6921" width="8.8515625" style="67" customWidth="1"/>
    <col min="6922" max="6923" width="9.28125" style="67" customWidth="1"/>
    <col min="6924" max="6924" width="9.8515625" style="67" customWidth="1"/>
    <col min="6925" max="6925" width="10.00390625" style="67" customWidth="1"/>
    <col min="6926" max="6926" width="9.421875" style="67" customWidth="1"/>
    <col min="6927" max="7169" width="11.421875" style="67" customWidth="1"/>
    <col min="7170" max="7170" width="25.7109375" style="67" bestFit="1" customWidth="1"/>
    <col min="7171" max="7171" width="9.57421875" style="67" customWidth="1"/>
    <col min="7172" max="7172" width="9.28125" style="67" customWidth="1"/>
    <col min="7173" max="7173" width="9.140625" style="67" customWidth="1"/>
    <col min="7174" max="7174" width="9.00390625" style="67" customWidth="1"/>
    <col min="7175" max="7175" width="9.7109375" style="67" customWidth="1"/>
    <col min="7176" max="7176" width="9.140625" style="67" customWidth="1"/>
    <col min="7177" max="7177" width="8.8515625" style="67" customWidth="1"/>
    <col min="7178" max="7179" width="9.28125" style="67" customWidth="1"/>
    <col min="7180" max="7180" width="9.8515625" style="67" customWidth="1"/>
    <col min="7181" max="7181" width="10.00390625" style="67" customWidth="1"/>
    <col min="7182" max="7182" width="9.421875" style="67" customWidth="1"/>
    <col min="7183" max="7425" width="11.421875" style="67" customWidth="1"/>
    <col min="7426" max="7426" width="25.7109375" style="67" bestFit="1" customWidth="1"/>
    <col min="7427" max="7427" width="9.57421875" style="67" customWidth="1"/>
    <col min="7428" max="7428" width="9.28125" style="67" customWidth="1"/>
    <col min="7429" max="7429" width="9.140625" style="67" customWidth="1"/>
    <col min="7430" max="7430" width="9.00390625" style="67" customWidth="1"/>
    <col min="7431" max="7431" width="9.7109375" style="67" customWidth="1"/>
    <col min="7432" max="7432" width="9.140625" style="67" customWidth="1"/>
    <col min="7433" max="7433" width="8.8515625" style="67" customWidth="1"/>
    <col min="7434" max="7435" width="9.28125" style="67" customWidth="1"/>
    <col min="7436" max="7436" width="9.8515625" style="67" customWidth="1"/>
    <col min="7437" max="7437" width="10.00390625" style="67" customWidth="1"/>
    <col min="7438" max="7438" width="9.421875" style="67" customWidth="1"/>
    <col min="7439" max="7681" width="11.421875" style="67" customWidth="1"/>
    <col min="7682" max="7682" width="25.7109375" style="67" bestFit="1" customWidth="1"/>
    <col min="7683" max="7683" width="9.57421875" style="67" customWidth="1"/>
    <col min="7684" max="7684" width="9.28125" style="67" customWidth="1"/>
    <col min="7685" max="7685" width="9.140625" style="67" customWidth="1"/>
    <col min="7686" max="7686" width="9.00390625" style="67" customWidth="1"/>
    <col min="7687" max="7687" width="9.7109375" style="67" customWidth="1"/>
    <col min="7688" max="7688" width="9.140625" style="67" customWidth="1"/>
    <col min="7689" max="7689" width="8.8515625" style="67" customWidth="1"/>
    <col min="7690" max="7691" width="9.28125" style="67" customWidth="1"/>
    <col min="7692" max="7692" width="9.8515625" style="67" customWidth="1"/>
    <col min="7693" max="7693" width="10.00390625" style="67" customWidth="1"/>
    <col min="7694" max="7694" width="9.421875" style="67" customWidth="1"/>
    <col min="7695" max="7937" width="11.421875" style="67" customWidth="1"/>
    <col min="7938" max="7938" width="25.7109375" style="67" bestFit="1" customWidth="1"/>
    <col min="7939" max="7939" width="9.57421875" style="67" customWidth="1"/>
    <col min="7940" max="7940" width="9.28125" style="67" customWidth="1"/>
    <col min="7941" max="7941" width="9.140625" style="67" customWidth="1"/>
    <col min="7942" max="7942" width="9.00390625" style="67" customWidth="1"/>
    <col min="7943" max="7943" width="9.7109375" style="67" customWidth="1"/>
    <col min="7944" max="7944" width="9.140625" style="67" customWidth="1"/>
    <col min="7945" max="7945" width="8.8515625" style="67" customWidth="1"/>
    <col min="7946" max="7947" width="9.28125" style="67" customWidth="1"/>
    <col min="7948" max="7948" width="9.8515625" style="67" customWidth="1"/>
    <col min="7949" max="7949" width="10.00390625" style="67" customWidth="1"/>
    <col min="7950" max="7950" width="9.421875" style="67" customWidth="1"/>
    <col min="7951" max="8193" width="11.421875" style="67" customWidth="1"/>
    <col min="8194" max="8194" width="25.7109375" style="67" bestFit="1" customWidth="1"/>
    <col min="8195" max="8195" width="9.57421875" style="67" customWidth="1"/>
    <col min="8196" max="8196" width="9.28125" style="67" customWidth="1"/>
    <col min="8197" max="8197" width="9.140625" style="67" customWidth="1"/>
    <col min="8198" max="8198" width="9.00390625" style="67" customWidth="1"/>
    <col min="8199" max="8199" width="9.7109375" style="67" customWidth="1"/>
    <col min="8200" max="8200" width="9.140625" style="67" customWidth="1"/>
    <col min="8201" max="8201" width="8.8515625" style="67" customWidth="1"/>
    <col min="8202" max="8203" width="9.28125" style="67" customWidth="1"/>
    <col min="8204" max="8204" width="9.8515625" style="67" customWidth="1"/>
    <col min="8205" max="8205" width="10.00390625" style="67" customWidth="1"/>
    <col min="8206" max="8206" width="9.421875" style="67" customWidth="1"/>
    <col min="8207" max="8449" width="11.421875" style="67" customWidth="1"/>
    <col min="8450" max="8450" width="25.7109375" style="67" bestFit="1" customWidth="1"/>
    <col min="8451" max="8451" width="9.57421875" style="67" customWidth="1"/>
    <col min="8452" max="8452" width="9.28125" style="67" customWidth="1"/>
    <col min="8453" max="8453" width="9.140625" style="67" customWidth="1"/>
    <col min="8454" max="8454" width="9.00390625" style="67" customWidth="1"/>
    <col min="8455" max="8455" width="9.7109375" style="67" customWidth="1"/>
    <col min="8456" max="8456" width="9.140625" style="67" customWidth="1"/>
    <col min="8457" max="8457" width="8.8515625" style="67" customWidth="1"/>
    <col min="8458" max="8459" width="9.28125" style="67" customWidth="1"/>
    <col min="8460" max="8460" width="9.8515625" style="67" customWidth="1"/>
    <col min="8461" max="8461" width="10.00390625" style="67" customWidth="1"/>
    <col min="8462" max="8462" width="9.421875" style="67" customWidth="1"/>
    <col min="8463" max="8705" width="11.421875" style="67" customWidth="1"/>
    <col min="8706" max="8706" width="25.7109375" style="67" bestFit="1" customWidth="1"/>
    <col min="8707" max="8707" width="9.57421875" style="67" customWidth="1"/>
    <col min="8708" max="8708" width="9.28125" style="67" customWidth="1"/>
    <col min="8709" max="8709" width="9.140625" style="67" customWidth="1"/>
    <col min="8710" max="8710" width="9.00390625" style="67" customWidth="1"/>
    <col min="8711" max="8711" width="9.7109375" style="67" customWidth="1"/>
    <col min="8712" max="8712" width="9.140625" style="67" customWidth="1"/>
    <col min="8713" max="8713" width="8.8515625" style="67" customWidth="1"/>
    <col min="8714" max="8715" width="9.28125" style="67" customWidth="1"/>
    <col min="8716" max="8716" width="9.8515625" style="67" customWidth="1"/>
    <col min="8717" max="8717" width="10.00390625" style="67" customWidth="1"/>
    <col min="8718" max="8718" width="9.421875" style="67" customWidth="1"/>
    <col min="8719" max="8961" width="11.421875" style="67" customWidth="1"/>
    <col min="8962" max="8962" width="25.7109375" style="67" bestFit="1" customWidth="1"/>
    <col min="8963" max="8963" width="9.57421875" style="67" customWidth="1"/>
    <col min="8964" max="8964" width="9.28125" style="67" customWidth="1"/>
    <col min="8965" max="8965" width="9.140625" style="67" customWidth="1"/>
    <col min="8966" max="8966" width="9.00390625" style="67" customWidth="1"/>
    <col min="8967" max="8967" width="9.7109375" style="67" customWidth="1"/>
    <col min="8968" max="8968" width="9.140625" style="67" customWidth="1"/>
    <col min="8969" max="8969" width="8.8515625" style="67" customWidth="1"/>
    <col min="8970" max="8971" width="9.28125" style="67" customWidth="1"/>
    <col min="8972" max="8972" width="9.8515625" style="67" customWidth="1"/>
    <col min="8973" max="8973" width="10.00390625" style="67" customWidth="1"/>
    <col min="8974" max="8974" width="9.421875" style="67" customWidth="1"/>
    <col min="8975" max="9217" width="11.421875" style="67" customWidth="1"/>
    <col min="9218" max="9218" width="25.7109375" style="67" bestFit="1" customWidth="1"/>
    <col min="9219" max="9219" width="9.57421875" style="67" customWidth="1"/>
    <col min="9220" max="9220" width="9.28125" style="67" customWidth="1"/>
    <col min="9221" max="9221" width="9.140625" style="67" customWidth="1"/>
    <col min="9222" max="9222" width="9.00390625" style="67" customWidth="1"/>
    <col min="9223" max="9223" width="9.7109375" style="67" customWidth="1"/>
    <col min="9224" max="9224" width="9.140625" style="67" customWidth="1"/>
    <col min="9225" max="9225" width="8.8515625" style="67" customWidth="1"/>
    <col min="9226" max="9227" width="9.28125" style="67" customWidth="1"/>
    <col min="9228" max="9228" width="9.8515625" style="67" customWidth="1"/>
    <col min="9229" max="9229" width="10.00390625" style="67" customWidth="1"/>
    <col min="9230" max="9230" width="9.421875" style="67" customWidth="1"/>
    <col min="9231" max="9473" width="11.421875" style="67" customWidth="1"/>
    <col min="9474" max="9474" width="25.7109375" style="67" bestFit="1" customWidth="1"/>
    <col min="9475" max="9475" width="9.57421875" style="67" customWidth="1"/>
    <col min="9476" max="9476" width="9.28125" style="67" customWidth="1"/>
    <col min="9477" max="9477" width="9.140625" style="67" customWidth="1"/>
    <col min="9478" max="9478" width="9.00390625" style="67" customWidth="1"/>
    <col min="9479" max="9479" width="9.7109375" style="67" customWidth="1"/>
    <col min="9480" max="9480" width="9.140625" style="67" customWidth="1"/>
    <col min="9481" max="9481" width="8.8515625" style="67" customWidth="1"/>
    <col min="9482" max="9483" width="9.28125" style="67" customWidth="1"/>
    <col min="9484" max="9484" width="9.8515625" style="67" customWidth="1"/>
    <col min="9485" max="9485" width="10.00390625" style="67" customWidth="1"/>
    <col min="9486" max="9486" width="9.421875" style="67" customWidth="1"/>
    <col min="9487" max="9729" width="11.421875" style="67" customWidth="1"/>
    <col min="9730" max="9730" width="25.7109375" style="67" bestFit="1" customWidth="1"/>
    <col min="9731" max="9731" width="9.57421875" style="67" customWidth="1"/>
    <col min="9732" max="9732" width="9.28125" style="67" customWidth="1"/>
    <col min="9733" max="9733" width="9.140625" style="67" customWidth="1"/>
    <col min="9734" max="9734" width="9.00390625" style="67" customWidth="1"/>
    <col min="9735" max="9735" width="9.7109375" style="67" customWidth="1"/>
    <col min="9736" max="9736" width="9.140625" style="67" customWidth="1"/>
    <col min="9737" max="9737" width="8.8515625" style="67" customWidth="1"/>
    <col min="9738" max="9739" width="9.28125" style="67" customWidth="1"/>
    <col min="9740" max="9740" width="9.8515625" style="67" customWidth="1"/>
    <col min="9741" max="9741" width="10.00390625" style="67" customWidth="1"/>
    <col min="9742" max="9742" width="9.421875" style="67" customWidth="1"/>
    <col min="9743" max="9985" width="11.421875" style="67" customWidth="1"/>
    <col min="9986" max="9986" width="25.7109375" style="67" bestFit="1" customWidth="1"/>
    <col min="9987" max="9987" width="9.57421875" style="67" customWidth="1"/>
    <col min="9988" max="9988" width="9.28125" style="67" customWidth="1"/>
    <col min="9989" max="9989" width="9.140625" style="67" customWidth="1"/>
    <col min="9990" max="9990" width="9.00390625" style="67" customWidth="1"/>
    <col min="9991" max="9991" width="9.7109375" style="67" customWidth="1"/>
    <col min="9992" max="9992" width="9.140625" style="67" customWidth="1"/>
    <col min="9993" max="9993" width="8.8515625" style="67" customWidth="1"/>
    <col min="9994" max="9995" width="9.28125" style="67" customWidth="1"/>
    <col min="9996" max="9996" width="9.8515625" style="67" customWidth="1"/>
    <col min="9997" max="9997" width="10.00390625" style="67" customWidth="1"/>
    <col min="9998" max="9998" width="9.421875" style="67" customWidth="1"/>
    <col min="9999" max="10241" width="11.421875" style="67" customWidth="1"/>
    <col min="10242" max="10242" width="25.7109375" style="67" bestFit="1" customWidth="1"/>
    <col min="10243" max="10243" width="9.57421875" style="67" customWidth="1"/>
    <col min="10244" max="10244" width="9.28125" style="67" customWidth="1"/>
    <col min="10245" max="10245" width="9.140625" style="67" customWidth="1"/>
    <col min="10246" max="10246" width="9.00390625" style="67" customWidth="1"/>
    <col min="10247" max="10247" width="9.7109375" style="67" customWidth="1"/>
    <col min="10248" max="10248" width="9.140625" style="67" customWidth="1"/>
    <col min="10249" max="10249" width="8.8515625" style="67" customWidth="1"/>
    <col min="10250" max="10251" width="9.28125" style="67" customWidth="1"/>
    <col min="10252" max="10252" width="9.8515625" style="67" customWidth="1"/>
    <col min="10253" max="10253" width="10.00390625" style="67" customWidth="1"/>
    <col min="10254" max="10254" width="9.421875" style="67" customWidth="1"/>
    <col min="10255" max="10497" width="11.421875" style="67" customWidth="1"/>
    <col min="10498" max="10498" width="25.7109375" style="67" bestFit="1" customWidth="1"/>
    <col min="10499" max="10499" width="9.57421875" style="67" customWidth="1"/>
    <col min="10500" max="10500" width="9.28125" style="67" customWidth="1"/>
    <col min="10501" max="10501" width="9.140625" style="67" customWidth="1"/>
    <col min="10502" max="10502" width="9.00390625" style="67" customWidth="1"/>
    <col min="10503" max="10503" width="9.7109375" style="67" customWidth="1"/>
    <col min="10504" max="10504" width="9.140625" style="67" customWidth="1"/>
    <col min="10505" max="10505" width="8.8515625" style="67" customWidth="1"/>
    <col min="10506" max="10507" width="9.28125" style="67" customWidth="1"/>
    <col min="10508" max="10508" width="9.8515625" style="67" customWidth="1"/>
    <col min="10509" max="10509" width="10.00390625" style="67" customWidth="1"/>
    <col min="10510" max="10510" width="9.421875" style="67" customWidth="1"/>
    <col min="10511" max="10753" width="11.421875" style="67" customWidth="1"/>
    <col min="10754" max="10754" width="25.7109375" style="67" bestFit="1" customWidth="1"/>
    <col min="10755" max="10755" width="9.57421875" style="67" customWidth="1"/>
    <col min="10756" max="10756" width="9.28125" style="67" customWidth="1"/>
    <col min="10757" max="10757" width="9.140625" style="67" customWidth="1"/>
    <col min="10758" max="10758" width="9.00390625" style="67" customWidth="1"/>
    <col min="10759" max="10759" width="9.7109375" style="67" customWidth="1"/>
    <col min="10760" max="10760" width="9.140625" style="67" customWidth="1"/>
    <col min="10761" max="10761" width="8.8515625" style="67" customWidth="1"/>
    <col min="10762" max="10763" width="9.28125" style="67" customWidth="1"/>
    <col min="10764" max="10764" width="9.8515625" style="67" customWidth="1"/>
    <col min="10765" max="10765" width="10.00390625" style="67" customWidth="1"/>
    <col min="10766" max="10766" width="9.421875" style="67" customWidth="1"/>
    <col min="10767" max="11009" width="11.421875" style="67" customWidth="1"/>
    <col min="11010" max="11010" width="25.7109375" style="67" bestFit="1" customWidth="1"/>
    <col min="11011" max="11011" width="9.57421875" style="67" customWidth="1"/>
    <col min="11012" max="11012" width="9.28125" style="67" customWidth="1"/>
    <col min="11013" max="11013" width="9.140625" style="67" customWidth="1"/>
    <col min="11014" max="11014" width="9.00390625" style="67" customWidth="1"/>
    <col min="11015" max="11015" width="9.7109375" style="67" customWidth="1"/>
    <col min="11016" max="11016" width="9.140625" style="67" customWidth="1"/>
    <col min="11017" max="11017" width="8.8515625" style="67" customWidth="1"/>
    <col min="11018" max="11019" width="9.28125" style="67" customWidth="1"/>
    <col min="11020" max="11020" width="9.8515625" style="67" customWidth="1"/>
    <col min="11021" max="11021" width="10.00390625" style="67" customWidth="1"/>
    <col min="11022" max="11022" width="9.421875" style="67" customWidth="1"/>
    <col min="11023" max="11265" width="11.421875" style="67" customWidth="1"/>
    <col min="11266" max="11266" width="25.7109375" style="67" bestFit="1" customWidth="1"/>
    <col min="11267" max="11267" width="9.57421875" style="67" customWidth="1"/>
    <col min="11268" max="11268" width="9.28125" style="67" customWidth="1"/>
    <col min="11269" max="11269" width="9.140625" style="67" customWidth="1"/>
    <col min="11270" max="11270" width="9.00390625" style="67" customWidth="1"/>
    <col min="11271" max="11271" width="9.7109375" style="67" customWidth="1"/>
    <col min="11272" max="11272" width="9.140625" style="67" customWidth="1"/>
    <col min="11273" max="11273" width="8.8515625" style="67" customWidth="1"/>
    <col min="11274" max="11275" width="9.28125" style="67" customWidth="1"/>
    <col min="11276" max="11276" width="9.8515625" style="67" customWidth="1"/>
    <col min="11277" max="11277" width="10.00390625" style="67" customWidth="1"/>
    <col min="11278" max="11278" width="9.421875" style="67" customWidth="1"/>
    <col min="11279" max="11521" width="11.421875" style="67" customWidth="1"/>
    <col min="11522" max="11522" width="25.7109375" style="67" bestFit="1" customWidth="1"/>
    <col min="11523" max="11523" width="9.57421875" style="67" customWidth="1"/>
    <col min="11524" max="11524" width="9.28125" style="67" customWidth="1"/>
    <col min="11525" max="11525" width="9.140625" style="67" customWidth="1"/>
    <col min="11526" max="11526" width="9.00390625" style="67" customWidth="1"/>
    <col min="11527" max="11527" width="9.7109375" style="67" customWidth="1"/>
    <col min="11528" max="11528" width="9.140625" style="67" customWidth="1"/>
    <col min="11529" max="11529" width="8.8515625" style="67" customWidth="1"/>
    <col min="11530" max="11531" width="9.28125" style="67" customWidth="1"/>
    <col min="11532" max="11532" width="9.8515625" style="67" customWidth="1"/>
    <col min="11533" max="11533" width="10.00390625" style="67" customWidth="1"/>
    <col min="11534" max="11534" width="9.421875" style="67" customWidth="1"/>
    <col min="11535" max="11777" width="11.421875" style="67" customWidth="1"/>
    <col min="11778" max="11778" width="25.7109375" style="67" bestFit="1" customWidth="1"/>
    <col min="11779" max="11779" width="9.57421875" style="67" customWidth="1"/>
    <col min="11780" max="11780" width="9.28125" style="67" customWidth="1"/>
    <col min="11781" max="11781" width="9.140625" style="67" customWidth="1"/>
    <col min="11782" max="11782" width="9.00390625" style="67" customWidth="1"/>
    <col min="11783" max="11783" width="9.7109375" style="67" customWidth="1"/>
    <col min="11784" max="11784" width="9.140625" style="67" customWidth="1"/>
    <col min="11785" max="11785" width="8.8515625" style="67" customWidth="1"/>
    <col min="11786" max="11787" width="9.28125" style="67" customWidth="1"/>
    <col min="11788" max="11788" width="9.8515625" style="67" customWidth="1"/>
    <col min="11789" max="11789" width="10.00390625" style="67" customWidth="1"/>
    <col min="11790" max="11790" width="9.421875" style="67" customWidth="1"/>
    <col min="11791" max="12033" width="11.421875" style="67" customWidth="1"/>
    <col min="12034" max="12034" width="25.7109375" style="67" bestFit="1" customWidth="1"/>
    <col min="12035" max="12035" width="9.57421875" style="67" customWidth="1"/>
    <col min="12036" max="12036" width="9.28125" style="67" customWidth="1"/>
    <col min="12037" max="12037" width="9.140625" style="67" customWidth="1"/>
    <col min="12038" max="12038" width="9.00390625" style="67" customWidth="1"/>
    <col min="12039" max="12039" width="9.7109375" style="67" customWidth="1"/>
    <col min="12040" max="12040" width="9.140625" style="67" customWidth="1"/>
    <col min="12041" max="12041" width="8.8515625" style="67" customWidth="1"/>
    <col min="12042" max="12043" width="9.28125" style="67" customWidth="1"/>
    <col min="12044" max="12044" width="9.8515625" style="67" customWidth="1"/>
    <col min="12045" max="12045" width="10.00390625" style="67" customWidth="1"/>
    <col min="12046" max="12046" width="9.421875" style="67" customWidth="1"/>
    <col min="12047" max="12289" width="11.421875" style="67" customWidth="1"/>
    <col min="12290" max="12290" width="25.7109375" style="67" bestFit="1" customWidth="1"/>
    <col min="12291" max="12291" width="9.57421875" style="67" customWidth="1"/>
    <col min="12292" max="12292" width="9.28125" style="67" customWidth="1"/>
    <col min="12293" max="12293" width="9.140625" style="67" customWidth="1"/>
    <col min="12294" max="12294" width="9.00390625" style="67" customWidth="1"/>
    <col min="12295" max="12295" width="9.7109375" style="67" customWidth="1"/>
    <col min="12296" max="12296" width="9.140625" style="67" customWidth="1"/>
    <col min="12297" max="12297" width="8.8515625" style="67" customWidth="1"/>
    <col min="12298" max="12299" width="9.28125" style="67" customWidth="1"/>
    <col min="12300" max="12300" width="9.8515625" style="67" customWidth="1"/>
    <col min="12301" max="12301" width="10.00390625" style="67" customWidth="1"/>
    <col min="12302" max="12302" width="9.421875" style="67" customWidth="1"/>
    <col min="12303" max="12545" width="11.421875" style="67" customWidth="1"/>
    <col min="12546" max="12546" width="25.7109375" style="67" bestFit="1" customWidth="1"/>
    <col min="12547" max="12547" width="9.57421875" style="67" customWidth="1"/>
    <col min="12548" max="12548" width="9.28125" style="67" customWidth="1"/>
    <col min="12549" max="12549" width="9.140625" style="67" customWidth="1"/>
    <col min="12550" max="12550" width="9.00390625" style="67" customWidth="1"/>
    <col min="12551" max="12551" width="9.7109375" style="67" customWidth="1"/>
    <col min="12552" max="12552" width="9.140625" style="67" customWidth="1"/>
    <col min="12553" max="12553" width="8.8515625" style="67" customWidth="1"/>
    <col min="12554" max="12555" width="9.28125" style="67" customWidth="1"/>
    <col min="12556" max="12556" width="9.8515625" style="67" customWidth="1"/>
    <col min="12557" max="12557" width="10.00390625" style="67" customWidth="1"/>
    <col min="12558" max="12558" width="9.421875" style="67" customWidth="1"/>
    <col min="12559" max="12801" width="11.421875" style="67" customWidth="1"/>
    <col min="12802" max="12802" width="25.7109375" style="67" bestFit="1" customWidth="1"/>
    <col min="12803" max="12803" width="9.57421875" style="67" customWidth="1"/>
    <col min="12804" max="12804" width="9.28125" style="67" customWidth="1"/>
    <col min="12805" max="12805" width="9.140625" style="67" customWidth="1"/>
    <col min="12806" max="12806" width="9.00390625" style="67" customWidth="1"/>
    <col min="12807" max="12807" width="9.7109375" style="67" customWidth="1"/>
    <col min="12808" max="12808" width="9.140625" style="67" customWidth="1"/>
    <col min="12809" max="12809" width="8.8515625" style="67" customWidth="1"/>
    <col min="12810" max="12811" width="9.28125" style="67" customWidth="1"/>
    <col min="12812" max="12812" width="9.8515625" style="67" customWidth="1"/>
    <col min="12813" max="12813" width="10.00390625" style="67" customWidth="1"/>
    <col min="12814" max="12814" width="9.421875" style="67" customWidth="1"/>
    <col min="12815" max="13057" width="11.421875" style="67" customWidth="1"/>
    <col min="13058" max="13058" width="25.7109375" style="67" bestFit="1" customWidth="1"/>
    <col min="13059" max="13059" width="9.57421875" style="67" customWidth="1"/>
    <col min="13060" max="13060" width="9.28125" style="67" customWidth="1"/>
    <col min="13061" max="13061" width="9.140625" style="67" customWidth="1"/>
    <col min="13062" max="13062" width="9.00390625" style="67" customWidth="1"/>
    <col min="13063" max="13063" width="9.7109375" style="67" customWidth="1"/>
    <col min="13064" max="13064" width="9.140625" style="67" customWidth="1"/>
    <col min="13065" max="13065" width="8.8515625" style="67" customWidth="1"/>
    <col min="13066" max="13067" width="9.28125" style="67" customWidth="1"/>
    <col min="13068" max="13068" width="9.8515625" style="67" customWidth="1"/>
    <col min="13069" max="13069" width="10.00390625" style="67" customWidth="1"/>
    <col min="13070" max="13070" width="9.421875" style="67" customWidth="1"/>
    <col min="13071" max="13313" width="11.421875" style="67" customWidth="1"/>
    <col min="13314" max="13314" width="25.7109375" style="67" bestFit="1" customWidth="1"/>
    <col min="13315" max="13315" width="9.57421875" style="67" customWidth="1"/>
    <col min="13316" max="13316" width="9.28125" style="67" customWidth="1"/>
    <col min="13317" max="13317" width="9.140625" style="67" customWidth="1"/>
    <col min="13318" max="13318" width="9.00390625" style="67" customWidth="1"/>
    <col min="13319" max="13319" width="9.7109375" style="67" customWidth="1"/>
    <col min="13320" max="13320" width="9.140625" style="67" customWidth="1"/>
    <col min="13321" max="13321" width="8.8515625" style="67" customWidth="1"/>
    <col min="13322" max="13323" width="9.28125" style="67" customWidth="1"/>
    <col min="13324" max="13324" width="9.8515625" style="67" customWidth="1"/>
    <col min="13325" max="13325" width="10.00390625" style="67" customWidth="1"/>
    <col min="13326" max="13326" width="9.421875" style="67" customWidth="1"/>
    <col min="13327" max="13569" width="11.421875" style="67" customWidth="1"/>
    <col min="13570" max="13570" width="25.7109375" style="67" bestFit="1" customWidth="1"/>
    <col min="13571" max="13571" width="9.57421875" style="67" customWidth="1"/>
    <col min="13572" max="13572" width="9.28125" style="67" customWidth="1"/>
    <col min="13573" max="13573" width="9.140625" style="67" customWidth="1"/>
    <col min="13574" max="13574" width="9.00390625" style="67" customWidth="1"/>
    <col min="13575" max="13575" width="9.7109375" style="67" customWidth="1"/>
    <col min="13576" max="13576" width="9.140625" style="67" customWidth="1"/>
    <col min="13577" max="13577" width="8.8515625" style="67" customWidth="1"/>
    <col min="13578" max="13579" width="9.28125" style="67" customWidth="1"/>
    <col min="13580" max="13580" width="9.8515625" style="67" customWidth="1"/>
    <col min="13581" max="13581" width="10.00390625" style="67" customWidth="1"/>
    <col min="13582" max="13582" width="9.421875" style="67" customWidth="1"/>
    <col min="13583" max="13825" width="11.421875" style="67" customWidth="1"/>
    <col min="13826" max="13826" width="25.7109375" style="67" bestFit="1" customWidth="1"/>
    <col min="13827" max="13827" width="9.57421875" style="67" customWidth="1"/>
    <col min="13828" max="13828" width="9.28125" style="67" customWidth="1"/>
    <col min="13829" max="13829" width="9.140625" style="67" customWidth="1"/>
    <col min="13830" max="13830" width="9.00390625" style="67" customWidth="1"/>
    <col min="13831" max="13831" width="9.7109375" style="67" customWidth="1"/>
    <col min="13832" max="13832" width="9.140625" style="67" customWidth="1"/>
    <col min="13833" max="13833" width="8.8515625" style="67" customWidth="1"/>
    <col min="13834" max="13835" width="9.28125" style="67" customWidth="1"/>
    <col min="13836" max="13836" width="9.8515625" style="67" customWidth="1"/>
    <col min="13837" max="13837" width="10.00390625" style="67" customWidth="1"/>
    <col min="13838" max="13838" width="9.421875" style="67" customWidth="1"/>
    <col min="13839" max="14081" width="11.421875" style="67" customWidth="1"/>
    <col min="14082" max="14082" width="25.7109375" style="67" bestFit="1" customWidth="1"/>
    <col min="14083" max="14083" width="9.57421875" style="67" customWidth="1"/>
    <col min="14084" max="14084" width="9.28125" style="67" customWidth="1"/>
    <col min="14085" max="14085" width="9.140625" style="67" customWidth="1"/>
    <col min="14086" max="14086" width="9.00390625" style="67" customWidth="1"/>
    <col min="14087" max="14087" width="9.7109375" style="67" customWidth="1"/>
    <col min="14088" max="14088" width="9.140625" style="67" customWidth="1"/>
    <col min="14089" max="14089" width="8.8515625" style="67" customWidth="1"/>
    <col min="14090" max="14091" width="9.28125" style="67" customWidth="1"/>
    <col min="14092" max="14092" width="9.8515625" style="67" customWidth="1"/>
    <col min="14093" max="14093" width="10.00390625" style="67" customWidth="1"/>
    <col min="14094" max="14094" width="9.421875" style="67" customWidth="1"/>
    <col min="14095" max="14337" width="11.421875" style="67" customWidth="1"/>
    <col min="14338" max="14338" width="25.7109375" style="67" bestFit="1" customWidth="1"/>
    <col min="14339" max="14339" width="9.57421875" style="67" customWidth="1"/>
    <col min="14340" max="14340" width="9.28125" style="67" customWidth="1"/>
    <col min="14341" max="14341" width="9.140625" style="67" customWidth="1"/>
    <col min="14342" max="14342" width="9.00390625" style="67" customWidth="1"/>
    <col min="14343" max="14343" width="9.7109375" style="67" customWidth="1"/>
    <col min="14344" max="14344" width="9.140625" style="67" customWidth="1"/>
    <col min="14345" max="14345" width="8.8515625" style="67" customWidth="1"/>
    <col min="14346" max="14347" width="9.28125" style="67" customWidth="1"/>
    <col min="14348" max="14348" width="9.8515625" style="67" customWidth="1"/>
    <col min="14349" max="14349" width="10.00390625" style="67" customWidth="1"/>
    <col min="14350" max="14350" width="9.421875" style="67" customWidth="1"/>
    <col min="14351" max="14593" width="11.421875" style="67" customWidth="1"/>
    <col min="14594" max="14594" width="25.7109375" style="67" bestFit="1" customWidth="1"/>
    <col min="14595" max="14595" width="9.57421875" style="67" customWidth="1"/>
    <col min="14596" max="14596" width="9.28125" style="67" customWidth="1"/>
    <col min="14597" max="14597" width="9.140625" style="67" customWidth="1"/>
    <col min="14598" max="14598" width="9.00390625" style="67" customWidth="1"/>
    <col min="14599" max="14599" width="9.7109375" style="67" customWidth="1"/>
    <col min="14600" max="14600" width="9.140625" style="67" customWidth="1"/>
    <col min="14601" max="14601" width="8.8515625" style="67" customWidth="1"/>
    <col min="14602" max="14603" width="9.28125" style="67" customWidth="1"/>
    <col min="14604" max="14604" width="9.8515625" style="67" customWidth="1"/>
    <col min="14605" max="14605" width="10.00390625" style="67" customWidth="1"/>
    <col min="14606" max="14606" width="9.421875" style="67" customWidth="1"/>
    <col min="14607" max="14849" width="11.421875" style="67" customWidth="1"/>
    <col min="14850" max="14850" width="25.7109375" style="67" bestFit="1" customWidth="1"/>
    <col min="14851" max="14851" width="9.57421875" style="67" customWidth="1"/>
    <col min="14852" max="14852" width="9.28125" style="67" customWidth="1"/>
    <col min="14853" max="14853" width="9.140625" style="67" customWidth="1"/>
    <col min="14854" max="14854" width="9.00390625" style="67" customWidth="1"/>
    <col min="14855" max="14855" width="9.7109375" style="67" customWidth="1"/>
    <col min="14856" max="14856" width="9.140625" style="67" customWidth="1"/>
    <col min="14857" max="14857" width="8.8515625" style="67" customWidth="1"/>
    <col min="14858" max="14859" width="9.28125" style="67" customWidth="1"/>
    <col min="14860" max="14860" width="9.8515625" style="67" customWidth="1"/>
    <col min="14861" max="14861" width="10.00390625" style="67" customWidth="1"/>
    <col min="14862" max="14862" width="9.421875" style="67" customWidth="1"/>
    <col min="14863" max="15105" width="11.421875" style="67" customWidth="1"/>
    <col min="15106" max="15106" width="25.7109375" style="67" bestFit="1" customWidth="1"/>
    <col min="15107" max="15107" width="9.57421875" style="67" customWidth="1"/>
    <col min="15108" max="15108" width="9.28125" style="67" customWidth="1"/>
    <col min="15109" max="15109" width="9.140625" style="67" customWidth="1"/>
    <col min="15110" max="15110" width="9.00390625" style="67" customWidth="1"/>
    <col min="15111" max="15111" width="9.7109375" style="67" customWidth="1"/>
    <col min="15112" max="15112" width="9.140625" style="67" customWidth="1"/>
    <col min="15113" max="15113" width="8.8515625" style="67" customWidth="1"/>
    <col min="15114" max="15115" width="9.28125" style="67" customWidth="1"/>
    <col min="15116" max="15116" width="9.8515625" style="67" customWidth="1"/>
    <col min="15117" max="15117" width="10.00390625" style="67" customWidth="1"/>
    <col min="15118" max="15118" width="9.421875" style="67" customWidth="1"/>
    <col min="15119" max="15361" width="11.421875" style="67" customWidth="1"/>
    <col min="15362" max="15362" width="25.7109375" style="67" bestFit="1" customWidth="1"/>
    <col min="15363" max="15363" width="9.57421875" style="67" customWidth="1"/>
    <col min="15364" max="15364" width="9.28125" style="67" customWidth="1"/>
    <col min="15365" max="15365" width="9.140625" style="67" customWidth="1"/>
    <col min="15366" max="15366" width="9.00390625" style="67" customWidth="1"/>
    <col min="15367" max="15367" width="9.7109375" style="67" customWidth="1"/>
    <col min="15368" max="15368" width="9.140625" style="67" customWidth="1"/>
    <col min="15369" max="15369" width="8.8515625" style="67" customWidth="1"/>
    <col min="15370" max="15371" width="9.28125" style="67" customWidth="1"/>
    <col min="15372" max="15372" width="9.8515625" style="67" customWidth="1"/>
    <col min="15373" max="15373" width="10.00390625" style="67" customWidth="1"/>
    <col min="15374" max="15374" width="9.421875" style="67" customWidth="1"/>
    <col min="15375" max="15617" width="11.421875" style="67" customWidth="1"/>
    <col min="15618" max="15618" width="25.7109375" style="67" bestFit="1" customWidth="1"/>
    <col min="15619" max="15619" width="9.57421875" style="67" customWidth="1"/>
    <col min="15620" max="15620" width="9.28125" style="67" customWidth="1"/>
    <col min="15621" max="15621" width="9.140625" style="67" customWidth="1"/>
    <col min="15622" max="15622" width="9.00390625" style="67" customWidth="1"/>
    <col min="15623" max="15623" width="9.7109375" style="67" customWidth="1"/>
    <col min="15624" max="15624" width="9.140625" style="67" customWidth="1"/>
    <col min="15625" max="15625" width="8.8515625" style="67" customWidth="1"/>
    <col min="15626" max="15627" width="9.28125" style="67" customWidth="1"/>
    <col min="15628" max="15628" width="9.8515625" style="67" customWidth="1"/>
    <col min="15629" max="15629" width="10.00390625" style="67" customWidth="1"/>
    <col min="15630" max="15630" width="9.421875" style="67" customWidth="1"/>
    <col min="15631" max="15873" width="11.421875" style="67" customWidth="1"/>
    <col min="15874" max="15874" width="25.7109375" style="67" bestFit="1" customWidth="1"/>
    <col min="15875" max="15875" width="9.57421875" style="67" customWidth="1"/>
    <col min="15876" max="15876" width="9.28125" style="67" customWidth="1"/>
    <col min="15877" max="15877" width="9.140625" style="67" customWidth="1"/>
    <col min="15878" max="15878" width="9.00390625" style="67" customWidth="1"/>
    <col min="15879" max="15879" width="9.7109375" style="67" customWidth="1"/>
    <col min="15880" max="15880" width="9.140625" style="67" customWidth="1"/>
    <col min="15881" max="15881" width="8.8515625" style="67" customWidth="1"/>
    <col min="15882" max="15883" width="9.28125" style="67" customWidth="1"/>
    <col min="15884" max="15884" width="9.8515625" style="67" customWidth="1"/>
    <col min="15885" max="15885" width="10.00390625" style="67" customWidth="1"/>
    <col min="15886" max="15886" width="9.421875" style="67" customWidth="1"/>
    <col min="15887" max="16129" width="11.421875" style="67" customWidth="1"/>
    <col min="16130" max="16130" width="25.7109375" style="67" bestFit="1" customWidth="1"/>
    <col min="16131" max="16131" width="9.57421875" style="67" customWidth="1"/>
    <col min="16132" max="16132" width="9.28125" style="67" customWidth="1"/>
    <col min="16133" max="16133" width="9.140625" style="67" customWidth="1"/>
    <col min="16134" max="16134" width="9.00390625" style="67" customWidth="1"/>
    <col min="16135" max="16135" width="9.7109375" style="67" customWidth="1"/>
    <col min="16136" max="16136" width="9.140625" style="67" customWidth="1"/>
    <col min="16137" max="16137" width="8.8515625" style="67" customWidth="1"/>
    <col min="16138" max="16139" width="9.28125" style="67" customWidth="1"/>
    <col min="16140" max="16140" width="9.8515625" style="67" customWidth="1"/>
    <col min="16141" max="16141" width="10.00390625" style="67" customWidth="1"/>
    <col min="16142" max="16142" width="9.421875" style="67" customWidth="1"/>
    <col min="16143" max="16384" width="11.421875" style="67" customWidth="1"/>
  </cols>
  <sheetData>
    <row r="2" ht="15">
      <c r="B2" s="67" t="s">
        <v>304</v>
      </c>
    </row>
    <row r="4" spans="2:14" ht="15" customHeight="1">
      <c r="B4" s="244" t="s">
        <v>237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4:7" ht="12" thickBot="1">
      <c r="D5" s="68"/>
      <c r="E5" s="68"/>
      <c r="F5" s="68"/>
      <c r="G5" s="68"/>
    </row>
    <row r="6" spans="2:14" ht="12" thickBot="1">
      <c r="B6" s="69"/>
      <c r="C6" s="70" t="s">
        <v>238</v>
      </c>
      <c r="D6" s="70" t="s">
        <v>239</v>
      </c>
      <c r="E6" s="70" t="s">
        <v>240</v>
      </c>
      <c r="F6" s="70" t="s">
        <v>241</v>
      </c>
      <c r="G6" s="70" t="s">
        <v>242</v>
      </c>
      <c r="H6" s="70" t="s">
        <v>243</v>
      </c>
      <c r="I6" s="70" t="s">
        <v>244</v>
      </c>
      <c r="J6" s="70" t="s">
        <v>245</v>
      </c>
      <c r="K6" s="70" t="s">
        <v>246</v>
      </c>
      <c r="L6" s="70" t="s">
        <v>247</v>
      </c>
      <c r="M6" s="70" t="s">
        <v>248</v>
      </c>
      <c r="N6" s="70" t="s">
        <v>249</v>
      </c>
    </row>
    <row r="7" spans="2:14" ht="12" thickBot="1">
      <c r="B7" s="71" t="s">
        <v>253</v>
      </c>
      <c r="C7" s="81">
        <f>'PROYECCION  INGRESOS (B)'!$B$12/12</f>
        <v>41.07814659685864</v>
      </c>
      <c r="D7" s="81">
        <f>'PROYECCION  INGRESOS (B)'!$B$12/12</f>
        <v>41.07814659685864</v>
      </c>
      <c r="E7" s="81">
        <f>'PROYECCION  INGRESOS (B)'!$B$12/12</f>
        <v>41.07814659685864</v>
      </c>
      <c r="F7" s="81">
        <f>'PROYECCION  INGRESOS (B)'!$B$12/12</f>
        <v>41.07814659685864</v>
      </c>
      <c r="G7" s="81">
        <f>'PROYECCION  INGRESOS (B)'!$B$12/12</f>
        <v>41.07814659685864</v>
      </c>
      <c r="H7" s="81">
        <f>'PROYECCION  INGRESOS (B)'!$B$12/12</f>
        <v>41.07814659685864</v>
      </c>
      <c r="I7" s="81">
        <f>'PROYECCION  INGRESOS (B)'!$B$12/12</f>
        <v>41.07814659685864</v>
      </c>
      <c r="J7" s="81">
        <f>'PROYECCION  INGRESOS (B)'!$B$12/12</f>
        <v>41.07814659685864</v>
      </c>
      <c r="K7" s="81">
        <f>'PROYECCION  INGRESOS (B)'!$B$12/12</f>
        <v>41.07814659685864</v>
      </c>
      <c r="L7" s="81">
        <f>'PROYECCION  INGRESOS (B)'!$B$12/12</f>
        <v>41.07814659685864</v>
      </c>
      <c r="M7" s="81">
        <f>'PROYECCION  INGRESOS (B)'!$B$12/12</f>
        <v>41.07814659685864</v>
      </c>
      <c r="N7" s="81">
        <f>'PROYECCION  INGRESOS (B)'!$B$12/12</f>
        <v>41.07814659685864</v>
      </c>
    </row>
    <row r="8" spans="2:14" ht="12" thickBot="1">
      <c r="B8" s="71" t="s">
        <v>254</v>
      </c>
      <c r="C8" s="82">
        <f>'PROYECCION  INGRESOS (B)'!$G$52/12</f>
        <v>98.54297556719023</v>
      </c>
      <c r="D8" s="82">
        <f>'PROYECCION  INGRESOS (B)'!$G$52/12</f>
        <v>98.54297556719023</v>
      </c>
      <c r="E8" s="82">
        <f>'PROYECCION  INGRESOS (B)'!$G$52/12</f>
        <v>98.54297556719023</v>
      </c>
      <c r="F8" s="82">
        <f>'PROYECCION  INGRESOS (B)'!$G$52/12</f>
        <v>98.54297556719023</v>
      </c>
      <c r="G8" s="82">
        <f>'PROYECCION  INGRESOS (B)'!$G$52/12</f>
        <v>98.54297556719023</v>
      </c>
      <c r="H8" s="82">
        <f>'PROYECCION  INGRESOS (B)'!$G$52/12</f>
        <v>98.54297556719023</v>
      </c>
      <c r="I8" s="82">
        <f>'PROYECCION  INGRESOS (B)'!$G$52/12</f>
        <v>98.54297556719023</v>
      </c>
      <c r="J8" s="82">
        <f>'PROYECCION  INGRESOS (B)'!$G$52/12</f>
        <v>98.54297556719023</v>
      </c>
      <c r="K8" s="82">
        <f>'PROYECCION  INGRESOS (B)'!$G$52/12</f>
        <v>98.54297556719023</v>
      </c>
      <c r="L8" s="82">
        <f>'PROYECCION  INGRESOS (B)'!$G$52/12</f>
        <v>98.54297556719023</v>
      </c>
      <c r="M8" s="82">
        <f>'PROYECCION  INGRESOS (B)'!$G$52/12</f>
        <v>98.54297556719023</v>
      </c>
      <c r="N8" s="82">
        <f>'PROYECCION  INGRESOS (B)'!$G$52/12</f>
        <v>98.54297556719023</v>
      </c>
    </row>
    <row r="9" spans="2:14" ht="12" thickBot="1">
      <c r="B9" s="83" t="s">
        <v>250</v>
      </c>
      <c r="C9" s="84">
        <f>(C7*C8)</f>
        <v>4047.962796439699</v>
      </c>
      <c r="D9" s="84">
        <f aca="true" t="shared" si="0" ref="D9:N9">(D7*D8)</f>
        <v>4047.962796439699</v>
      </c>
      <c r="E9" s="84">
        <f t="shared" si="0"/>
        <v>4047.962796439699</v>
      </c>
      <c r="F9" s="84">
        <f t="shared" si="0"/>
        <v>4047.962796439699</v>
      </c>
      <c r="G9" s="84">
        <f t="shared" si="0"/>
        <v>4047.962796439699</v>
      </c>
      <c r="H9" s="84">
        <f t="shared" si="0"/>
        <v>4047.962796439699</v>
      </c>
      <c r="I9" s="84">
        <f t="shared" si="0"/>
        <v>4047.962796439699</v>
      </c>
      <c r="J9" s="84">
        <f t="shared" si="0"/>
        <v>4047.962796439699</v>
      </c>
      <c r="K9" s="84">
        <f t="shared" si="0"/>
        <v>4047.962796439699</v>
      </c>
      <c r="L9" s="84">
        <f t="shared" si="0"/>
        <v>4047.962796439699</v>
      </c>
      <c r="M9" s="84">
        <f t="shared" si="0"/>
        <v>4047.962796439699</v>
      </c>
      <c r="N9" s="84">
        <f t="shared" si="0"/>
        <v>4047.962796439699</v>
      </c>
    </row>
    <row r="10" spans="2:14" ht="12" thickBot="1">
      <c r="B10" s="71" t="s">
        <v>38</v>
      </c>
      <c r="C10" s="79">
        <f>'GASTOS OPERATIVOS(D)'!$C$33/12</f>
        <v>741.8000000000001</v>
      </c>
      <c r="D10" s="79">
        <f>'GASTOS OPERATIVOS(D)'!$C$33/12</f>
        <v>741.8000000000001</v>
      </c>
      <c r="E10" s="79">
        <f>'GASTOS OPERATIVOS(D)'!$C$33/12</f>
        <v>741.8000000000001</v>
      </c>
      <c r="F10" s="79">
        <f>'GASTOS OPERATIVOS(D)'!$C$33/12</f>
        <v>741.8000000000001</v>
      </c>
      <c r="G10" s="79">
        <f>'GASTOS OPERATIVOS(D)'!$C$33/12</f>
        <v>741.8000000000001</v>
      </c>
      <c r="H10" s="79">
        <f>'GASTOS OPERATIVOS(D)'!$C$33/12</f>
        <v>741.8000000000001</v>
      </c>
      <c r="I10" s="79">
        <f>'GASTOS OPERATIVOS(D)'!$C$33/12</f>
        <v>741.8000000000001</v>
      </c>
      <c r="J10" s="79">
        <f>'GASTOS OPERATIVOS(D)'!$C$33/12</f>
        <v>741.8000000000001</v>
      </c>
      <c r="K10" s="79">
        <f>'GASTOS OPERATIVOS(D)'!$C$33/12</f>
        <v>741.8000000000001</v>
      </c>
      <c r="L10" s="79">
        <f>'GASTOS OPERATIVOS(D)'!$C$33/12</f>
        <v>741.8000000000001</v>
      </c>
      <c r="M10" s="79">
        <f>'GASTOS OPERATIVOS(D)'!$C$33/12</f>
        <v>741.8000000000001</v>
      </c>
      <c r="N10" s="79">
        <f>'GASTOS OPERATIVOS(D)'!$C$33/12</f>
        <v>741.8000000000001</v>
      </c>
    </row>
    <row r="11" spans="2:14" ht="12" thickBot="1">
      <c r="B11" s="71" t="s">
        <v>172</v>
      </c>
      <c r="C11" s="79">
        <f>'GASTOS OPERATIVOS(D)'!$C$6/12</f>
        <v>8.333333333333334</v>
      </c>
      <c r="D11" s="79">
        <f>'GASTOS OPERATIVOS(D)'!$C$6/12</f>
        <v>8.333333333333334</v>
      </c>
      <c r="E11" s="79">
        <f>'GASTOS OPERATIVOS(D)'!$C$6/12</f>
        <v>8.333333333333334</v>
      </c>
      <c r="F11" s="79">
        <f>'GASTOS OPERATIVOS(D)'!$C$6/12</f>
        <v>8.333333333333334</v>
      </c>
      <c r="G11" s="79">
        <f>'GASTOS OPERATIVOS(D)'!$C$6/12</f>
        <v>8.333333333333334</v>
      </c>
      <c r="H11" s="79">
        <f>'GASTOS OPERATIVOS(D)'!$C$6/12</f>
        <v>8.333333333333334</v>
      </c>
      <c r="I11" s="79">
        <f>'GASTOS OPERATIVOS(D)'!$C$6/12</f>
        <v>8.333333333333334</v>
      </c>
      <c r="J11" s="79">
        <f>'GASTOS OPERATIVOS(D)'!$C$6/12</f>
        <v>8.333333333333334</v>
      </c>
      <c r="K11" s="79">
        <f>'GASTOS OPERATIVOS(D)'!$C$6/12</f>
        <v>8.333333333333334</v>
      </c>
      <c r="L11" s="79">
        <f>'GASTOS OPERATIVOS(D)'!$C$6/12</f>
        <v>8.333333333333334</v>
      </c>
      <c r="M11" s="79">
        <f>'GASTOS OPERATIVOS(D)'!$C$6/12</f>
        <v>8.333333333333334</v>
      </c>
      <c r="N11" s="79">
        <f>'GASTOS OPERATIVOS(D)'!$C$6/12</f>
        <v>8.333333333333334</v>
      </c>
    </row>
    <row r="12" spans="2:14" ht="12" thickBot="1">
      <c r="B12" s="71" t="s">
        <v>173</v>
      </c>
      <c r="C12" s="79">
        <f>'GASTOS OPERATIVOS(D)'!$C$51/12</f>
        <v>450</v>
      </c>
      <c r="D12" s="79">
        <f>'GASTOS OPERATIVOS(D)'!$C$51/12</f>
        <v>450</v>
      </c>
      <c r="E12" s="79">
        <f>'GASTOS OPERATIVOS(D)'!$C$51/12</f>
        <v>450</v>
      </c>
      <c r="F12" s="79">
        <f>'GASTOS OPERATIVOS(D)'!$C$51/12</f>
        <v>450</v>
      </c>
      <c r="G12" s="79">
        <f>'GASTOS OPERATIVOS(D)'!$C$51/12</f>
        <v>450</v>
      </c>
      <c r="H12" s="79">
        <f>'GASTOS OPERATIVOS(D)'!$C$51/12</f>
        <v>450</v>
      </c>
      <c r="I12" s="79">
        <f>'GASTOS OPERATIVOS(D)'!$C$51/12</f>
        <v>450</v>
      </c>
      <c r="J12" s="79">
        <f>'GASTOS OPERATIVOS(D)'!$C$51/12</f>
        <v>450</v>
      </c>
      <c r="K12" s="79">
        <f>'GASTOS OPERATIVOS(D)'!$C$51/12</f>
        <v>450</v>
      </c>
      <c r="L12" s="79">
        <f>'GASTOS OPERATIVOS(D)'!$C$51/12</f>
        <v>450</v>
      </c>
      <c r="M12" s="79">
        <f>'GASTOS OPERATIVOS(D)'!$C$51/12</f>
        <v>450</v>
      </c>
      <c r="N12" s="79">
        <f>'GASTOS OPERATIVOS(D)'!$C$51/12</f>
        <v>450</v>
      </c>
    </row>
    <row r="13" spans="2:14" ht="12" thickBot="1">
      <c r="B13" s="71" t="s">
        <v>174</v>
      </c>
      <c r="C13" s="79">
        <f>'GASTOS EN PUBLICIDAD(C)'!$D$13/12</f>
        <v>763</v>
      </c>
      <c r="D13" s="79">
        <f>'GASTOS EN PUBLICIDAD(C)'!$D$13/12</f>
        <v>763</v>
      </c>
      <c r="E13" s="79">
        <f>'GASTOS EN PUBLICIDAD(C)'!$D$13/12</f>
        <v>763</v>
      </c>
      <c r="F13" s="79">
        <f>'GASTOS EN PUBLICIDAD(C)'!$D$13/12</f>
        <v>763</v>
      </c>
      <c r="G13" s="79">
        <f>'GASTOS EN PUBLICIDAD(C)'!$D$13/12</f>
        <v>763</v>
      </c>
      <c r="H13" s="79">
        <f>'GASTOS EN PUBLICIDAD(C)'!$D$13/12</f>
        <v>763</v>
      </c>
      <c r="I13" s="79">
        <f>'GASTOS EN PUBLICIDAD(C)'!$D$13/12</f>
        <v>763</v>
      </c>
      <c r="J13" s="79">
        <f>'GASTOS EN PUBLICIDAD(C)'!$D$13/12</f>
        <v>763</v>
      </c>
      <c r="K13" s="79">
        <f>'GASTOS EN PUBLICIDAD(C)'!$D$13/12</f>
        <v>763</v>
      </c>
      <c r="L13" s="79">
        <f>'GASTOS EN PUBLICIDAD(C)'!$D$13/12</f>
        <v>763</v>
      </c>
      <c r="M13" s="79">
        <f>'GASTOS EN PUBLICIDAD(C)'!$D$13/12</f>
        <v>763</v>
      </c>
      <c r="N13" s="79">
        <f>'GASTOS EN PUBLICIDAD(C)'!$D$13/12</f>
        <v>763</v>
      </c>
    </row>
    <row r="14" spans="2:14" ht="12" thickBot="1">
      <c r="B14" s="71" t="s">
        <v>257</v>
      </c>
      <c r="C14" s="79">
        <f>'INV.OBRA CIVIL  MAQUINARIA(A.2)'!$H$36/12</f>
        <v>1223.2027777777778</v>
      </c>
      <c r="D14" s="79">
        <f>'INV.OBRA CIVIL  MAQUINARIA(A.2)'!$H$36/12</f>
        <v>1223.2027777777778</v>
      </c>
      <c r="E14" s="79">
        <f>'INV.OBRA CIVIL  MAQUINARIA(A.2)'!$H$36/12</f>
        <v>1223.2027777777778</v>
      </c>
      <c r="F14" s="79">
        <f>'INV.OBRA CIVIL  MAQUINARIA(A.2)'!$H$36/12</f>
        <v>1223.2027777777778</v>
      </c>
      <c r="G14" s="79">
        <f>'INV.OBRA CIVIL  MAQUINARIA(A.2)'!$H$36/12</f>
        <v>1223.2027777777778</v>
      </c>
      <c r="H14" s="79">
        <f>'INV.OBRA CIVIL  MAQUINARIA(A.2)'!$H$36/12</f>
        <v>1223.2027777777778</v>
      </c>
      <c r="I14" s="79">
        <f>'INV.OBRA CIVIL  MAQUINARIA(A.2)'!$H$36/12</f>
        <v>1223.2027777777778</v>
      </c>
      <c r="J14" s="79">
        <f>'INV.OBRA CIVIL  MAQUINARIA(A.2)'!$H$36/12</f>
        <v>1223.2027777777778</v>
      </c>
      <c r="K14" s="79">
        <f>'INV.OBRA CIVIL  MAQUINARIA(A.2)'!$H$36/12</f>
        <v>1223.2027777777778</v>
      </c>
      <c r="L14" s="79">
        <f>'INV.OBRA CIVIL  MAQUINARIA(A.2)'!$H$36/12</f>
        <v>1223.2027777777778</v>
      </c>
      <c r="M14" s="79">
        <f>'INV.OBRA CIVIL  MAQUINARIA(A.2)'!$H$36/12</f>
        <v>1223.2027777777778</v>
      </c>
      <c r="N14" s="79">
        <f>'INV.OBRA CIVIL  MAQUINARIA(A.2)'!$H$36/12</f>
        <v>1223.2027777777778</v>
      </c>
    </row>
    <row r="15" spans="2:14" ht="12" thickBot="1">
      <c r="B15" s="71" t="s">
        <v>12</v>
      </c>
      <c r="C15" s="79">
        <f>'SUELDOS Y SALARIOS(E)'!$A$20/12</f>
        <v>22200</v>
      </c>
      <c r="D15" s="79">
        <f>'SUELDOS Y SALARIOS(E)'!$A$20/12</f>
        <v>22200</v>
      </c>
      <c r="E15" s="79">
        <f>'SUELDOS Y SALARIOS(E)'!$A$20/12</f>
        <v>22200</v>
      </c>
      <c r="F15" s="79">
        <f>'SUELDOS Y SALARIOS(E)'!$A$20/12</f>
        <v>22200</v>
      </c>
      <c r="G15" s="79">
        <f>'SUELDOS Y SALARIOS(E)'!$A$20/12</f>
        <v>22200</v>
      </c>
      <c r="H15" s="79">
        <f>'SUELDOS Y SALARIOS(E)'!$A$20/12</f>
        <v>22200</v>
      </c>
      <c r="I15" s="79">
        <f>'SUELDOS Y SALARIOS(E)'!$A$20/12</f>
        <v>22200</v>
      </c>
      <c r="J15" s="79">
        <f>'SUELDOS Y SALARIOS(E)'!$A$20/12</f>
        <v>22200</v>
      </c>
      <c r="K15" s="79">
        <f>'SUELDOS Y SALARIOS(E)'!$A$20/12</f>
        <v>22200</v>
      </c>
      <c r="L15" s="79">
        <f>'SUELDOS Y SALARIOS(E)'!$A$20/12</f>
        <v>22200</v>
      </c>
      <c r="M15" s="79">
        <f>'SUELDOS Y SALARIOS(E)'!$A$20/12</f>
        <v>22200</v>
      </c>
      <c r="N15" s="79">
        <f>'SUELDOS Y SALARIOS(E)'!$A$20/12</f>
        <v>22200</v>
      </c>
    </row>
    <row r="16" spans="2:14" ht="12" thickBot="1">
      <c r="B16" s="85" t="s">
        <v>251</v>
      </c>
      <c r="C16" s="86">
        <f>(C9-C10-C11-C12-C13-C14-C15)</f>
        <v>-21338.37331467141</v>
      </c>
      <c r="D16" s="86">
        <f aca="true" t="shared" si="1" ref="D16:N16">(D9-D10-D11-D12-D13-D14-D15)</f>
        <v>-21338.37331467141</v>
      </c>
      <c r="E16" s="86">
        <f t="shared" si="1"/>
        <v>-21338.37331467141</v>
      </c>
      <c r="F16" s="86">
        <f t="shared" si="1"/>
        <v>-21338.37331467141</v>
      </c>
      <c r="G16" s="86">
        <f t="shared" si="1"/>
        <v>-21338.37331467141</v>
      </c>
      <c r="H16" s="86">
        <f t="shared" si="1"/>
        <v>-21338.37331467141</v>
      </c>
      <c r="I16" s="86">
        <f t="shared" si="1"/>
        <v>-21338.37331467141</v>
      </c>
      <c r="J16" s="86">
        <f t="shared" si="1"/>
        <v>-21338.37331467141</v>
      </c>
      <c r="K16" s="86">
        <f t="shared" si="1"/>
        <v>-21338.37331467141</v>
      </c>
      <c r="L16" s="86">
        <f t="shared" si="1"/>
        <v>-21338.37331467141</v>
      </c>
      <c r="M16" s="86">
        <f t="shared" si="1"/>
        <v>-21338.37331467141</v>
      </c>
      <c r="N16" s="86">
        <f t="shared" si="1"/>
        <v>-21338.37331467141</v>
      </c>
    </row>
    <row r="17" spans="2:14" ht="12" thickBot="1">
      <c r="B17" s="85" t="s">
        <v>252</v>
      </c>
      <c r="C17" s="86">
        <f>C16</f>
        <v>-21338.37331467141</v>
      </c>
      <c r="D17" s="86">
        <f>C17+D16</f>
        <v>-42676.74662934282</v>
      </c>
      <c r="E17" s="86">
        <f>D17+E16</f>
        <v>-64015.11994401424</v>
      </c>
      <c r="F17" s="86">
        <f aca="true" t="shared" si="2" ref="F17:N17">E17+F16</f>
        <v>-85353.49325868564</v>
      </c>
      <c r="G17" s="86">
        <f t="shared" si="2"/>
        <v>-106691.86657335705</v>
      </c>
      <c r="H17" s="86">
        <f t="shared" si="2"/>
        <v>-128030.23988802846</v>
      </c>
      <c r="I17" s="86">
        <f t="shared" si="2"/>
        <v>-149368.61320269987</v>
      </c>
      <c r="J17" s="86">
        <f t="shared" si="2"/>
        <v>-170706.9865173713</v>
      </c>
      <c r="K17" s="86">
        <f t="shared" si="2"/>
        <v>-192045.3598320427</v>
      </c>
      <c r="L17" s="86">
        <f t="shared" si="2"/>
        <v>-213383.73314671413</v>
      </c>
      <c r="M17" s="86">
        <f t="shared" si="2"/>
        <v>-234722.10646138556</v>
      </c>
      <c r="N17" s="80">
        <f t="shared" si="2"/>
        <v>-256060.47977605698</v>
      </c>
    </row>
    <row r="18" spans="2:14" ht="15">
      <c r="B18" s="72"/>
      <c r="C18" s="72"/>
      <c r="D18" s="73"/>
      <c r="E18" s="73"/>
      <c r="F18" s="73"/>
      <c r="H18" s="74"/>
      <c r="J18" s="73"/>
      <c r="K18" s="73"/>
      <c r="L18" s="73"/>
      <c r="M18" s="73"/>
      <c r="N18" s="73"/>
    </row>
    <row r="19" spans="2:14" ht="15">
      <c r="B19" s="73"/>
      <c r="C19" s="73"/>
      <c r="D19" s="76"/>
      <c r="E19" s="73"/>
      <c r="F19" s="73"/>
      <c r="J19" s="73"/>
      <c r="K19" s="73"/>
      <c r="L19" s="73"/>
      <c r="M19" s="73"/>
      <c r="N19" s="73"/>
    </row>
    <row r="20" spans="2:14" ht="15">
      <c r="B20" s="73"/>
      <c r="C20" s="73"/>
      <c r="D20" s="76"/>
      <c r="E20" s="75"/>
      <c r="F20" s="73"/>
      <c r="J20" s="73"/>
      <c r="K20" s="73"/>
      <c r="L20" s="73"/>
      <c r="M20" s="73"/>
      <c r="N20" s="73"/>
    </row>
    <row r="21" spans="2:14" ht="15">
      <c r="B21" s="73"/>
      <c r="C21" s="73"/>
      <c r="D21" s="76"/>
      <c r="E21" s="75"/>
      <c r="F21" s="73"/>
      <c r="J21" s="73"/>
      <c r="K21" s="73"/>
      <c r="L21" s="73"/>
      <c r="M21" s="73"/>
      <c r="N21" s="73"/>
    </row>
    <row r="22" spans="2:14" ht="15">
      <c r="B22" s="76"/>
      <c r="C22" s="76"/>
      <c r="D22" s="76"/>
      <c r="E22" s="77"/>
      <c r="F22" s="76"/>
      <c r="G22" s="76"/>
      <c r="H22" s="76"/>
      <c r="I22" s="76"/>
      <c r="J22" s="76"/>
      <c r="K22" s="76"/>
      <c r="L22" s="76"/>
      <c r="M22" s="76"/>
      <c r="N22" s="76"/>
    </row>
    <row r="23" spans="2:14" ht="1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2:14" ht="1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ht="15">
      <c r="E25" s="78"/>
    </row>
  </sheetData>
  <mergeCells count="1">
    <mergeCell ref="B4:N4"/>
  </mergeCells>
  <printOptions/>
  <pageMargins left="0.7480314960629921" right="0.7480314960629921" top="2.56" bottom="3.07" header="0" footer="0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Edcom</dc:creator>
  <cp:keywords/>
  <dc:description/>
  <cp:lastModifiedBy/>
  <cp:lastPrinted>2010-02-09T13:33:53Z</cp:lastPrinted>
  <dcterms:created xsi:type="dcterms:W3CDTF">2010-01-16T14:45:51Z</dcterms:created>
  <dcterms:modified xsi:type="dcterms:W3CDTF">2010-02-25T21:49:37Z</dcterms:modified>
  <cp:category/>
  <cp:version/>
  <cp:contentType/>
  <cp:contentStatus/>
</cp:coreProperties>
</file>