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8415" activeTab="1"/>
  </bookViews>
  <sheets>
    <sheet name="Supuestos" sheetId="7" r:id="rId1"/>
    <sheet name="Flujo de Caja" sheetId="8" r:id="rId2"/>
    <sheet name="Ingreso Esperado" sheetId="1" r:id="rId3"/>
    <sheet name="ANALISIS DE SENSIBILIDAD" sheetId="15" r:id="rId4"/>
    <sheet name="Rol de Pago" sheetId="2" r:id="rId5"/>
    <sheet name="Depreciación" sheetId="3" r:id="rId6"/>
    <sheet name="Inversión Inicial" sheetId="4" r:id="rId7"/>
    <sheet name="Préstamo" sheetId="11" r:id="rId8"/>
    <sheet name="CAPITAL DE TRABAJO" sheetId="5" r:id="rId9"/>
    <sheet name="C.O" sheetId="9" r:id="rId10"/>
    <sheet name="C.N.O" sheetId="10" r:id="rId11"/>
    <sheet name="Costo de Capital" sheetId="13" r:id="rId12"/>
    <sheet name="ESTADO DE RESULTADO" sheetId="14" r:id="rId13"/>
  </sheets>
  <calcPr calcId="124519"/>
</workbook>
</file>

<file path=xl/calcChain.xml><?xml version="1.0" encoding="utf-8"?>
<calcChain xmlns="http://schemas.openxmlformats.org/spreadsheetml/2006/main">
  <c r="B18" i="1"/>
  <c r="B15"/>
  <c r="B16"/>
  <c r="B17"/>
  <c r="D46"/>
  <c r="B32" i="15"/>
  <c r="B33" s="1"/>
  <c r="B34" s="1"/>
  <c r="B35" s="1"/>
  <c r="B36" s="1"/>
  <c r="B37" s="1"/>
  <c r="E35" i="1"/>
  <c r="E36" s="1"/>
  <c r="E37" s="1"/>
  <c r="I5" i="15"/>
  <c r="I6" s="1"/>
  <c r="I7" s="1"/>
  <c r="I8" s="1"/>
  <c r="I9" s="1"/>
  <c r="I4"/>
  <c r="D9" i="1"/>
  <c r="B9" i="15"/>
  <c r="B5"/>
  <c r="B6"/>
  <c r="B7"/>
  <c r="B8"/>
  <c r="B4"/>
  <c r="C18" i="14"/>
  <c r="C10"/>
  <c r="C9"/>
  <c r="B11" i="11"/>
  <c r="D35" i="1" l="1"/>
  <c r="D36" s="1"/>
  <c r="D37" s="1"/>
  <c r="D8" i="3"/>
  <c r="D6"/>
  <c r="I13" i="4"/>
  <c r="K13"/>
  <c r="M13"/>
  <c r="O13"/>
  <c r="Q13"/>
  <c r="R13"/>
  <c r="H13"/>
  <c r="B9" i="13"/>
  <c r="B17"/>
  <c r="B13" i="3"/>
  <c r="D13" s="1"/>
  <c r="B12"/>
  <c r="D12" s="1"/>
  <c r="B10"/>
  <c r="D10" s="1"/>
  <c r="B9"/>
  <c r="B7"/>
  <c r="D7" s="1"/>
  <c r="B5"/>
  <c r="D5" s="1"/>
  <c r="B9" i="9"/>
  <c r="B32" i="4"/>
  <c r="B31"/>
  <c r="D26"/>
  <c r="J12" s="1"/>
  <c r="D25"/>
  <c r="D22"/>
  <c r="D19"/>
  <c r="B55" i="7"/>
  <c r="B51"/>
  <c r="B43"/>
  <c r="B39"/>
  <c r="B8" i="10"/>
  <c r="C23" i="14" s="1"/>
  <c r="B13" i="10"/>
  <c r="C28" i="14" s="1"/>
  <c r="B11" i="10"/>
  <c r="C26" i="14" s="1"/>
  <c r="B9" i="10"/>
  <c r="C24" i="14" s="1"/>
  <c r="B47" i="7"/>
  <c r="B10" i="10" s="1"/>
  <c r="C25" i="14" s="1"/>
  <c r="B35" i="7"/>
  <c r="B12" i="10" s="1"/>
  <c r="C27" i="14" s="1"/>
  <c r="B30" i="7"/>
  <c r="B31" s="1"/>
  <c r="B6" i="10" s="1"/>
  <c r="C21" i="14" s="1"/>
  <c r="B26" i="7"/>
  <c r="B27" s="1"/>
  <c r="B7" i="10" s="1"/>
  <c r="C22" i="14" s="1"/>
  <c r="B19" i="7"/>
  <c r="B20"/>
  <c r="H27" i="2"/>
  <c r="G27"/>
  <c r="D27"/>
  <c r="E27" s="1"/>
  <c r="F27" s="1"/>
  <c r="H26"/>
  <c r="G26"/>
  <c r="D26"/>
  <c r="E26" s="1"/>
  <c r="F26" s="1"/>
  <c r="H25"/>
  <c r="G25"/>
  <c r="D25"/>
  <c r="E25" s="1"/>
  <c r="F25" s="1"/>
  <c r="H24"/>
  <c r="G24"/>
  <c r="D24"/>
  <c r="E24" s="1"/>
  <c r="F24" s="1"/>
  <c r="H23"/>
  <c r="G23"/>
  <c r="D23"/>
  <c r="E23" s="1"/>
  <c r="F23" s="1"/>
  <c r="H22"/>
  <c r="G22"/>
  <c r="D22"/>
  <c r="E22" s="1"/>
  <c r="F22" s="1"/>
  <c r="H21"/>
  <c r="G21"/>
  <c r="D21"/>
  <c r="E21" s="1"/>
  <c r="F21" s="1"/>
  <c r="H20"/>
  <c r="G20"/>
  <c r="D20"/>
  <c r="E20" s="1"/>
  <c r="F20" s="1"/>
  <c r="H19"/>
  <c r="G19"/>
  <c r="D19"/>
  <c r="E19" s="1"/>
  <c r="F19" s="1"/>
  <c r="H18"/>
  <c r="G18"/>
  <c r="D18"/>
  <c r="E18" s="1"/>
  <c r="F18" s="1"/>
  <c r="H17"/>
  <c r="G17"/>
  <c r="D17"/>
  <c r="E17" s="1"/>
  <c r="F17" s="1"/>
  <c r="H16"/>
  <c r="G16"/>
  <c r="D16"/>
  <c r="E16" s="1"/>
  <c r="F16" s="1"/>
  <c r="H15"/>
  <c r="G15"/>
  <c r="G28" s="1"/>
  <c r="D15"/>
  <c r="E15" s="1"/>
  <c r="F15" s="1"/>
  <c r="D11"/>
  <c r="D10"/>
  <c r="D9"/>
  <c r="D8"/>
  <c r="D7"/>
  <c r="D6"/>
  <c r="D5"/>
  <c r="D4"/>
  <c r="B21" i="7" l="1"/>
  <c r="B22" s="1"/>
  <c r="B4" i="9" s="1"/>
  <c r="C13" i="14" s="1"/>
  <c r="D29"/>
  <c r="J13" i="4"/>
  <c r="D25" i="8" s="1"/>
  <c r="L12" i="4"/>
  <c r="B14" i="10"/>
  <c r="B4" i="5" s="1"/>
  <c r="D27" i="4"/>
  <c r="B33" s="1"/>
  <c r="B34" s="1"/>
  <c r="D9" i="3"/>
  <c r="G7" s="1"/>
  <c r="E14" i="8" s="1"/>
  <c r="E23" s="1"/>
  <c r="K15" i="2"/>
  <c r="J15"/>
  <c r="L15" s="1"/>
  <c r="K16"/>
  <c r="J16"/>
  <c r="L16" s="1"/>
  <c r="K17"/>
  <c r="J17"/>
  <c r="L17" s="1"/>
  <c r="K18"/>
  <c r="J18"/>
  <c r="L18" s="1"/>
  <c r="K19"/>
  <c r="J19"/>
  <c r="L19" s="1"/>
  <c r="K20"/>
  <c r="J20"/>
  <c r="L20" s="1"/>
  <c r="K21"/>
  <c r="J21"/>
  <c r="L21" s="1"/>
  <c r="K22"/>
  <c r="J22"/>
  <c r="L22" s="1"/>
  <c r="K23"/>
  <c r="J23"/>
  <c r="L23" s="1"/>
  <c r="K24"/>
  <c r="J24"/>
  <c r="L24" s="1"/>
  <c r="K25"/>
  <c r="J25"/>
  <c r="L25" s="1"/>
  <c r="K26"/>
  <c r="J26"/>
  <c r="L26" s="1"/>
  <c r="K27"/>
  <c r="J27"/>
  <c r="L27" s="1"/>
  <c r="C10" i="8" l="1"/>
  <c r="D10" s="1"/>
  <c r="E10" s="1"/>
  <c r="F10" s="1"/>
  <c r="G10" s="1"/>
  <c r="H10" s="1"/>
  <c r="I10" s="1"/>
  <c r="J10" s="1"/>
  <c r="K10" s="1"/>
  <c r="L10" s="1"/>
  <c r="B24"/>
  <c r="H38" s="1"/>
  <c r="B4" i="11"/>
  <c r="L13" i="4"/>
  <c r="F25" i="8"/>
  <c r="N12" i="4"/>
  <c r="G10" i="3"/>
  <c r="G8"/>
  <c r="F14" i="8" s="1"/>
  <c r="F23" s="1"/>
  <c r="G9" i="3"/>
  <c r="G14" i="8" s="1"/>
  <c r="G23" s="1"/>
  <c r="G5" i="3"/>
  <c r="G6"/>
  <c r="D14" i="8" s="1"/>
  <c r="D23" s="1"/>
  <c r="C4" i="5"/>
  <c r="L28" i="2"/>
  <c r="B16" i="7"/>
  <c r="B5" i="9" s="1"/>
  <c r="C14" i="14" s="1"/>
  <c r="B12" i="7"/>
  <c r="B6" i="9" s="1"/>
  <c r="C16" i="14" s="1"/>
  <c r="B7" i="7"/>
  <c r="B8" s="1"/>
  <c r="B7" i="9" s="1"/>
  <c r="C15" i="14" s="1"/>
  <c r="B29" i="1"/>
  <c r="D45"/>
  <c r="B8" i="9" s="1"/>
  <c r="B26" i="1"/>
  <c r="B30" s="1"/>
  <c r="C14" i="8" l="1"/>
  <c r="C23" s="1"/>
  <c r="D34" i="14"/>
  <c r="C17"/>
  <c r="B10" i="9"/>
  <c r="D19" i="14"/>
  <c r="C9" i="8"/>
  <c r="G11" i="3"/>
  <c r="G12" s="1"/>
  <c r="I14" i="8"/>
  <c r="I23" s="1"/>
  <c r="H14"/>
  <c r="H23" s="1"/>
  <c r="N13" i="4"/>
  <c r="P12"/>
  <c r="P13" s="1"/>
  <c r="D48" i="1"/>
  <c r="B43" s="1"/>
  <c r="B44" s="1"/>
  <c r="B3" i="5"/>
  <c r="B5" s="1"/>
  <c r="D4"/>
  <c r="B45" i="1"/>
  <c r="B37"/>
  <c r="B38" s="1"/>
  <c r="B31"/>
  <c r="C4" i="8" l="1"/>
  <c r="D4" s="1"/>
  <c r="E4" s="1"/>
  <c r="F4" s="1"/>
  <c r="G4" s="1"/>
  <c r="H4" s="1"/>
  <c r="I4" s="1"/>
  <c r="J4" s="1"/>
  <c r="K4" s="1"/>
  <c r="L4" s="1"/>
  <c r="B51" i="1"/>
  <c r="C8" i="14" s="1"/>
  <c r="C5" i="8"/>
  <c r="D5" s="1"/>
  <c r="E5" s="1"/>
  <c r="F5" s="1"/>
  <c r="G5" s="1"/>
  <c r="H5" s="1"/>
  <c r="I5" s="1"/>
  <c r="J5" s="1"/>
  <c r="K5" s="1"/>
  <c r="L5" s="1"/>
  <c r="B52" i="1"/>
  <c r="C6" i="8"/>
  <c r="D6" s="1"/>
  <c r="E6" s="1"/>
  <c r="F6" s="1"/>
  <c r="G6" s="1"/>
  <c r="H6" s="1"/>
  <c r="I6" s="1"/>
  <c r="J6" s="1"/>
  <c r="K6" s="1"/>
  <c r="L6" s="1"/>
  <c r="B53" i="1"/>
  <c r="G13" i="3"/>
  <c r="J14" i="8"/>
  <c r="J23" s="1"/>
  <c r="E4" i="5"/>
  <c r="B8" i="1"/>
  <c r="B7"/>
  <c r="B6"/>
  <c r="B5"/>
  <c r="D5" s="1"/>
  <c r="B19" s="1"/>
  <c r="C9"/>
  <c r="D8"/>
  <c r="D7"/>
  <c r="D6"/>
  <c r="C3" i="8" l="1"/>
  <c r="B50" i="1"/>
  <c r="G14" i="3"/>
  <c r="L14" i="8" s="1"/>
  <c r="L23" s="1"/>
  <c r="K14"/>
  <c r="K23" s="1"/>
  <c r="D9"/>
  <c r="C3" i="5"/>
  <c r="B5" i="11"/>
  <c r="F4" i="5"/>
  <c r="B54" i="1" l="1"/>
  <c r="C7" i="14"/>
  <c r="D11" s="1"/>
  <c r="B7" i="5"/>
  <c r="C7" s="1"/>
  <c r="D7" s="1"/>
  <c r="E7" s="1"/>
  <c r="F7" s="1"/>
  <c r="G7" s="1"/>
  <c r="H7" s="1"/>
  <c r="I7" s="1"/>
  <c r="J7" s="1"/>
  <c r="K7" s="1"/>
  <c r="L7" s="1"/>
  <c r="M7" s="1"/>
  <c r="D3" i="8"/>
  <c r="C7"/>
  <c r="B26"/>
  <c r="E9"/>
  <c r="D3" i="5"/>
  <c r="C5"/>
  <c r="G4"/>
  <c r="C6" l="1"/>
  <c r="D6"/>
  <c r="E3" i="8"/>
  <c r="D7"/>
  <c r="B6" i="11"/>
  <c r="L26" i="8"/>
  <c r="F9"/>
  <c r="E3" i="5"/>
  <c r="D5"/>
  <c r="E6" s="1"/>
  <c r="H4"/>
  <c r="F3" i="8" l="1"/>
  <c r="E7"/>
  <c r="B14" i="13"/>
  <c r="B8" i="11"/>
  <c r="G9" i="8"/>
  <c r="F3" i="5"/>
  <c r="E5"/>
  <c r="F6" s="1"/>
  <c r="I4"/>
  <c r="B7" i="11" l="1"/>
  <c r="B12"/>
  <c r="N6"/>
  <c r="G3" i="8"/>
  <c r="F7"/>
  <c r="B15" i="13"/>
  <c r="B28" i="8"/>
  <c r="B29" s="1"/>
  <c r="H6" i="11"/>
  <c r="F7" s="1"/>
  <c r="B16" i="13"/>
  <c r="H9" i="8"/>
  <c r="G3" i="5"/>
  <c r="F5"/>
  <c r="G6" s="1"/>
  <c r="J4"/>
  <c r="B13" i="11" l="1"/>
  <c r="C11" i="8" s="1"/>
  <c r="E7" i="11"/>
  <c r="H3" i="8"/>
  <c r="G7"/>
  <c r="B19" i="13"/>
  <c r="E8" i="1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G7"/>
  <c r="H7" s="1"/>
  <c r="I9" i="8"/>
  <c r="H3" i="5"/>
  <c r="G5"/>
  <c r="H6" s="1"/>
  <c r="K4"/>
  <c r="I3" i="8" l="1"/>
  <c r="H7"/>
  <c r="D11"/>
  <c r="C12"/>
  <c r="C15" s="1"/>
  <c r="F8" i="11"/>
  <c r="J9" i="8"/>
  <c r="I3" i="5"/>
  <c r="H5"/>
  <c r="I6" s="1"/>
  <c r="L4"/>
  <c r="J3" i="8" l="1"/>
  <c r="I7"/>
  <c r="E11"/>
  <c r="D12"/>
  <c r="D15" s="1"/>
  <c r="G8" i="11"/>
  <c r="K9" i="8"/>
  <c r="J3" i="5"/>
  <c r="I5"/>
  <c r="J6" s="1"/>
  <c r="M4"/>
  <c r="K3" i="8" l="1"/>
  <c r="J7"/>
  <c r="F11"/>
  <c r="E12"/>
  <c r="E15" s="1"/>
  <c r="H8" i="11"/>
  <c r="F9" s="1"/>
  <c r="L9" i="8"/>
  <c r="K3" i="5"/>
  <c r="J5"/>
  <c r="K6" s="1"/>
  <c r="L3" i="8" l="1"/>
  <c r="L7" s="1"/>
  <c r="K7"/>
  <c r="G11"/>
  <c r="F12"/>
  <c r="F15" s="1"/>
  <c r="G9" i="11"/>
  <c r="L3" i="5"/>
  <c r="K5"/>
  <c r="L6" s="1"/>
  <c r="H11" i="8" l="1"/>
  <c r="G12"/>
  <c r="G15" s="1"/>
  <c r="H9" i="11"/>
  <c r="F10" s="1"/>
  <c r="M3" i="5"/>
  <c r="M5" s="1"/>
  <c r="L5"/>
  <c r="M6" s="1"/>
  <c r="I11" i="8" l="1"/>
  <c r="H12"/>
  <c r="H15" s="1"/>
  <c r="G10" i="11"/>
  <c r="J11" i="8" l="1"/>
  <c r="I12"/>
  <c r="I15" s="1"/>
  <c r="H10" i="11"/>
  <c r="F11" s="1"/>
  <c r="G11" s="1"/>
  <c r="H11" s="1"/>
  <c r="F12" s="1"/>
  <c r="G12" s="1"/>
  <c r="H12" s="1"/>
  <c r="F13" s="1"/>
  <c r="G13" s="1"/>
  <c r="H13" s="1"/>
  <c r="F14" s="1"/>
  <c r="G14" s="1"/>
  <c r="H14" s="1"/>
  <c r="F15" s="1"/>
  <c r="G15" s="1"/>
  <c r="H15" s="1"/>
  <c r="F16" s="1"/>
  <c r="G16" s="1"/>
  <c r="H16" s="1"/>
  <c r="F17" s="1"/>
  <c r="G17" s="1"/>
  <c r="H17" s="1"/>
  <c r="F18" s="1"/>
  <c r="K11" i="8" l="1"/>
  <c r="J12"/>
  <c r="J15" s="1"/>
  <c r="G18" i="11"/>
  <c r="I18"/>
  <c r="C16" i="8" l="1"/>
  <c r="C31" i="14"/>
  <c r="D32" s="1"/>
  <c r="D36" s="1"/>
  <c r="D37" s="1"/>
  <c r="D38" s="1"/>
  <c r="D39" s="1"/>
  <c r="D40" s="1"/>
  <c r="L11" i="8"/>
  <c r="L12" s="1"/>
  <c r="L15" s="1"/>
  <c r="K12"/>
  <c r="K15" s="1"/>
  <c r="C17"/>
  <c r="C18" s="1"/>
  <c r="C19" s="1"/>
  <c r="C20" s="1"/>
  <c r="C21" s="1"/>
  <c r="H18" i="11"/>
  <c r="F19" s="1"/>
  <c r="J18"/>
  <c r="C27" i="8" s="1"/>
  <c r="C29" l="1"/>
  <c r="G39" s="1"/>
  <c r="H39" s="1"/>
  <c r="G19" i="11"/>
  <c r="H19" l="1"/>
  <c r="F20" s="1"/>
  <c r="G20" l="1"/>
  <c r="H20" l="1"/>
  <c r="F21" s="1"/>
  <c r="G21" l="1"/>
  <c r="H21" l="1"/>
  <c r="F22" s="1"/>
  <c r="G22" l="1"/>
  <c r="H22" l="1"/>
  <c r="F23" s="1"/>
  <c r="G23" l="1"/>
  <c r="H23" l="1"/>
  <c r="F24" s="1"/>
  <c r="G24" s="1"/>
  <c r="H24" s="1"/>
  <c r="F25" s="1"/>
  <c r="G25" s="1"/>
  <c r="H25" s="1"/>
  <c r="F26" s="1"/>
  <c r="G26" s="1"/>
  <c r="H26" s="1"/>
  <c r="F27" s="1"/>
  <c r="G27" s="1"/>
  <c r="H27" s="1"/>
  <c r="F28" s="1"/>
  <c r="G28" s="1"/>
  <c r="H28" s="1"/>
  <c r="F29" s="1"/>
  <c r="G29" s="1"/>
  <c r="H29" s="1"/>
  <c r="F30" s="1"/>
  <c r="G30" l="1"/>
  <c r="I30"/>
  <c r="D16" i="8" s="1"/>
  <c r="D17" s="1"/>
  <c r="D18" s="1"/>
  <c r="D19" s="1"/>
  <c r="D20" s="1"/>
  <c r="D21" s="1"/>
  <c r="H30" i="11" l="1"/>
  <c r="F31" s="1"/>
  <c r="J30"/>
  <c r="D27" i="8" s="1"/>
  <c r="D29" s="1"/>
  <c r="G40" s="1"/>
  <c r="H40" s="1"/>
  <c r="G31" i="11" l="1"/>
  <c r="H31" l="1"/>
  <c r="F32" s="1"/>
  <c r="G32" l="1"/>
  <c r="H32" l="1"/>
  <c r="F33" s="1"/>
  <c r="G33" l="1"/>
  <c r="H33" l="1"/>
  <c r="F34" s="1"/>
  <c r="G34" l="1"/>
  <c r="H34" l="1"/>
  <c r="F35" s="1"/>
  <c r="G35" l="1"/>
  <c r="H35" l="1"/>
  <c r="F36" s="1"/>
  <c r="G36" s="1"/>
  <c r="H36" s="1"/>
  <c r="F37" s="1"/>
  <c r="G37" s="1"/>
  <c r="H37" s="1"/>
  <c r="F38" s="1"/>
  <c r="G38" s="1"/>
  <c r="H38" s="1"/>
  <c r="F39" s="1"/>
  <c r="G39" s="1"/>
  <c r="H39" s="1"/>
  <c r="F40" s="1"/>
  <c r="G40" s="1"/>
  <c r="H40" s="1"/>
  <c r="F41" s="1"/>
  <c r="G41" s="1"/>
  <c r="H41" s="1"/>
  <c r="F42" s="1"/>
  <c r="G42" l="1"/>
  <c r="I42"/>
  <c r="E16" i="8" s="1"/>
  <c r="E17" s="1"/>
  <c r="E18" s="1"/>
  <c r="E19" s="1"/>
  <c r="E20" s="1"/>
  <c r="E21" s="1"/>
  <c r="H42" i="11" l="1"/>
  <c r="F43" s="1"/>
  <c r="J42"/>
  <c r="E27" i="8" s="1"/>
  <c r="E29" s="1"/>
  <c r="G41" s="1"/>
  <c r="H41" s="1"/>
  <c r="G43" i="11" l="1"/>
  <c r="H43" l="1"/>
  <c r="F44" s="1"/>
  <c r="G44" l="1"/>
  <c r="H44" l="1"/>
  <c r="F45" s="1"/>
  <c r="G45" l="1"/>
  <c r="H45" l="1"/>
  <c r="F46" s="1"/>
  <c r="G46" l="1"/>
  <c r="H46" l="1"/>
  <c r="F47" s="1"/>
  <c r="G47" l="1"/>
  <c r="H47" l="1"/>
  <c r="F48" s="1"/>
  <c r="G48" s="1"/>
  <c r="H48" s="1"/>
  <c r="F49" s="1"/>
  <c r="G49" s="1"/>
  <c r="H49" s="1"/>
  <c r="F50" s="1"/>
  <c r="G50" s="1"/>
  <c r="H50" s="1"/>
  <c r="F51" s="1"/>
  <c r="G51" s="1"/>
  <c r="H51" s="1"/>
  <c r="F52" s="1"/>
  <c r="G52" s="1"/>
  <c r="H52" s="1"/>
  <c r="F53" s="1"/>
  <c r="G53" s="1"/>
  <c r="H53" s="1"/>
  <c r="F54" s="1"/>
  <c r="G54" l="1"/>
  <c r="I54"/>
  <c r="F16" i="8" s="1"/>
  <c r="F17" s="1"/>
  <c r="F18" s="1"/>
  <c r="F19" s="1"/>
  <c r="F20" s="1"/>
  <c r="F21" s="1"/>
  <c r="H54" i="11" l="1"/>
  <c r="F55" s="1"/>
  <c r="J54"/>
  <c r="F27" i="8" s="1"/>
  <c r="F29" s="1"/>
  <c r="G42" s="1"/>
  <c r="H42" s="1"/>
  <c r="G55" i="11" l="1"/>
  <c r="H55" l="1"/>
  <c r="F56" s="1"/>
  <c r="G56" l="1"/>
  <c r="H56" l="1"/>
  <c r="F57" s="1"/>
  <c r="G57" l="1"/>
  <c r="H57" l="1"/>
  <c r="F58" s="1"/>
  <c r="G58" l="1"/>
  <c r="H58" l="1"/>
  <c r="F59" s="1"/>
  <c r="G59" l="1"/>
  <c r="H59" l="1"/>
  <c r="F60" s="1"/>
  <c r="G60" s="1"/>
  <c r="H60" s="1"/>
  <c r="F61" s="1"/>
  <c r="G61" s="1"/>
  <c r="H61" s="1"/>
  <c r="F62" s="1"/>
  <c r="G62" s="1"/>
  <c r="H62" s="1"/>
  <c r="F63" s="1"/>
  <c r="G63" s="1"/>
  <c r="H63" s="1"/>
  <c r="F64" s="1"/>
  <c r="G64" s="1"/>
  <c r="H64" s="1"/>
  <c r="F65" s="1"/>
  <c r="G65" s="1"/>
  <c r="H65" s="1"/>
  <c r="F66" s="1"/>
  <c r="G66" l="1"/>
  <c r="I66"/>
  <c r="G16" i="8" s="1"/>
  <c r="G17" s="1"/>
  <c r="G18" s="1"/>
  <c r="G19" s="1"/>
  <c r="G20" s="1"/>
  <c r="G21" s="1"/>
  <c r="H66" i="11" l="1"/>
  <c r="F67" s="1"/>
  <c r="J66"/>
  <c r="G27" i="8" s="1"/>
  <c r="G67" i="11" l="1"/>
  <c r="H67" l="1"/>
  <c r="F68" s="1"/>
  <c r="G68" l="1"/>
  <c r="H68" l="1"/>
  <c r="F69" s="1"/>
  <c r="G69" l="1"/>
  <c r="H69" l="1"/>
  <c r="F70" s="1"/>
  <c r="G70" l="1"/>
  <c r="H70" l="1"/>
  <c r="F71" s="1"/>
  <c r="G71" l="1"/>
  <c r="H71" l="1"/>
  <c r="F72" s="1"/>
  <c r="G72" s="1"/>
  <c r="H72" s="1"/>
  <c r="F73" s="1"/>
  <c r="G73" s="1"/>
  <c r="H73" s="1"/>
  <c r="F74" s="1"/>
  <c r="G74" s="1"/>
  <c r="H74" s="1"/>
  <c r="F75" s="1"/>
  <c r="G75" s="1"/>
  <c r="H75" s="1"/>
  <c r="F76" s="1"/>
  <c r="G76" s="1"/>
  <c r="H76" s="1"/>
  <c r="F77" s="1"/>
  <c r="G77" s="1"/>
  <c r="H77" s="1"/>
  <c r="F78" s="1"/>
  <c r="G78" l="1"/>
  <c r="I78"/>
  <c r="H16" i="8" s="1"/>
  <c r="H17" s="1"/>
  <c r="H18" s="1"/>
  <c r="H19" s="1"/>
  <c r="H20" s="1"/>
  <c r="H21" s="1"/>
  <c r="H78" i="11" l="1"/>
  <c r="F79" s="1"/>
  <c r="J78"/>
  <c r="H27" i="8" s="1"/>
  <c r="G79" i="11" l="1"/>
  <c r="H79" l="1"/>
  <c r="F80" s="1"/>
  <c r="G80" l="1"/>
  <c r="H80" l="1"/>
  <c r="F81" s="1"/>
  <c r="G81" l="1"/>
  <c r="H81" l="1"/>
  <c r="F82" s="1"/>
  <c r="G82" l="1"/>
  <c r="H82" l="1"/>
  <c r="F83" s="1"/>
  <c r="G83" l="1"/>
  <c r="H83" l="1"/>
  <c r="F84" s="1"/>
  <c r="G84" s="1"/>
  <c r="H84" s="1"/>
  <c r="F85" s="1"/>
  <c r="G85" s="1"/>
  <c r="H85" s="1"/>
  <c r="F86" s="1"/>
  <c r="G86" s="1"/>
  <c r="H86" s="1"/>
  <c r="F87" s="1"/>
  <c r="G87" s="1"/>
  <c r="H87" s="1"/>
  <c r="F88" s="1"/>
  <c r="G88" s="1"/>
  <c r="H88" s="1"/>
  <c r="F89" s="1"/>
  <c r="G89" s="1"/>
  <c r="H89" s="1"/>
  <c r="F90" s="1"/>
  <c r="G90" l="1"/>
  <c r="I90"/>
  <c r="I16" i="8" s="1"/>
  <c r="I17" s="1"/>
  <c r="I18" s="1"/>
  <c r="I19" s="1"/>
  <c r="I20" s="1"/>
  <c r="I21" s="1"/>
  <c r="H90" i="11" l="1"/>
  <c r="F91" s="1"/>
  <c r="J90"/>
  <c r="I27" i="8" s="1"/>
  <c r="I29" s="1"/>
  <c r="G45" s="1"/>
  <c r="G91" i="11" l="1"/>
  <c r="H91" l="1"/>
  <c r="F92" s="1"/>
  <c r="G92" l="1"/>
  <c r="H92" l="1"/>
  <c r="F93" s="1"/>
  <c r="G93" l="1"/>
  <c r="H93" l="1"/>
  <c r="F94" s="1"/>
  <c r="G94" l="1"/>
  <c r="H94" l="1"/>
  <c r="F95" s="1"/>
  <c r="G95" l="1"/>
  <c r="H95" l="1"/>
  <c r="F96" s="1"/>
  <c r="G96" s="1"/>
  <c r="H96" s="1"/>
  <c r="F97" s="1"/>
  <c r="G97" s="1"/>
  <c r="H97" s="1"/>
  <c r="F98" s="1"/>
  <c r="G98" s="1"/>
  <c r="H98" s="1"/>
  <c r="F99" s="1"/>
  <c r="G99" s="1"/>
  <c r="H99" s="1"/>
  <c r="F100" s="1"/>
  <c r="G100" s="1"/>
  <c r="H100" s="1"/>
  <c r="F101" s="1"/>
  <c r="G101" s="1"/>
  <c r="H101" s="1"/>
  <c r="F102" s="1"/>
  <c r="G102" l="1"/>
  <c r="I102"/>
  <c r="J16" i="8" s="1"/>
  <c r="J17" s="1"/>
  <c r="J18" s="1"/>
  <c r="J19" s="1"/>
  <c r="J20" s="1"/>
  <c r="J21" s="1"/>
  <c r="H102" i="11" l="1"/>
  <c r="F103" s="1"/>
  <c r="J102"/>
  <c r="J27" i="8" s="1"/>
  <c r="G103" i="11" l="1"/>
  <c r="H103" l="1"/>
  <c r="F104" s="1"/>
  <c r="G104" l="1"/>
  <c r="H104" l="1"/>
  <c r="F105" s="1"/>
  <c r="G105" l="1"/>
  <c r="H105" l="1"/>
  <c r="F106" s="1"/>
  <c r="G106" l="1"/>
  <c r="H106" l="1"/>
  <c r="F107" s="1"/>
  <c r="G107" l="1"/>
  <c r="H107" l="1"/>
  <c r="F108" s="1"/>
  <c r="G108" s="1"/>
  <c r="H108" s="1"/>
  <c r="F109" s="1"/>
  <c r="G109" s="1"/>
  <c r="H109" s="1"/>
  <c r="F110" s="1"/>
  <c r="G110" s="1"/>
  <c r="H110" s="1"/>
  <c r="F111" s="1"/>
  <c r="G111" s="1"/>
  <c r="H111" s="1"/>
  <c r="F112" s="1"/>
  <c r="G112" s="1"/>
  <c r="H112" s="1"/>
  <c r="F113" s="1"/>
  <c r="G113" s="1"/>
  <c r="H113" s="1"/>
  <c r="F114" s="1"/>
  <c r="G114" l="1"/>
  <c r="I114"/>
  <c r="K16" i="8" s="1"/>
  <c r="K17" s="1"/>
  <c r="K18" s="1"/>
  <c r="K19" s="1"/>
  <c r="K20" s="1"/>
  <c r="K21" s="1"/>
  <c r="H114" i="11" l="1"/>
  <c r="F115" s="1"/>
  <c r="J114"/>
  <c r="K27" i="8" s="1"/>
  <c r="K29" s="1"/>
  <c r="G47" s="1"/>
  <c r="G115" i="11" l="1"/>
  <c r="H115" l="1"/>
  <c r="F116" s="1"/>
  <c r="G116" l="1"/>
  <c r="H116" l="1"/>
  <c r="F117" s="1"/>
  <c r="G117" l="1"/>
  <c r="H117" l="1"/>
  <c r="F118" s="1"/>
  <c r="G118" l="1"/>
  <c r="H118" l="1"/>
  <c r="F119" s="1"/>
  <c r="G119" l="1"/>
  <c r="H119" l="1"/>
  <c r="F120" s="1"/>
  <c r="G120" s="1"/>
  <c r="H120" s="1"/>
  <c r="F121" s="1"/>
  <c r="G121" s="1"/>
  <c r="H121" s="1"/>
  <c r="F122" s="1"/>
  <c r="G122" s="1"/>
  <c r="H122" s="1"/>
  <c r="F123" s="1"/>
  <c r="G123" s="1"/>
  <c r="H123" s="1"/>
  <c r="F124" s="1"/>
  <c r="G124" s="1"/>
  <c r="H124" s="1"/>
  <c r="F125" s="1"/>
  <c r="G125" s="1"/>
  <c r="H125" s="1"/>
  <c r="F126" l="1"/>
  <c r="G126" l="1"/>
  <c r="I126"/>
  <c r="L16" i="8" s="1"/>
  <c r="L17" s="1"/>
  <c r="L18" s="1"/>
  <c r="L19" s="1"/>
  <c r="L20" s="1"/>
  <c r="L21" s="1"/>
  <c r="J126" i="11" l="1"/>
  <c r="L27" i="8" s="1"/>
  <c r="L29" s="1"/>
  <c r="G48" s="1"/>
  <c r="H126" i="11"/>
  <c r="G25" i="8"/>
  <c r="G29" s="1"/>
  <c r="G43" s="1"/>
  <c r="H43" s="1"/>
  <c r="H25"/>
  <c r="H29" s="1"/>
  <c r="G44" s="1"/>
  <c r="J25"/>
  <c r="J29" s="1"/>
  <c r="G46" s="1"/>
  <c r="H44" l="1"/>
  <c r="H45" s="1"/>
  <c r="H46" s="1"/>
  <c r="H47" s="1"/>
  <c r="H48" s="1"/>
  <c r="D32"/>
  <c r="D34" s="1"/>
  <c r="D33"/>
</calcChain>
</file>

<file path=xl/sharedStrings.xml><?xml version="1.0" encoding="utf-8"?>
<sst xmlns="http://schemas.openxmlformats.org/spreadsheetml/2006/main" count="351" uniqueCount="268">
  <si>
    <t>Rango</t>
  </si>
  <si>
    <t>%</t>
  </si>
  <si>
    <t>Precio Esperado</t>
  </si>
  <si>
    <t>$4-$5</t>
  </si>
  <si>
    <t>cantidad</t>
  </si>
  <si>
    <t>cargo</t>
  </si>
  <si>
    <t>sueldo</t>
  </si>
  <si>
    <t xml:space="preserve">IESS 9.35% </t>
  </si>
  <si>
    <t>propietario</t>
  </si>
  <si>
    <t>administrador</t>
  </si>
  <si>
    <t>contador</t>
  </si>
  <si>
    <t>ayudante contable</t>
  </si>
  <si>
    <t>creativo</t>
  </si>
  <si>
    <t>planner</t>
  </si>
  <si>
    <t>supervisor de pista</t>
  </si>
  <si>
    <t>cajero</t>
  </si>
  <si>
    <t>13º</t>
  </si>
  <si>
    <t>14º</t>
  </si>
  <si>
    <t>vacaciones</t>
  </si>
  <si>
    <t>Fondos de Reserva</t>
  </si>
  <si>
    <t>$6-$7</t>
  </si>
  <si>
    <t>$8-$9</t>
  </si>
  <si>
    <t>$9-$10</t>
  </si>
  <si>
    <t>Demanda</t>
  </si>
  <si>
    <t>Clientes potenciales</t>
  </si>
  <si>
    <t>habitantes</t>
  </si>
  <si>
    <t>PRECIO POR LÍNEA DE BOLOS</t>
  </si>
  <si>
    <t>Clientes x línea de Bolos</t>
  </si>
  <si>
    <t>% de aceptación</t>
  </si>
  <si>
    <t>Segmento</t>
  </si>
  <si>
    <t>habitantes (12-24 años)</t>
  </si>
  <si>
    <t>Crecimiento Población</t>
  </si>
  <si>
    <t>Ingresos por Pistas de Bolos</t>
  </si>
  <si>
    <t>Ingresos por Alquiler de Accesorios</t>
  </si>
  <si>
    <t>Clientes Pontenciales</t>
  </si>
  <si>
    <t>Precio de Alquiler de Zapatos</t>
  </si>
  <si>
    <t>Ingresos por alquiler mensual</t>
  </si>
  <si>
    <t>Clientes que compraran medias</t>
  </si>
  <si>
    <t>Precio de las medias</t>
  </si>
  <si>
    <t>Ingresos por medias</t>
  </si>
  <si>
    <t>Total Ingreso mensual por Accesorios</t>
  </si>
  <si>
    <t>Total anual</t>
  </si>
  <si>
    <t>Ingresos por Arriendo de otras áreas</t>
  </si>
  <si>
    <t>Bar-Cafetería</t>
  </si>
  <si>
    <t>Área</t>
  </si>
  <si>
    <t>Precio</t>
  </si>
  <si>
    <t>Sala de Juegos</t>
  </si>
  <si>
    <t>Total</t>
  </si>
  <si>
    <t>Total mensual</t>
  </si>
  <si>
    <t>Ingresos por Clases de Bolos</t>
  </si>
  <si>
    <t>costo por hora del profesor</t>
  </si>
  <si>
    <t>Precio de la clase mensual</t>
  </si>
  <si>
    <t>3 dias a la semana</t>
  </si>
  <si>
    <t>2 horas</t>
  </si>
  <si>
    <t>miercoles, viernes y sabados</t>
  </si>
  <si>
    <t>gasto de sueldo profesor</t>
  </si>
  <si>
    <t>Total Ingresos por Clases</t>
  </si>
  <si>
    <t>Total Ingresos mensuales</t>
  </si>
  <si>
    <t>Total Ingresos anuales</t>
  </si>
  <si>
    <t>Ingresos Bolos</t>
  </si>
  <si>
    <t>Ingresos Accesorios</t>
  </si>
  <si>
    <t>Ingresos Arriendo Áreas</t>
  </si>
  <si>
    <t>Ingresos Anuales</t>
  </si>
  <si>
    <t>$</t>
  </si>
  <si>
    <t>TOTAL</t>
  </si>
  <si>
    <t>Pistas de Bolos</t>
  </si>
  <si>
    <t>Posicionador de Bolos</t>
  </si>
  <si>
    <t>Computadoras</t>
  </si>
  <si>
    <t>Aire Acondicionado</t>
  </si>
  <si>
    <t>Muebles y Enseres</t>
  </si>
  <si>
    <t>Accsesorios de Bolos</t>
  </si>
  <si>
    <t>Depreciación por Año de los Equipos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</si>
  <si>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</si>
  <si>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</si>
  <si>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</si>
  <si>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</si>
  <si>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</si>
  <si>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</si>
  <si>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</si>
  <si>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</si>
  <si>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</si>
  <si>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</si>
  <si>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Unidades</t>
  </si>
  <si>
    <t>Precio Unitario</t>
  </si>
  <si>
    <t>-</t>
  </si>
  <si>
    <t>35% de clientes potenciales</t>
  </si>
  <si>
    <t>Demanda estimada de clientes</t>
  </si>
  <si>
    <t>Ingreso mensual</t>
  </si>
  <si>
    <t>Ingreso anual</t>
  </si>
  <si>
    <t xml:space="preserve"> 25% de utilidad</t>
  </si>
  <si>
    <t>Precio x alumno</t>
  </si>
  <si>
    <t xml:space="preserve">Alumnos(15 mensuales) </t>
  </si>
  <si>
    <t>FLUJO DE CAJA</t>
  </si>
  <si>
    <t>AÑO</t>
  </si>
  <si>
    <t>Ingresos por Líneas</t>
  </si>
  <si>
    <t>Ingresos por Accesorios</t>
  </si>
  <si>
    <t>Ingresos por Alquiler Áreas</t>
  </si>
  <si>
    <t>Ingresos por Clases</t>
  </si>
  <si>
    <t>TOTAL INGRESOS</t>
  </si>
  <si>
    <t>Mantenimiento de Máquinas</t>
  </si>
  <si>
    <t>Limpieza de Accesorios</t>
  </si>
  <si>
    <t>COSTOS OPERATIVOS</t>
  </si>
  <si>
    <t>Electricidad</t>
  </si>
  <si>
    <t>COTOS OPERATIVOS</t>
  </si>
  <si>
    <t>Sueldo de Operarios</t>
  </si>
  <si>
    <t>SUPUESTOS DE ELECTRICIDAD</t>
  </si>
  <si>
    <t>Precio diario</t>
  </si>
  <si>
    <t>Mensual</t>
  </si>
  <si>
    <t>Anual</t>
  </si>
  <si>
    <t>SUPUESTOS DE LIMPIEZA DE ACCESORIOS</t>
  </si>
  <si>
    <t>SUPUESTOS MATENIMIENTO DE MAQUINAS</t>
  </si>
  <si>
    <t>SUPUESTOS OPERARIOS</t>
  </si>
  <si>
    <t>TOTAL COSTOS OPERARATIVOS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</si>
  <si>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</si>
  <si>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</si>
  <si>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</si>
  <si>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</si>
  <si>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</si>
  <si>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</si>
  <si>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</si>
  <si>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</si>
  <si>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</si>
  <si>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</si>
  <si>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</si>
  <si>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</si>
  <si>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Costos Operativos</t>
  </si>
  <si>
    <t>Costos No Operativos</t>
  </si>
  <si>
    <t>crecimiento</t>
  </si>
  <si>
    <t xml:space="preserve">ELECTRICIDAD </t>
  </si>
  <si>
    <t>Sueldo
Líquido</t>
  </si>
  <si>
    <t>Sueldo Líquido Anual</t>
  </si>
  <si>
    <t>IESS 12,15%
Patronal Anual</t>
  </si>
  <si>
    <t xml:space="preserve">COSTO
Trabajador por Año </t>
  </si>
  <si>
    <t xml:space="preserve">cajeros </t>
  </si>
  <si>
    <t>supervisores de pista</t>
  </si>
  <si>
    <t>total mensual</t>
  </si>
  <si>
    <t>COSTOS NO OPERATIVOS</t>
  </si>
  <si>
    <t>SUELDOS Y SALARIOS</t>
  </si>
  <si>
    <t>mensual</t>
  </si>
  <si>
    <t>anual</t>
  </si>
  <si>
    <t>SUPUESTOSELECTRICIDAD</t>
  </si>
  <si>
    <t>SUPUESTOS SUELDOS</t>
  </si>
  <si>
    <t>Supuesto Comunicaciones</t>
  </si>
  <si>
    <t>Consumo Mes</t>
  </si>
  <si>
    <t>Consumo Año</t>
  </si>
  <si>
    <t>Supuesto Limpieza Local</t>
  </si>
  <si>
    <t>Limpieza Mensual</t>
  </si>
  <si>
    <t>Total Anual</t>
  </si>
  <si>
    <t>Supuesto Seguridad</t>
  </si>
  <si>
    <t>Servicio de Guardianía mensual</t>
  </si>
  <si>
    <t>Supuesto Suministro de Oficina</t>
  </si>
  <si>
    <t>Consumo Mensual</t>
  </si>
  <si>
    <t>Supuesto Publicidad</t>
  </si>
  <si>
    <t>Consumo anual</t>
  </si>
  <si>
    <t>Supuesto Consumo Agua</t>
  </si>
  <si>
    <t>Consumo mes agua</t>
  </si>
  <si>
    <t>Consumo Anual</t>
  </si>
  <si>
    <t>LIMPIEZA DE LOCAL</t>
  </si>
  <si>
    <t>SEGURIDAD</t>
  </si>
  <si>
    <t>COMUNICACIÓN</t>
  </si>
  <si>
    <t>SUMINISTRO DE OFICINA</t>
  </si>
  <si>
    <t>PUBLICIDAD</t>
  </si>
  <si>
    <t>CONSUMO DE AGUA</t>
  </si>
  <si>
    <t>TOTAL C.N.O</t>
  </si>
  <si>
    <t>TOTAL COSTOS</t>
  </si>
  <si>
    <t>Sueldo Profesor</t>
  </si>
  <si>
    <t>Depreciación</t>
  </si>
  <si>
    <t>Costos Financieros</t>
  </si>
  <si>
    <t>Ítem</t>
  </si>
  <si>
    <t>Uni. Medida</t>
  </si>
  <si>
    <t xml:space="preserve">Precio Unitario </t>
  </si>
  <si>
    <t>Local</t>
  </si>
  <si>
    <t>200 m2</t>
  </si>
  <si>
    <t>Estacionamientos</t>
  </si>
  <si>
    <t>40 m2</t>
  </si>
  <si>
    <t>$ 26.43</t>
  </si>
  <si>
    <t>Paredes</t>
  </si>
  <si>
    <t>35 m2</t>
  </si>
  <si>
    <t>Pisos y Techo</t>
  </si>
  <si>
    <t>INVERSIÓN OBRAS FÍSICAS</t>
  </si>
  <si>
    <t>INVERSIÓN TERRENO</t>
  </si>
  <si>
    <t>Impresora</t>
  </si>
  <si>
    <t>Bolas</t>
  </si>
  <si>
    <t>Zapatos</t>
  </si>
  <si>
    <t>INVERSIÓN EQUIPOS</t>
  </si>
  <si>
    <t>COSTO  240 M2</t>
  </si>
  <si>
    <t>TOTAL INVERSIÓN</t>
  </si>
  <si>
    <t>ESTRUCTURA DE FINANCIAMIENTO</t>
  </si>
  <si>
    <t>Inversión</t>
  </si>
  <si>
    <t>Capital de Trabajo</t>
  </si>
  <si>
    <t>Total Capital</t>
  </si>
  <si>
    <t>Financiamiento</t>
  </si>
  <si>
    <t>Capital Propio</t>
  </si>
  <si>
    <t>NPER</t>
  </si>
  <si>
    <t>PAGO MENSUAL</t>
  </si>
  <si>
    <t>TASA ANUAL</t>
  </si>
  <si>
    <t>TASA MENSUAL</t>
  </si>
  <si>
    <t>PAGO</t>
  </si>
  <si>
    <t>INTERES</t>
  </si>
  <si>
    <t>AMORTIZ</t>
  </si>
  <si>
    <t xml:space="preserve">SALDO </t>
  </si>
  <si>
    <t>GASTO FINANCIERO</t>
  </si>
  <si>
    <t>AMORT_ANUAL</t>
  </si>
  <si>
    <t>COSTO FINANCIERO</t>
  </si>
  <si>
    <t>Participación Trabajadores 15%</t>
  </si>
  <si>
    <t>UTLILIDAD ANTES DE INTERESES</t>
  </si>
  <si>
    <t>Intereses</t>
  </si>
  <si>
    <t>UTILIDAD DESPUES INTERESES</t>
  </si>
  <si>
    <t>UTLIDAD ANTES DE IMPUESTOS</t>
  </si>
  <si>
    <t>Impuestos 25%</t>
  </si>
  <si>
    <t>UTILIDAD NETA</t>
  </si>
  <si>
    <t>Amortización</t>
  </si>
  <si>
    <t>Reinversión</t>
  </si>
  <si>
    <t>Préstamo</t>
  </si>
  <si>
    <t>Gasto de medias</t>
  </si>
  <si>
    <t>Deprecación Anual</t>
  </si>
  <si>
    <t>VAN</t>
  </si>
  <si>
    <t>TIR</t>
  </si>
  <si>
    <t>TASA DE DESCUENTO</t>
  </si>
  <si>
    <t>RF</t>
  </si>
  <si>
    <t>RM</t>
  </si>
  <si>
    <t>β</t>
  </si>
  <si>
    <t>RIESGO PAIS</t>
  </si>
  <si>
    <t>Ke</t>
  </si>
  <si>
    <t>COSTO DE CAPITAL</t>
  </si>
  <si>
    <t>PATRIMONIO</t>
  </si>
  <si>
    <t>PRÉSTAMO</t>
  </si>
  <si>
    <t>CAPITAL PROPIO</t>
  </si>
  <si>
    <t>Kd</t>
  </si>
  <si>
    <t>t</t>
  </si>
  <si>
    <t>K</t>
  </si>
  <si>
    <t>ACTIVOS</t>
  </si>
  <si>
    <t>Vida Útil</t>
  </si>
  <si>
    <t xml:space="preserve">          Bolas</t>
  </si>
  <si>
    <t xml:space="preserve">          Zapatos</t>
  </si>
  <si>
    <t>bar-cafeteria</t>
  </si>
  <si>
    <t>Sala de juegos</t>
  </si>
  <si>
    <t>ingresos anuales</t>
  </si>
  <si>
    <t>ingresos mensuales</t>
  </si>
  <si>
    <t>Costo del alquiler</t>
  </si>
  <si>
    <t>Columna1</t>
  </si>
  <si>
    <t>FNE</t>
  </si>
  <si>
    <t>PAYBACK</t>
  </si>
  <si>
    <t>ESTADO DE RESULTADO</t>
  </si>
  <si>
    <t>Al primer año</t>
  </si>
  <si>
    <t>GASTOS OPERATIVOS</t>
  </si>
  <si>
    <t>sueldos y salarios</t>
  </si>
  <si>
    <t xml:space="preserve">Electricidad </t>
  </si>
  <si>
    <t>Consumo de agua</t>
  </si>
  <si>
    <t>Limpieza de local</t>
  </si>
  <si>
    <t>Suministro de oficina</t>
  </si>
  <si>
    <t>Seguridad</t>
  </si>
  <si>
    <t>Comunicación</t>
  </si>
  <si>
    <t>Publicidad</t>
  </si>
  <si>
    <t>GASTOS NO OPERATIVOS</t>
  </si>
  <si>
    <t>Gastos de Interés</t>
  </si>
  <si>
    <t>GASTOS FINANCIEROS</t>
  </si>
  <si>
    <t>DEPRECIACIÓN</t>
  </si>
  <si>
    <t>UTILIDAD</t>
  </si>
  <si>
    <t>Participación de trabajadores 15%</t>
  </si>
  <si>
    <t>UTILIDAD ANTES DE IMPUESTOS</t>
  </si>
  <si>
    <t>BOLOCENTRO DE MILAGRO</t>
  </si>
  <si>
    <t>VAE</t>
  </si>
  <si>
    <t>PRECIO POR LÍNEA</t>
  </si>
  <si>
    <t>DEMANDA</t>
  </si>
  <si>
    <t>% DEMANDA</t>
  </si>
  <si>
    <t>N/A</t>
  </si>
  <si>
    <t>% CO</t>
  </si>
</sst>
</file>

<file path=xl/styles.xml><?xml version="1.0" encoding="utf-8"?>
<styleSheet xmlns="http://schemas.openxmlformats.org/spreadsheetml/2006/main">
  <numFmts count="7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$-300A]\ #,##0.00"/>
    <numFmt numFmtId="165" formatCode="_(* #,##0_);_(* \(#,##0\);_(* &quot;-&quot;??_);_(@_)"/>
    <numFmt numFmtId="166" formatCode="0.0"/>
    <numFmt numFmtId="167" formatCode="&quot;$&quot;\ 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</font>
    <font>
      <sz val="12"/>
      <color rgb="FF000000"/>
      <name val="Arial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theme="1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6" fillId="0" borderId="1" xfId="0" applyFont="1" applyBorder="1"/>
    <xf numFmtId="0" fontId="7" fillId="0" borderId="1" xfId="0" applyFont="1" applyBorder="1"/>
    <xf numFmtId="0" fontId="0" fillId="0" borderId="1" xfId="0" applyFill="1" applyBorder="1"/>
    <xf numFmtId="0" fontId="7" fillId="0" borderId="0" xfId="0" applyFont="1"/>
    <xf numFmtId="164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" fontId="9" fillId="0" borderId="0" xfId="1" applyNumberFormat="1" applyFont="1" applyAlignment="1">
      <alignment horizontal="center"/>
    </xf>
    <xf numFmtId="44" fontId="10" fillId="0" borderId="0" xfId="2" applyFont="1" applyAlignment="1">
      <alignment horizontal="center"/>
    </xf>
    <xf numFmtId="10" fontId="10" fillId="0" borderId="0" xfId="0" applyNumberFormat="1" applyFont="1" applyAlignment="1">
      <alignment horizontal="center"/>
    </xf>
    <xf numFmtId="44" fontId="10" fillId="0" borderId="0" xfId="2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0" fillId="0" borderId="0" xfId="0" applyNumberFormat="1"/>
    <xf numFmtId="44" fontId="11" fillId="2" borderId="0" xfId="3" applyNumberFormat="1" applyFont="1" applyAlignment="1"/>
    <xf numFmtId="44" fontId="0" fillId="0" borderId="0" xfId="2" applyFont="1"/>
    <xf numFmtId="0" fontId="4" fillId="0" borderId="1" xfId="0" applyFont="1" applyBorder="1"/>
    <xf numFmtId="10" fontId="0" fillId="0" borderId="1" xfId="0" applyNumberFormat="1" applyBorder="1"/>
    <xf numFmtId="165" fontId="0" fillId="0" borderId="1" xfId="1" applyNumberFormat="1" applyFont="1" applyBorder="1"/>
    <xf numFmtId="44" fontId="0" fillId="0" borderId="1" xfId="0" applyNumberFormat="1" applyBorder="1"/>
    <xf numFmtId="44" fontId="11" fillId="4" borderId="1" xfId="2" applyFont="1" applyFill="1" applyBorder="1"/>
    <xf numFmtId="44" fontId="0" fillId="0" borderId="1" xfId="2" applyFont="1" applyBorder="1"/>
    <xf numFmtId="44" fontId="4" fillId="0" borderId="1" xfId="2" applyFont="1" applyBorder="1"/>
    <xf numFmtId="9" fontId="0" fillId="0" borderId="1" xfId="0" applyNumberFormat="1" applyBorder="1"/>
    <xf numFmtId="44" fontId="4" fillId="0" borderId="1" xfId="0" applyNumberFormat="1" applyFont="1" applyBorder="1"/>
    <xf numFmtId="44" fontId="4" fillId="4" borderId="1" xfId="2" applyFont="1" applyFill="1" applyBorder="1"/>
    <xf numFmtId="44" fontId="4" fillId="4" borderId="1" xfId="0" applyNumberFormat="1" applyFont="1" applyFill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/>
    <xf numFmtId="0" fontId="0" fillId="0" borderId="1" xfId="0" applyFont="1" applyBorder="1"/>
    <xf numFmtId="0" fontId="11" fillId="0" borderId="1" xfId="0" applyFont="1" applyBorder="1" applyAlignment="1">
      <alignment horizontal="center"/>
    </xf>
    <xf numFmtId="44" fontId="4" fillId="5" borderId="1" xfId="0" applyNumberFormat="1" applyFont="1" applyFill="1" applyBorder="1"/>
    <xf numFmtId="43" fontId="0" fillId="0" borderId="1" xfId="1" applyFont="1" applyBorder="1"/>
    <xf numFmtId="44" fontId="0" fillId="0" borderId="0" xfId="0" applyNumberFormat="1"/>
    <xf numFmtId="0" fontId="4" fillId="0" borderId="0" xfId="0" applyFont="1"/>
    <xf numFmtId="44" fontId="4" fillId="0" borderId="0" xfId="0" applyNumberFormat="1" applyFont="1"/>
    <xf numFmtId="0" fontId="17" fillId="0" borderId="0" xfId="0" applyFont="1"/>
    <xf numFmtId="44" fontId="17" fillId="0" borderId="0" xfId="0" applyNumberFormat="1" applyFont="1"/>
    <xf numFmtId="0" fontId="0" fillId="0" borderId="0" xfId="0" applyAlignment="1">
      <alignment horizontal="center"/>
    </xf>
    <xf numFmtId="44" fontId="4" fillId="0" borderId="0" xfId="2" applyFont="1"/>
    <xf numFmtId="0" fontId="0" fillId="0" borderId="0" xfId="0" applyBorder="1"/>
    <xf numFmtId="166" fontId="0" fillId="0" borderId="0" xfId="0" applyNumberFormat="1"/>
    <xf numFmtId="0" fontId="0" fillId="0" borderId="0" xfId="0" applyFill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7" fontId="24" fillId="0" borderId="7" xfId="0" applyNumberFormat="1" applyFont="1" applyBorder="1" applyAlignment="1">
      <alignment horizontal="center"/>
    </xf>
    <xf numFmtId="167" fontId="24" fillId="0" borderId="9" xfId="0" applyNumberFormat="1" applyFont="1" applyBorder="1" applyAlignment="1">
      <alignment horizontal="center"/>
    </xf>
    <xf numFmtId="0" fontId="15" fillId="0" borderId="0" xfId="0" applyFont="1" applyBorder="1"/>
    <xf numFmtId="0" fontId="25" fillId="0" borderId="0" xfId="0" applyFont="1"/>
    <xf numFmtId="0" fontId="26" fillId="0" borderId="0" xfId="0" applyFont="1"/>
    <xf numFmtId="0" fontId="26" fillId="0" borderId="1" xfId="0" applyFont="1" applyBorder="1"/>
    <xf numFmtId="44" fontId="0" fillId="0" borderId="1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0" fontId="16" fillId="0" borderId="1" xfId="0" applyFont="1" applyBorder="1"/>
    <xf numFmtId="9" fontId="0" fillId="0" borderId="0" xfId="0" applyNumberFormat="1"/>
    <xf numFmtId="8" fontId="0" fillId="0" borderId="0" xfId="0" applyNumberFormat="1"/>
    <xf numFmtId="0" fontId="0" fillId="6" borderId="0" xfId="0" applyFill="1"/>
    <xf numFmtId="8" fontId="0" fillId="6" borderId="0" xfId="0" applyNumberFormat="1" applyFill="1"/>
    <xf numFmtId="44" fontId="0" fillId="6" borderId="0" xfId="2" applyFont="1" applyFill="1"/>
    <xf numFmtId="44" fontId="0" fillId="6" borderId="0" xfId="0" applyNumberFormat="1" applyFill="1"/>
    <xf numFmtId="0" fontId="27" fillId="7" borderId="1" xfId="0" applyFont="1" applyFill="1" applyBorder="1" applyAlignment="1">
      <alignment horizontal="center"/>
    </xf>
    <xf numFmtId="0" fontId="27" fillId="7" borderId="1" xfId="0" applyFont="1" applyFill="1" applyBorder="1" applyAlignment="1">
      <alignment horizontal="center" wrapText="1"/>
    </xf>
    <xf numFmtId="167" fontId="0" fillId="0" borderId="1" xfId="2" applyNumberFormat="1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16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0" fontId="0" fillId="0" borderId="0" xfId="4" applyNumberFormat="1" applyFont="1"/>
    <xf numFmtId="0" fontId="14" fillId="0" borderId="0" xfId="0" applyFont="1"/>
    <xf numFmtId="10" fontId="30" fillId="0" borderId="0" xfId="4" applyNumberFormat="1" applyFont="1"/>
    <xf numFmtId="0" fontId="4" fillId="0" borderId="1" xfId="0" applyFont="1" applyFill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167" fontId="21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center"/>
    </xf>
    <xf numFmtId="167" fontId="24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167" fontId="21" fillId="0" borderId="1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0" fontId="23" fillId="0" borderId="1" xfId="0" applyFont="1" applyBorder="1"/>
    <xf numFmtId="167" fontId="23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justify"/>
    </xf>
    <xf numFmtId="0" fontId="0" fillId="6" borderId="1" xfId="0" applyFill="1" applyBorder="1"/>
    <xf numFmtId="8" fontId="0" fillId="0" borderId="1" xfId="0" applyNumberFormat="1" applyBorder="1"/>
    <xf numFmtId="44" fontId="0" fillId="6" borderId="1" xfId="0" applyNumberFormat="1" applyFill="1" applyBorder="1"/>
    <xf numFmtId="0" fontId="4" fillId="0" borderId="0" xfId="0" applyFont="1" applyFill="1" applyBorder="1"/>
    <xf numFmtId="0" fontId="0" fillId="0" borderId="0" xfId="0" applyFont="1" applyBorder="1"/>
    <xf numFmtId="44" fontId="0" fillId="0" borderId="11" xfId="0" applyNumberFormat="1" applyBorder="1"/>
    <xf numFmtId="0" fontId="20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7" fontId="20" fillId="0" borderId="0" xfId="0" applyNumberFormat="1" applyFont="1" applyBorder="1" applyAlignment="1">
      <alignment horizontal="center"/>
    </xf>
    <xf numFmtId="167" fontId="28" fillId="0" borderId="0" xfId="0" applyNumberFormat="1" applyFont="1" applyBorder="1" applyAlignment="1">
      <alignment horizontal="center"/>
    </xf>
    <xf numFmtId="0" fontId="0" fillId="0" borderId="0" xfId="0" applyFont="1"/>
    <xf numFmtId="44" fontId="0" fillId="0" borderId="0" xfId="0" applyNumberFormat="1" applyBorder="1"/>
    <xf numFmtId="44" fontId="0" fillId="0" borderId="11" xfId="2" applyFont="1" applyBorder="1"/>
    <xf numFmtId="44" fontId="4" fillId="0" borderId="12" xfId="0" applyNumberFormat="1" applyFont="1" applyBorder="1"/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9" fontId="0" fillId="0" borderId="1" xfId="4" applyFont="1" applyBorder="1"/>
    <xf numFmtId="44" fontId="0" fillId="0" borderId="1" xfId="0" applyNumberFormat="1" applyFill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/>
    <xf numFmtId="0" fontId="23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4" fillId="6" borderId="0" xfId="0" applyFont="1" applyFill="1"/>
    <xf numFmtId="0" fontId="21" fillId="6" borderId="1" xfId="0" applyFont="1" applyFill="1" applyBorder="1"/>
    <xf numFmtId="0" fontId="0" fillId="8" borderId="1" xfId="0" applyFill="1" applyBorder="1"/>
    <xf numFmtId="44" fontId="0" fillId="8" borderId="1" xfId="2" applyFont="1" applyFill="1" applyBorder="1"/>
    <xf numFmtId="44" fontId="17" fillId="6" borderId="1" xfId="0" applyNumberFormat="1" applyFont="1" applyFill="1" applyBorder="1"/>
    <xf numFmtId="10" fontId="10" fillId="0" borderId="1" xfId="0" applyNumberFormat="1" applyFont="1" applyFill="1" applyBorder="1"/>
    <xf numFmtId="44" fontId="0" fillId="6" borderId="1" xfId="2" applyFont="1" applyFill="1" applyBorder="1"/>
    <xf numFmtId="0" fontId="29" fillId="6" borderId="0" xfId="3" applyFont="1" applyFill="1"/>
    <xf numFmtId="10" fontId="29" fillId="6" borderId="0" xfId="3" applyNumberFormat="1" applyFont="1" applyFill="1"/>
    <xf numFmtId="0" fontId="31" fillId="0" borderId="0" xfId="0" applyFont="1" applyAlignment="1">
      <alignment horizontal="center"/>
    </xf>
    <xf numFmtId="0" fontId="4" fillId="6" borderId="1" xfId="0" applyFont="1" applyFill="1" applyBorder="1"/>
    <xf numFmtId="44" fontId="1" fillId="0" borderId="1" xfId="2" applyFont="1" applyBorder="1"/>
    <xf numFmtId="44" fontId="4" fillId="6" borderId="0" xfId="0" applyNumberFormat="1" applyFont="1" applyFill="1"/>
    <xf numFmtId="0" fontId="32" fillId="0" borderId="0" xfId="5" applyAlignment="1" applyProtection="1"/>
    <xf numFmtId="0" fontId="15" fillId="0" borderId="0" xfId="0" applyFont="1" applyFill="1" applyBorder="1" applyAlignment="1">
      <alignment horizontal="justify"/>
    </xf>
    <xf numFmtId="0" fontId="23" fillId="6" borderId="1" xfId="0" applyFont="1" applyFill="1" applyBorder="1" applyAlignment="1">
      <alignment horizontal="justify"/>
    </xf>
    <xf numFmtId="0" fontId="23" fillId="0" borderId="1" xfId="0" applyFont="1" applyFill="1" applyBorder="1" applyAlignment="1">
      <alignment horizontal="justify"/>
    </xf>
    <xf numFmtId="0" fontId="24" fillId="0" borderId="1" xfId="0" applyFont="1" applyFill="1" applyBorder="1" applyAlignment="1">
      <alignment horizontal="center"/>
    </xf>
    <xf numFmtId="167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justify"/>
    </xf>
    <xf numFmtId="0" fontId="23" fillId="0" borderId="1" xfId="0" applyFont="1" applyFill="1" applyBorder="1"/>
    <xf numFmtId="167" fontId="23" fillId="0" borderId="1" xfId="0" applyNumberFormat="1" applyFont="1" applyFill="1" applyBorder="1" applyAlignment="1">
      <alignment horizontal="center"/>
    </xf>
    <xf numFmtId="44" fontId="9" fillId="0" borderId="1" xfId="2" applyFont="1" applyFill="1" applyBorder="1"/>
    <xf numFmtId="44" fontId="1" fillId="0" borderId="1" xfId="2" applyFont="1" applyFill="1" applyBorder="1"/>
    <xf numFmtId="44" fontId="0" fillId="0" borderId="1" xfId="0" applyNumberFormat="1" applyFont="1" applyFill="1" applyBorder="1"/>
    <xf numFmtId="0" fontId="18" fillId="6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23" fillId="6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9" fillId="0" borderId="0" xfId="0" applyFont="1" applyBorder="1" applyAlignment="1">
      <alignment wrapText="1"/>
    </xf>
    <xf numFmtId="0" fontId="4" fillId="6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6">
    <cellStyle name="Énfasis3" xfId="3" builtinId="37"/>
    <cellStyle name="Hipervínculo" xfId="5" builtinId="8"/>
    <cellStyle name="Millares" xfId="1" builtinId="3"/>
    <cellStyle name="Moneda" xfId="2" builtinId="4"/>
    <cellStyle name="Normal" xfId="0" builtinId="0"/>
    <cellStyle name="Porcentual" xfId="4" builtinId="5"/>
  </cellStyles>
  <dxfs count="25"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numFmt numFmtId="34" formatCode="_(&quot;$&quot;\ * #,##0.00_);_(&quot;$&quot;\ * \(#,##0.00\);_(&quot;$&quot;\ * &quot;-&quot;??_);_(@_)"/>
    </dxf>
    <dxf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/>
            </a:pPr>
            <a:r>
              <a:rPr lang="en-US"/>
              <a:t>PRECIO</a:t>
            </a:r>
            <a:r>
              <a:rPr lang="en-US" baseline="0"/>
              <a:t> VS VAN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'ANALISIS DE SENSIBILIDAD'!$C$2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cat>
            <c:numRef>
              <c:f>'ANALISIS DE SENSIBILIDAD'!$B$3:$B$9</c:f>
              <c:numCache>
                <c:formatCode>_("$"\ * #,##0.00_);_("$"\ * \(#,##0.00\);_("$"\ * "-"??_);_(@_)</c:formatCode>
                <c:ptCount val="7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</c:numCache>
            </c:numRef>
          </c:cat>
          <c:val>
            <c:numRef>
              <c:f>'ANALISIS DE SENSIBILIDAD'!$C$3:$C$9</c:f>
              <c:numCache>
                <c:formatCode>_("$"\ * #,##0.00_);_("$"\ * \(#,##0.00\);_("$"\ * "-"??_);_(@_)</c:formatCode>
                <c:ptCount val="7"/>
                <c:pt idx="0">
                  <c:v>-56714.408087810254</c:v>
                </c:pt>
                <c:pt idx="1">
                  <c:v>-759.8611656530411</c:v>
                </c:pt>
                <c:pt idx="2">
                  <c:v>55194.685756504216</c:v>
                </c:pt>
                <c:pt idx="3">
                  <c:v>111149.23267866153</c:v>
                </c:pt>
                <c:pt idx="4">
                  <c:v>167103.7796008187</c:v>
                </c:pt>
                <c:pt idx="5">
                  <c:v>223058.32652297599</c:v>
                </c:pt>
                <c:pt idx="6">
                  <c:v>279012.87344513339</c:v>
                </c:pt>
              </c:numCache>
            </c:numRef>
          </c:val>
        </c:ser>
        <c:marker val="1"/>
        <c:axId val="151255680"/>
        <c:axId val="151912832"/>
      </c:lineChart>
      <c:catAx>
        <c:axId val="151255680"/>
        <c:scaling>
          <c:orientation val="minMax"/>
        </c:scaling>
        <c:axPos val="b"/>
        <c:numFmt formatCode="_(&quot;$&quot;\ * #,##0.00_);_(&quot;$&quot;\ * \(#,##0.00\);_(&quot;$&quot;\ * &quot;-&quot;??_);_(@_)" sourceLinked="1"/>
        <c:tickLblPos val="nextTo"/>
        <c:crossAx val="151912832"/>
        <c:crosses val="autoZero"/>
        <c:auto val="1"/>
        <c:lblAlgn val="ctr"/>
        <c:lblOffset val="100"/>
      </c:catAx>
      <c:valAx>
        <c:axId val="151912832"/>
        <c:scaling>
          <c:orientation val="minMax"/>
        </c:scaling>
        <c:axPos val="l"/>
        <c:majorGridlines/>
        <c:numFmt formatCode="_(&quot;$&quot;\ * #,##0.00_);_(&quot;$&quot;\ * \(#,##0.00\);_(&quot;$&quot;\ * &quot;-&quot;??_);_(@_)" sourceLinked="1"/>
        <c:tickLblPos val="nextTo"/>
        <c:crossAx val="1512556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/>
            </a:pPr>
            <a:r>
              <a:rPr lang="en-US"/>
              <a:t>DEMANDA VS VAN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'ANALISIS DE SENSIBILIDAD'!$J$2</c:f>
              <c:strCache>
                <c:ptCount val="1"/>
                <c:pt idx="0">
                  <c:v>VAN</c:v>
                </c:pt>
              </c:strCache>
            </c:strRef>
          </c:tx>
          <c:cat>
            <c:numRef>
              <c:f>'ANALISIS DE SENSIBILIDAD'!$I$3:$I$9</c:f>
              <c:numCache>
                <c:formatCode>0%</c:formatCode>
                <c:ptCount val="7"/>
                <c:pt idx="0">
                  <c:v>0.1</c:v>
                </c:pt>
                <c:pt idx="1">
                  <c:v>0.15000000000000002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0.39999999999999997</c:v>
                </c:pt>
              </c:numCache>
            </c:numRef>
          </c:cat>
          <c:val>
            <c:numRef>
              <c:f>'ANALISIS DE SENSIBILIDAD'!$J$3:$J$9</c:f>
              <c:numCache>
                <c:formatCode>_("$"\ * #,##0.00_);_("$"\ * \(#,##0.00\);_("$"\ * "-"??_);_(@_)</c:formatCode>
                <c:ptCount val="7"/>
                <c:pt idx="0">
                  <c:v>-207759.71075082221</c:v>
                </c:pt>
                <c:pt idx="1">
                  <c:v>-115418.72131585641</c:v>
                </c:pt>
                <c:pt idx="2">
                  <c:v>-23077.731880890511</c:v>
                </c:pt>
                <c:pt idx="3">
                  <c:v>69263.257554075302</c:v>
                </c:pt>
                <c:pt idx="4">
                  <c:v>161604.24698904104</c:v>
                </c:pt>
                <c:pt idx="5">
                  <c:v>253945.23642400705</c:v>
                </c:pt>
                <c:pt idx="6">
                  <c:v>346286.22585897287</c:v>
                </c:pt>
              </c:numCache>
            </c:numRef>
          </c:val>
        </c:ser>
        <c:marker val="1"/>
        <c:axId val="151929216"/>
        <c:axId val="151930752"/>
      </c:lineChart>
      <c:catAx>
        <c:axId val="151929216"/>
        <c:scaling>
          <c:orientation val="minMax"/>
        </c:scaling>
        <c:axPos val="b"/>
        <c:numFmt formatCode="0%" sourceLinked="1"/>
        <c:tickLblPos val="nextTo"/>
        <c:crossAx val="151930752"/>
        <c:crosses val="autoZero"/>
        <c:auto val="1"/>
        <c:lblAlgn val="ctr"/>
        <c:lblOffset val="100"/>
      </c:catAx>
      <c:valAx>
        <c:axId val="151930752"/>
        <c:scaling>
          <c:orientation val="minMax"/>
        </c:scaling>
        <c:axPos val="l"/>
        <c:majorGridlines/>
        <c:numFmt formatCode="_(&quot;$&quot;\ * #,##0.00_);_(&quot;$&quot;\ * \(#,##0.00\);_(&quot;$&quot;\ * &quot;-&quot;??_);_(@_)" sourceLinked="1"/>
        <c:tickLblPos val="nextTo"/>
        <c:crossAx val="1519292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152400</xdr:rowOff>
    </xdr:from>
    <xdr:to>
      <xdr:col>6</xdr:col>
      <xdr:colOff>257175</xdr:colOff>
      <xdr:row>26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12</xdr:row>
      <xdr:rowOff>104775</xdr:rowOff>
    </xdr:from>
    <xdr:to>
      <xdr:col>13</xdr:col>
      <xdr:colOff>247650</xdr:colOff>
      <xdr:row>26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9" displayName="Tabla9" ref="A4:E9" headerRowCount="0" totalsRowShown="0" headerRowDxfId="24" dataDxfId="23">
  <tableColumns count="5">
    <tableColumn id="1" name="Columna1" headerRowDxfId="22" dataDxfId="21"/>
    <tableColumn id="2" name="Columna2" headerRowDxfId="20" dataDxfId="19"/>
    <tableColumn id="3" name="Columna3" headerRowDxfId="18" dataDxfId="17">
      <calculatedColumnFormula>#REF!</calculatedColumnFormula>
    </tableColumn>
    <tableColumn id="4" name="Columna4" headerRowDxfId="16" dataDxfId="15">
      <calculatedColumnFormula>#REF!</calculatedColumnFormula>
    </tableColumn>
    <tableColumn id="5" name="Columna5" headerRowDxfId="14" dataDxfId="1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2:M7" totalsRowShown="0" headerRowDxfId="12">
  <tableColumns count="13">
    <tableColumn id="1" name="Columna1"/>
    <tableColumn id="2" name="ENERO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id="2" name="Tabla19" displayName="Tabla19" ref="A4:B8" headerRowCount="0" totalsRowShown="0">
  <tableColumns count="2">
    <tableColumn id="1" name="Columna1"/>
    <tableColumn id="2" name="Columna2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4" name="Tabla18" displayName="Tabla18" ref="A14:B19" headerRowCount="0" totalsRowShown="0">
  <tableColumns count="2">
    <tableColumn id="1" name="Columna1"/>
    <tableColumn id="2" name="Columna2" headerRowDxfId="0">
      <calculatedColumnFormula>+(B10/B9)*B12*(1-B13)+(B4*B11/B9)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55"/>
  <sheetViews>
    <sheetView topLeftCell="A19" workbookViewId="0">
      <selection activeCell="D26" sqref="D26"/>
    </sheetView>
  </sheetViews>
  <sheetFormatPr baseColWidth="10" defaultRowHeight="15"/>
  <cols>
    <col min="1" max="1" width="40.42578125" bestFit="1" customWidth="1"/>
    <col min="2" max="2" width="12" bestFit="1" customWidth="1"/>
  </cols>
  <sheetData>
    <row r="4" spans="1:2">
      <c r="A4" s="127" t="s">
        <v>101</v>
      </c>
      <c r="B4" s="1"/>
    </row>
    <row r="5" spans="1:2">
      <c r="A5" s="1" t="s">
        <v>105</v>
      </c>
      <c r="B5" s="1"/>
    </row>
    <row r="6" spans="1:2">
      <c r="A6" s="1" t="s">
        <v>106</v>
      </c>
      <c r="B6" s="25">
        <v>15</v>
      </c>
    </row>
    <row r="7" spans="1:2">
      <c r="A7" s="1" t="s">
        <v>107</v>
      </c>
      <c r="B7" s="25">
        <f>+B6*30</f>
        <v>450</v>
      </c>
    </row>
    <row r="8" spans="1:2">
      <c r="A8" s="1" t="s">
        <v>108</v>
      </c>
      <c r="B8" s="23">
        <f>+B7*12</f>
        <v>5400</v>
      </c>
    </row>
    <row r="10" spans="1:2">
      <c r="A10" s="127" t="s">
        <v>109</v>
      </c>
      <c r="B10" s="1"/>
    </row>
    <row r="11" spans="1:2">
      <c r="A11" s="1" t="s">
        <v>107</v>
      </c>
      <c r="B11" s="25">
        <v>50</v>
      </c>
    </row>
    <row r="12" spans="1:2">
      <c r="A12" s="1" t="s">
        <v>108</v>
      </c>
      <c r="B12" s="25">
        <f>+B11*12</f>
        <v>600</v>
      </c>
    </row>
    <row r="14" spans="1:2">
      <c r="A14" s="127" t="s">
        <v>110</v>
      </c>
      <c r="B14" s="1"/>
    </row>
    <row r="15" spans="1:2">
      <c r="A15" s="1" t="s">
        <v>107</v>
      </c>
      <c r="B15" s="25">
        <v>100</v>
      </c>
    </row>
    <row r="16" spans="1:2">
      <c r="A16" s="1" t="s">
        <v>108</v>
      </c>
      <c r="B16" s="25">
        <f>+B15*12</f>
        <v>1200</v>
      </c>
    </row>
    <row r="17" spans="1:2">
      <c r="B17" s="19"/>
    </row>
    <row r="18" spans="1:2">
      <c r="A18" s="127" t="s">
        <v>111</v>
      </c>
      <c r="B18" s="1"/>
    </row>
    <row r="19" spans="1:2">
      <c r="A19" s="1" t="s">
        <v>133</v>
      </c>
      <c r="B19" s="2">
        <f>(4931.0368*2)/12</f>
        <v>821.83946666666668</v>
      </c>
    </row>
    <row r="20" spans="1:2">
      <c r="A20" s="1" t="s">
        <v>134</v>
      </c>
      <c r="B20" s="2">
        <f>7516.5552/12</f>
        <v>626.37959999999998</v>
      </c>
    </row>
    <row r="21" spans="1:2">
      <c r="A21" s="1" t="s">
        <v>135</v>
      </c>
      <c r="B21" s="2">
        <f>+B19+B20</f>
        <v>1448.2190666666665</v>
      </c>
    </row>
    <row r="22" spans="1:2">
      <c r="A22" s="1" t="s">
        <v>108</v>
      </c>
      <c r="B22" s="2">
        <f>+B21*12</f>
        <v>17378.628799999999</v>
      </c>
    </row>
    <row r="23" spans="1:2">
      <c r="B23" s="44"/>
    </row>
    <row r="24" spans="1:2">
      <c r="A24" s="127" t="s">
        <v>136</v>
      </c>
      <c r="B24" s="1"/>
    </row>
    <row r="25" spans="1:2">
      <c r="A25" s="1" t="s">
        <v>140</v>
      </c>
      <c r="B25" s="1"/>
    </row>
    <row r="26" spans="1:2">
      <c r="A26" s="1" t="s">
        <v>138</v>
      </c>
      <c r="B26" s="25">
        <f>3*30</f>
        <v>90</v>
      </c>
    </row>
    <row r="27" spans="1:2">
      <c r="A27" s="1" t="s">
        <v>139</v>
      </c>
      <c r="B27" s="25">
        <f>+B26*12</f>
        <v>1080</v>
      </c>
    </row>
    <row r="29" spans="1:2">
      <c r="A29" s="127" t="s">
        <v>141</v>
      </c>
      <c r="B29" s="1"/>
    </row>
    <row r="30" spans="1:2">
      <c r="A30" s="1" t="s">
        <v>138</v>
      </c>
      <c r="B30" s="25">
        <f>54640.97/12</f>
        <v>4553.4141666666665</v>
      </c>
    </row>
    <row r="31" spans="1:2">
      <c r="A31" s="1" t="s">
        <v>139</v>
      </c>
      <c r="B31" s="25">
        <f>+B30*12</f>
        <v>54640.97</v>
      </c>
    </row>
    <row r="33" spans="1:2">
      <c r="A33" s="127" t="s">
        <v>142</v>
      </c>
      <c r="B33" s="1"/>
    </row>
    <row r="34" spans="1:2">
      <c r="A34" s="1" t="s">
        <v>143</v>
      </c>
      <c r="B34" s="25">
        <v>100</v>
      </c>
    </row>
    <row r="35" spans="1:2">
      <c r="A35" s="1" t="s">
        <v>144</v>
      </c>
      <c r="B35" s="23">
        <f>B34*12</f>
        <v>1200</v>
      </c>
    </row>
    <row r="37" spans="1:2">
      <c r="A37" s="127" t="s">
        <v>145</v>
      </c>
      <c r="B37" s="1"/>
    </row>
    <row r="38" spans="1:2">
      <c r="A38" s="1" t="s">
        <v>146</v>
      </c>
      <c r="B38" s="25">
        <v>60</v>
      </c>
    </row>
    <row r="39" spans="1:2">
      <c r="A39" s="1" t="s">
        <v>147</v>
      </c>
      <c r="B39" s="25">
        <f>+B38*12</f>
        <v>720</v>
      </c>
    </row>
    <row r="40" spans="1:2">
      <c r="B40" s="19"/>
    </row>
    <row r="41" spans="1:2">
      <c r="A41" s="127" t="s">
        <v>148</v>
      </c>
      <c r="B41" s="1"/>
    </row>
    <row r="42" spans="1:2">
      <c r="A42" s="1" t="s">
        <v>149</v>
      </c>
      <c r="B42" s="25">
        <v>500</v>
      </c>
    </row>
    <row r="43" spans="1:2">
      <c r="A43" s="1" t="s">
        <v>147</v>
      </c>
      <c r="B43" s="25">
        <f>+B42*12</f>
        <v>6000</v>
      </c>
    </row>
    <row r="45" spans="1:2">
      <c r="A45" s="127" t="s">
        <v>150</v>
      </c>
      <c r="B45" s="1"/>
    </row>
    <row r="46" spans="1:2">
      <c r="A46" s="1" t="s">
        <v>151</v>
      </c>
      <c r="B46" s="25">
        <v>50</v>
      </c>
    </row>
    <row r="47" spans="1:2">
      <c r="A47" s="1" t="s">
        <v>147</v>
      </c>
      <c r="B47" s="25">
        <f>+B46*12</f>
        <v>600</v>
      </c>
    </row>
    <row r="49" spans="1:2">
      <c r="A49" s="127" t="s">
        <v>152</v>
      </c>
      <c r="B49" s="1"/>
    </row>
    <row r="50" spans="1:2">
      <c r="A50" s="1" t="s">
        <v>151</v>
      </c>
      <c r="B50" s="25">
        <v>2500</v>
      </c>
    </row>
    <row r="51" spans="1:2">
      <c r="A51" s="1" t="s">
        <v>153</v>
      </c>
      <c r="B51" s="25">
        <f>+B50*12</f>
        <v>30000</v>
      </c>
    </row>
    <row r="53" spans="1:2">
      <c r="A53" s="127" t="s">
        <v>154</v>
      </c>
      <c r="B53" s="32"/>
    </row>
    <row r="54" spans="1:2">
      <c r="A54" s="1" t="s">
        <v>155</v>
      </c>
      <c r="B54" s="128">
        <v>50</v>
      </c>
    </row>
    <row r="55" spans="1:2">
      <c r="A55" s="1" t="s">
        <v>156</v>
      </c>
      <c r="B55" s="25">
        <f>+B54*12</f>
        <v>600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3:D13"/>
  <sheetViews>
    <sheetView showGridLines="0" workbookViewId="0">
      <selection activeCell="A3" sqref="A3:B10"/>
    </sheetView>
  </sheetViews>
  <sheetFormatPr baseColWidth="10" defaultRowHeight="15"/>
  <cols>
    <col min="1" max="1" width="31.42578125" customWidth="1"/>
    <col min="2" max="2" width="15" customWidth="1"/>
  </cols>
  <sheetData>
    <row r="3" spans="1:4">
      <c r="A3" s="157" t="s">
        <v>103</v>
      </c>
      <c r="B3" s="158"/>
    </row>
    <row r="4" spans="1:4">
      <c r="A4" s="1" t="s">
        <v>104</v>
      </c>
      <c r="B4" s="25">
        <f>+Supuestos!B22</f>
        <v>17378.628799999999</v>
      </c>
    </row>
    <row r="5" spans="1:4">
      <c r="A5" s="1" t="s">
        <v>99</v>
      </c>
      <c r="B5" s="25">
        <f>+Supuestos!B16</f>
        <v>1200</v>
      </c>
      <c r="D5" s="58"/>
    </row>
    <row r="6" spans="1:4">
      <c r="A6" s="1" t="s">
        <v>100</v>
      </c>
      <c r="B6" s="25">
        <f>+Supuestos!B12</f>
        <v>600</v>
      </c>
    </row>
    <row r="7" spans="1:4">
      <c r="A7" s="1" t="s">
        <v>102</v>
      </c>
      <c r="B7" s="23">
        <f>+Supuestos!B8</f>
        <v>5400</v>
      </c>
    </row>
    <row r="8" spans="1:4">
      <c r="A8" s="1" t="s">
        <v>165</v>
      </c>
      <c r="B8" s="23">
        <f>+'Ingreso Esperado'!D45*12</f>
        <v>4320</v>
      </c>
    </row>
    <row r="9" spans="1:4">
      <c r="A9" s="1" t="s">
        <v>214</v>
      </c>
      <c r="B9" s="23">
        <f>0.25*100*12</f>
        <v>300</v>
      </c>
    </row>
    <row r="10" spans="1:4">
      <c r="A10" s="20" t="s">
        <v>112</v>
      </c>
      <c r="B10" s="26">
        <f>+SUM(B4:B9)</f>
        <v>29198.628799999999</v>
      </c>
    </row>
    <row r="13" spans="1:4">
      <c r="A13" t="s">
        <v>127</v>
      </c>
      <c r="B13" s="17">
        <v>1.7000000000000001E-2</v>
      </c>
    </row>
  </sheetData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5:B14"/>
  <sheetViews>
    <sheetView showGridLines="0" workbookViewId="0">
      <selection activeCell="A5" sqref="A5:B14"/>
    </sheetView>
  </sheetViews>
  <sheetFormatPr baseColWidth="10" defaultRowHeight="15"/>
  <cols>
    <col min="1" max="1" width="24.140625" customWidth="1"/>
    <col min="2" max="2" width="12" bestFit="1" customWidth="1"/>
  </cols>
  <sheetData>
    <row r="5" spans="1:2">
      <c r="A5" s="157" t="s">
        <v>136</v>
      </c>
      <c r="B5" s="158"/>
    </row>
    <row r="6" spans="1:2">
      <c r="A6" s="1" t="s">
        <v>137</v>
      </c>
      <c r="B6" s="23">
        <f>+Supuestos!B31</f>
        <v>54640.97</v>
      </c>
    </row>
    <row r="7" spans="1:2">
      <c r="A7" s="1" t="s">
        <v>128</v>
      </c>
      <c r="B7" s="25">
        <f>+Supuestos!B27</f>
        <v>1080</v>
      </c>
    </row>
    <row r="8" spans="1:2">
      <c r="A8" s="1" t="s">
        <v>162</v>
      </c>
      <c r="B8" s="23">
        <f>+Supuestos!B55</f>
        <v>600</v>
      </c>
    </row>
    <row r="9" spans="1:2">
      <c r="A9" s="1" t="s">
        <v>157</v>
      </c>
      <c r="B9" s="23">
        <f>+Supuestos!B39</f>
        <v>720</v>
      </c>
    </row>
    <row r="10" spans="1:2">
      <c r="A10" s="1" t="s">
        <v>160</v>
      </c>
      <c r="B10" s="23">
        <f>+Supuestos!B47</f>
        <v>600</v>
      </c>
    </row>
    <row r="11" spans="1:2">
      <c r="A11" s="1" t="s">
        <v>158</v>
      </c>
      <c r="B11" s="23">
        <f>+Supuestos!B43</f>
        <v>6000</v>
      </c>
    </row>
    <row r="12" spans="1:2">
      <c r="A12" s="1" t="s">
        <v>159</v>
      </c>
      <c r="B12" s="23">
        <f>+Supuestos!B35</f>
        <v>1200</v>
      </c>
    </row>
    <row r="13" spans="1:2">
      <c r="A13" s="1" t="s">
        <v>161</v>
      </c>
      <c r="B13" s="23">
        <f>+Supuestos!B51</f>
        <v>30000</v>
      </c>
    </row>
    <row r="14" spans="1:2">
      <c r="A14" s="20" t="s">
        <v>163</v>
      </c>
      <c r="B14" s="28">
        <f>+SUM(B6:B13)</f>
        <v>94840.97</v>
      </c>
    </row>
  </sheetData>
  <mergeCells count="1">
    <mergeCell ref="A5:B5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B19"/>
  <sheetViews>
    <sheetView showGridLines="0" workbookViewId="0">
      <selection activeCell="E13" sqref="E13"/>
    </sheetView>
  </sheetViews>
  <sheetFormatPr baseColWidth="10" defaultRowHeight="15"/>
  <cols>
    <col min="1" max="1" width="21.7109375" customWidth="1"/>
    <col min="2" max="2" width="15.140625" customWidth="1"/>
  </cols>
  <sheetData>
    <row r="2" spans="1:2" ht="23.25">
      <c r="A2" s="151" t="s">
        <v>224</v>
      </c>
      <c r="B2" s="151"/>
    </row>
    <row r="3" spans="1:2" ht="15.75" customHeight="1">
      <c r="A3" s="126"/>
      <c r="B3" s="126"/>
    </row>
    <row r="4" spans="1:2">
      <c r="A4" t="s">
        <v>218</v>
      </c>
    </row>
    <row r="5" spans="1:2">
      <c r="A5" t="s">
        <v>219</v>
      </c>
      <c r="B5" s="72">
        <v>1.5100000000000001E-2</v>
      </c>
    </row>
    <row r="6" spans="1:2">
      <c r="A6" t="s">
        <v>220</v>
      </c>
      <c r="B6" s="72">
        <v>0.19919999999999999</v>
      </c>
    </row>
    <row r="7" spans="1:2">
      <c r="A7" s="73" t="s">
        <v>221</v>
      </c>
      <c r="B7" s="17">
        <v>7.9229999999999995E-3</v>
      </c>
    </row>
    <row r="8" spans="1:2">
      <c r="A8" s="73" t="s">
        <v>222</v>
      </c>
      <c r="B8" s="17">
        <v>0.38640000000000002</v>
      </c>
    </row>
    <row r="9" spans="1:2">
      <c r="A9" s="124" t="s">
        <v>223</v>
      </c>
      <c r="B9" s="125">
        <f>B5+B7*(B6-B5)+B8</f>
        <v>0.40295862430000001</v>
      </c>
    </row>
    <row r="14" spans="1:2">
      <c r="A14" t="s">
        <v>225</v>
      </c>
      <c r="B14" s="37">
        <f>+Préstamo!B6</f>
        <v>470978.93323333334</v>
      </c>
    </row>
    <row r="15" spans="1:2">
      <c r="A15" t="s">
        <v>226</v>
      </c>
      <c r="B15" s="37">
        <f>+Préstamo!B8</f>
        <v>329685.25326333335</v>
      </c>
    </row>
    <row r="16" spans="1:2">
      <c r="A16" t="s">
        <v>227</v>
      </c>
      <c r="B16" s="37">
        <f>+Préstamo!B7</f>
        <v>141293.67997</v>
      </c>
    </row>
    <row r="17" spans="1:2">
      <c r="A17" t="s">
        <v>228</v>
      </c>
      <c r="B17" s="17">
        <f>+Préstamo!B10</f>
        <v>0.11</v>
      </c>
    </row>
    <row r="18" spans="1:2">
      <c r="A18" t="s">
        <v>229</v>
      </c>
      <c r="B18" s="58">
        <v>0.25</v>
      </c>
    </row>
    <row r="19" spans="1:2">
      <c r="A19" t="s">
        <v>230</v>
      </c>
      <c r="B19" s="74">
        <f>+(B15/B14)*B17*(1-B18)+(B9*B16/B14)</f>
        <v>0.17863758729000001</v>
      </c>
    </row>
  </sheetData>
  <mergeCells count="1">
    <mergeCell ref="A2:B2"/>
  </mergeCells>
  <pageMargins left="0.7" right="0.7" top="0.75" bottom="0.75" header="0.3" footer="0.3"/>
  <tableParts count="2">
    <tablePart r:id="rId1"/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B3:D41"/>
  <sheetViews>
    <sheetView showGridLines="0" workbookViewId="0">
      <selection activeCell="E35" sqref="E35"/>
    </sheetView>
  </sheetViews>
  <sheetFormatPr baseColWidth="10" defaultRowHeight="15"/>
  <cols>
    <col min="2" max="2" width="27" bestFit="1" customWidth="1"/>
    <col min="3" max="4" width="13" bestFit="1" customWidth="1"/>
  </cols>
  <sheetData>
    <row r="3" spans="2:4">
      <c r="B3" s="159" t="s">
        <v>243</v>
      </c>
      <c r="C3" s="159"/>
      <c r="D3" s="159"/>
    </row>
    <row r="4" spans="2:4">
      <c r="B4" s="159" t="s">
        <v>261</v>
      </c>
      <c r="C4" s="159"/>
      <c r="D4" s="159"/>
    </row>
    <row r="5" spans="2:4">
      <c r="B5" s="159" t="s">
        <v>244</v>
      </c>
      <c r="C5" s="159"/>
      <c r="D5" s="159"/>
    </row>
    <row r="7" spans="2:4">
      <c r="B7" s="96" t="s">
        <v>59</v>
      </c>
      <c r="C7" s="37">
        <f>+'Ingreso Esperado'!B50</f>
        <v>212654.08218599999</v>
      </c>
    </row>
    <row r="8" spans="2:4">
      <c r="B8" s="96" t="s">
        <v>60</v>
      </c>
      <c r="C8" s="37">
        <f>+'Ingreso Esperado'!B51</f>
        <v>115526.88</v>
      </c>
    </row>
    <row r="9" spans="2:4">
      <c r="B9" s="96" t="s">
        <v>61</v>
      </c>
      <c r="C9" s="37">
        <f>+'Ingreso Esperado'!B52</f>
        <v>19200</v>
      </c>
    </row>
    <row r="10" spans="2:4" ht="15.75" thickBot="1">
      <c r="B10" s="96" t="s">
        <v>56</v>
      </c>
      <c r="C10" s="97">
        <f>+'Ingreso Esperado'!B53</f>
        <v>5400</v>
      </c>
    </row>
    <row r="11" spans="2:4">
      <c r="B11" s="95" t="s">
        <v>98</v>
      </c>
      <c r="D11" s="39">
        <f>+SUM(C7:C10)</f>
        <v>352780.96218599996</v>
      </c>
    </row>
    <row r="13" spans="2:4">
      <c r="B13" t="s">
        <v>104</v>
      </c>
      <c r="C13" s="37">
        <f>+C.O!B4</f>
        <v>17378.628799999999</v>
      </c>
    </row>
    <row r="14" spans="2:4">
      <c r="B14" t="s">
        <v>99</v>
      </c>
      <c r="C14" s="37">
        <f>+C.O!B5</f>
        <v>1200</v>
      </c>
    </row>
    <row r="15" spans="2:4">
      <c r="B15" t="s">
        <v>100</v>
      </c>
      <c r="C15" s="37">
        <f>+C.O!B7</f>
        <v>5400</v>
      </c>
    </row>
    <row r="16" spans="2:4">
      <c r="B16" t="s">
        <v>102</v>
      </c>
      <c r="C16" s="37">
        <f>+C.O!B6</f>
        <v>600</v>
      </c>
    </row>
    <row r="17" spans="2:4">
      <c r="B17" t="s">
        <v>165</v>
      </c>
      <c r="C17" s="37">
        <f>+C.O!B8</f>
        <v>4320</v>
      </c>
    </row>
    <row r="18" spans="2:4">
      <c r="B18" t="s">
        <v>214</v>
      </c>
      <c r="C18" s="37">
        <f>+C.O!B9</f>
        <v>300</v>
      </c>
    </row>
    <row r="19" spans="2:4">
      <c r="B19" s="38" t="s">
        <v>245</v>
      </c>
      <c r="D19" s="39">
        <f>+SUM(C13:C18)</f>
        <v>29198.628799999999</v>
      </c>
    </row>
    <row r="21" spans="2:4">
      <c r="B21" t="s">
        <v>246</v>
      </c>
      <c r="C21" s="37">
        <f>+C.N.O!B6</f>
        <v>54640.97</v>
      </c>
    </row>
    <row r="22" spans="2:4">
      <c r="B22" t="s">
        <v>247</v>
      </c>
      <c r="C22" s="37">
        <f>+C.N.O!B7</f>
        <v>1080</v>
      </c>
    </row>
    <row r="23" spans="2:4">
      <c r="B23" t="s">
        <v>248</v>
      </c>
      <c r="C23" s="37">
        <f>+C.N.O!B8</f>
        <v>600</v>
      </c>
    </row>
    <row r="24" spans="2:4">
      <c r="B24" t="s">
        <v>249</v>
      </c>
      <c r="C24" s="37">
        <f>+C.N.O!B9</f>
        <v>720</v>
      </c>
    </row>
    <row r="25" spans="2:4">
      <c r="B25" t="s">
        <v>250</v>
      </c>
      <c r="C25" s="37">
        <f>+C.N.O!B10</f>
        <v>600</v>
      </c>
    </row>
    <row r="26" spans="2:4">
      <c r="B26" t="s">
        <v>251</v>
      </c>
      <c r="C26" s="37">
        <f>+C.N.O!B11</f>
        <v>6000</v>
      </c>
    </row>
    <row r="27" spans="2:4">
      <c r="B27" t="s">
        <v>252</v>
      </c>
      <c r="C27" s="37">
        <f>+C.N.O!B12</f>
        <v>1200</v>
      </c>
    </row>
    <row r="28" spans="2:4">
      <c r="B28" t="s">
        <v>253</v>
      </c>
      <c r="C28" s="37">
        <f>+C.N.O!B13</f>
        <v>30000</v>
      </c>
    </row>
    <row r="29" spans="2:4">
      <c r="B29" s="38" t="s">
        <v>254</v>
      </c>
      <c r="D29" s="39">
        <f>+SUM(C21:C28)</f>
        <v>94840.97</v>
      </c>
    </row>
    <row r="31" spans="2:4">
      <c r="B31" t="s">
        <v>255</v>
      </c>
      <c r="C31" s="37">
        <f>+Préstamo!I18</f>
        <v>33626.69990124779</v>
      </c>
    </row>
    <row r="32" spans="2:4">
      <c r="B32" s="38" t="s">
        <v>256</v>
      </c>
      <c r="D32" s="39">
        <f>+SUM(C31)</f>
        <v>33626.69990124779</v>
      </c>
    </row>
    <row r="34" spans="2:4">
      <c r="B34" s="38" t="s">
        <v>257</v>
      </c>
      <c r="D34" s="43">
        <f>+Depreciación!G5</f>
        <v>28784.666666666668</v>
      </c>
    </row>
    <row r="35" spans="2:4">
      <c r="B35" s="103"/>
    </row>
    <row r="36" spans="2:4">
      <c r="B36" s="38" t="s">
        <v>258</v>
      </c>
      <c r="D36" s="104">
        <f>+D11-D19-D29-D32-D34</f>
        <v>166329.99681808552</v>
      </c>
    </row>
    <row r="37" spans="2:4" ht="15.75" thickBot="1">
      <c r="B37" t="s">
        <v>259</v>
      </c>
      <c r="D37" s="105">
        <f>+D36*0.15</f>
        <v>24949.499522712827</v>
      </c>
    </row>
    <row r="38" spans="2:4">
      <c r="B38" s="38" t="s">
        <v>260</v>
      </c>
      <c r="D38" s="37">
        <f>+D36-D37</f>
        <v>141380.49729537268</v>
      </c>
    </row>
    <row r="39" spans="2:4" ht="15.75" thickBot="1">
      <c r="B39" t="s">
        <v>209</v>
      </c>
      <c r="D39" s="105">
        <f>+D38*0.25</f>
        <v>35345.124323843171</v>
      </c>
    </row>
    <row r="40" spans="2:4" ht="15.75" thickBot="1">
      <c r="B40" s="38" t="s">
        <v>210</v>
      </c>
      <c r="D40" s="106">
        <f>+D38-D39</f>
        <v>106035.37297152952</v>
      </c>
    </row>
    <row r="41" spans="2:4" ht="15.75" thickTop="1"/>
  </sheetData>
  <mergeCells count="3">
    <mergeCell ref="B3:D3"/>
    <mergeCell ref="B4:D4"/>
    <mergeCell ref="B5:D5"/>
  </mergeCells>
  <pageMargins left="0.7" right="0.7" top="0.75" bottom="0.75" header="0.3" footer="0.3"/>
  <ignoredErrors>
    <ignoredError sqref="D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showGridLines="0" tabSelected="1" zoomScale="86" zoomScaleNormal="86" workbookViewId="0">
      <selection activeCell="J40" sqref="J40"/>
    </sheetView>
  </sheetViews>
  <sheetFormatPr baseColWidth="10" defaultRowHeight="15"/>
  <cols>
    <col min="1" max="1" width="32.140625" customWidth="1"/>
    <col min="2" max="2" width="18.5703125" customWidth="1"/>
    <col min="3" max="3" width="15.42578125" customWidth="1"/>
    <col min="4" max="4" width="14.7109375" customWidth="1"/>
    <col min="5" max="5" width="15.42578125" customWidth="1"/>
    <col min="6" max="6" width="14.7109375" customWidth="1"/>
    <col min="7" max="7" width="15" customWidth="1"/>
    <col min="8" max="8" width="14.7109375" customWidth="1"/>
    <col min="9" max="10" width="14.85546875" customWidth="1"/>
    <col min="11" max="11" width="15.7109375" customWidth="1"/>
    <col min="12" max="12" width="15.5703125" customWidth="1"/>
  </cols>
  <sheetData>
    <row r="1" spans="1:12" ht="19.5">
      <c r="A1" s="142" t="s">
        <v>92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>
      <c r="A2" t="s">
        <v>93</v>
      </c>
      <c r="B2" s="42">
        <v>0</v>
      </c>
      <c r="C2" s="42">
        <v>1</v>
      </c>
      <c r="D2" s="42">
        <v>2</v>
      </c>
      <c r="E2" s="42">
        <v>3</v>
      </c>
      <c r="F2" s="42">
        <v>4</v>
      </c>
      <c r="G2" s="42">
        <v>5</v>
      </c>
      <c r="H2" s="42">
        <v>6</v>
      </c>
      <c r="I2" s="42">
        <v>7</v>
      </c>
      <c r="J2" s="42">
        <v>8</v>
      </c>
      <c r="K2" s="42">
        <v>9</v>
      </c>
      <c r="L2" s="42">
        <v>10</v>
      </c>
    </row>
    <row r="3" spans="1:12">
      <c r="A3" t="s">
        <v>94</v>
      </c>
      <c r="C3" s="37">
        <f>+'Ingreso Esperado'!B19</f>
        <v>212654.08218599999</v>
      </c>
      <c r="D3" s="37">
        <f>+('Flujo de Caja'!C3*'Ingreso Esperado'!$B$21)+C3</f>
        <v>216269.20158316198</v>
      </c>
      <c r="E3" s="37">
        <f>+('Flujo de Caja'!D3*'Ingreso Esperado'!$B$21)+D3</f>
        <v>219945.77801007574</v>
      </c>
      <c r="F3" s="37">
        <f>+('Flujo de Caja'!E3*'Ingreso Esperado'!$B$21)+E3</f>
        <v>223684.85623624703</v>
      </c>
      <c r="G3" s="37">
        <f>+('Flujo de Caja'!F3*'Ingreso Esperado'!$B$21)+F3</f>
        <v>227487.49879226321</v>
      </c>
      <c r="H3" s="37">
        <f>+('Flujo de Caja'!G3*'Ingreso Esperado'!$B$21)+G3</f>
        <v>231354.78627173169</v>
      </c>
      <c r="I3" s="37">
        <f>+('Flujo de Caja'!H3*'Ingreso Esperado'!$B$21)+H3</f>
        <v>235287.81763835112</v>
      </c>
      <c r="J3" s="37">
        <f>+('Flujo de Caja'!I3*'Ingreso Esperado'!$B$21)+I3</f>
        <v>239287.71053820307</v>
      </c>
      <c r="K3" s="37">
        <f>+('Flujo de Caja'!J3*'Ingreso Esperado'!$B$21)+J3</f>
        <v>243355.60161735251</v>
      </c>
      <c r="L3" s="37">
        <f>+('Flujo de Caja'!K3*'Ingreso Esperado'!$B$21)+K3</f>
        <v>247492.64684484751</v>
      </c>
    </row>
    <row r="4" spans="1:12">
      <c r="A4" t="s">
        <v>95</v>
      </c>
      <c r="C4" s="37">
        <f>+'Ingreso Esperado'!B31</f>
        <v>115526.88</v>
      </c>
      <c r="D4" s="37">
        <f>+('Flujo de Caja'!C4*'Ingreso Esperado'!$B$21)+C4</f>
        <v>117490.83696</v>
      </c>
      <c r="E4" s="37">
        <f>+('Flujo de Caja'!D4*'Ingreso Esperado'!$B$21)+D4</f>
        <v>119488.18118832</v>
      </c>
      <c r="F4" s="37">
        <f>+('Flujo de Caja'!E4*'Ingreso Esperado'!$B$21)+E4</f>
        <v>121519.48026852144</v>
      </c>
      <c r="G4" s="37">
        <f>+('Flujo de Caja'!F4*'Ingreso Esperado'!$B$21)+F4</f>
        <v>123585.3114330863</v>
      </c>
      <c r="H4" s="37">
        <f>+('Flujo de Caja'!G4*'Ingreso Esperado'!$B$21)+G4</f>
        <v>125686.26172744877</v>
      </c>
      <c r="I4" s="37">
        <f>+('Flujo de Caja'!H4*'Ingreso Esperado'!$B$21)+H4</f>
        <v>127822.9281768154</v>
      </c>
      <c r="J4" s="37">
        <f>+('Flujo de Caja'!I4*'Ingreso Esperado'!$B$21)+I4</f>
        <v>129995.91795582126</v>
      </c>
      <c r="K4" s="37">
        <f>+('Flujo de Caja'!J4*'Ingreso Esperado'!$B$21)+J4</f>
        <v>132205.84856107022</v>
      </c>
      <c r="L4" s="37">
        <f>+('Flujo de Caja'!K4*'Ingreso Esperado'!$B$21)+K4</f>
        <v>134453.34798660842</v>
      </c>
    </row>
    <row r="5" spans="1:12">
      <c r="A5" t="s">
        <v>96</v>
      </c>
      <c r="C5" s="37">
        <f>+'Ingreso Esperado'!B38</f>
        <v>19200</v>
      </c>
      <c r="D5" s="37">
        <f>+C5</f>
        <v>19200</v>
      </c>
      <c r="E5" s="37">
        <f t="shared" ref="E5:L5" si="0">+D5</f>
        <v>19200</v>
      </c>
      <c r="F5" s="37">
        <f t="shared" si="0"/>
        <v>19200</v>
      </c>
      <c r="G5" s="37">
        <f t="shared" si="0"/>
        <v>19200</v>
      </c>
      <c r="H5" s="37">
        <f t="shared" si="0"/>
        <v>19200</v>
      </c>
      <c r="I5" s="37">
        <f t="shared" si="0"/>
        <v>19200</v>
      </c>
      <c r="J5" s="37">
        <f t="shared" si="0"/>
        <v>19200</v>
      </c>
      <c r="K5" s="37">
        <f t="shared" si="0"/>
        <v>19200</v>
      </c>
      <c r="L5" s="37">
        <f t="shared" si="0"/>
        <v>19200</v>
      </c>
    </row>
    <row r="6" spans="1:12">
      <c r="A6" t="s">
        <v>97</v>
      </c>
      <c r="C6" s="37">
        <f>+'Ingreso Esperado'!B45</f>
        <v>5400</v>
      </c>
      <c r="D6" s="37">
        <f>+('Flujo de Caja'!C6*'Ingreso Esperado'!$B$21)+C6</f>
        <v>5491.8</v>
      </c>
      <c r="E6" s="37">
        <f>+('Flujo de Caja'!D6*'Ingreso Esperado'!$B$21)+D6</f>
        <v>5585.1606000000002</v>
      </c>
      <c r="F6" s="37">
        <f>+('Flujo de Caja'!E6*'Ingreso Esperado'!$B$21)+E6</f>
        <v>5680.1083301999997</v>
      </c>
      <c r="G6" s="37">
        <f>+('Flujo de Caja'!F6*'Ingreso Esperado'!$B$21)+F6</f>
        <v>5776.6701718134</v>
      </c>
      <c r="H6" s="37">
        <f>+('Flujo de Caja'!G6*'Ingreso Esperado'!$B$21)+G6</f>
        <v>5874.8735647342273</v>
      </c>
      <c r="I6" s="37">
        <f>+('Flujo de Caja'!H6*'Ingreso Esperado'!$B$21)+H6</f>
        <v>5974.7464153347091</v>
      </c>
      <c r="J6" s="37">
        <f>+('Flujo de Caja'!I6*'Ingreso Esperado'!$B$21)+I6</f>
        <v>6076.3171043953989</v>
      </c>
      <c r="K6" s="37">
        <f>+('Flujo de Caja'!J6*'Ingreso Esperado'!$B$21)+J6</f>
        <v>6179.6144951701208</v>
      </c>
      <c r="L6" s="37">
        <f>+('Flujo de Caja'!K6*'Ingreso Esperado'!$B$21)+K6</f>
        <v>6284.6679415880126</v>
      </c>
    </row>
    <row r="7" spans="1:12" ht="15.75">
      <c r="A7" s="40" t="s">
        <v>98</v>
      </c>
      <c r="B7" s="40"/>
      <c r="C7" s="41">
        <f>+SUM(C3:C6)</f>
        <v>352780.96218599996</v>
      </c>
      <c r="D7" s="41">
        <f t="shared" ref="D7:L7" si="1">+SUM(D3:D6)</f>
        <v>358451.83854316198</v>
      </c>
      <c r="E7" s="41">
        <f t="shared" si="1"/>
        <v>364219.11979839572</v>
      </c>
      <c r="F7" s="41">
        <f t="shared" si="1"/>
        <v>370084.44483496848</v>
      </c>
      <c r="G7" s="41">
        <f t="shared" si="1"/>
        <v>376049.4803971629</v>
      </c>
      <c r="H7" s="41">
        <f t="shared" si="1"/>
        <v>382115.92156391469</v>
      </c>
      <c r="I7" s="41">
        <f t="shared" si="1"/>
        <v>388285.4922305012</v>
      </c>
      <c r="J7" s="41">
        <f t="shared" si="1"/>
        <v>394559.94559841976</v>
      </c>
      <c r="K7" s="41">
        <f t="shared" si="1"/>
        <v>400941.06467359286</v>
      </c>
      <c r="L7" s="41">
        <f t="shared" si="1"/>
        <v>407430.66277304396</v>
      </c>
    </row>
    <row r="8" spans="1:12" ht="7.5" customHeight="1"/>
    <row r="9" spans="1:12">
      <c r="A9" t="s">
        <v>125</v>
      </c>
      <c r="C9" s="37">
        <f>+C.O!B10</f>
        <v>29198.628799999999</v>
      </c>
      <c r="D9" s="37">
        <f>+(C9*C.O!$B$13)+'Flujo de Caja'!C9</f>
        <v>29695.0054896</v>
      </c>
      <c r="E9" s="37">
        <f>+(D9*C.O!$B$13)+'Flujo de Caja'!D9</f>
        <v>30199.820582923199</v>
      </c>
      <c r="F9" s="37">
        <f>+(E9*C.O!$B$13)+'Flujo de Caja'!E9</f>
        <v>30713.217532832892</v>
      </c>
      <c r="G9" s="37">
        <f>+(F9*C.O!$B$13)+'Flujo de Caja'!F9</f>
        <v>31235.342230891052</v>
      </c>
      <c r="H9" s="37">
        <f>+(G9*C.O!$B$13)+'Flujo de Caja'!G9</f>
        <v>31766.343048816201</v>
      </c>
      <c r="I9" s="37">
        <f>+(H9*C.O!$B$13)+'Flujo de Caja'!H9</f>
        <v>32306.370880646078</v>
      </c>
      <c r="J9" s="37">
        <f>+(I9*C.O!$B$13)+'Flujo de Caja'!I9</f>
        <v>32855.579185617062</v>
      </c>
      <c r="K9" s="37">
        <f>+(J9*C.O!$B$13)+'Flujo de Caja'!J9</f>
        <v>33414.124031772553</v>
      </c>
      <c r="L9" s="37">
        <f>+(K9*C.O!$B$13)+'Flujo de Caja'!K9</f>
        <v>33982.164140312685</v>
      </c>
    </row>
    <row r="10" spans="1:12">
      <c r="A10" t="s">
        <v>126</v>
      </c>
      <c r="C10" s="37">
        <f>+C.N.O!B14</f>
        <v>94840.97</v>
      </c>
      <c r="D10" s="37">
        <f>+C10</f>
        <v>94840.97</v>
      </c>
      <c r="E10" s="37">
        <f t="shared" ref="E10:L10" si="2">+D10</f>
        <v>94840.97</v>
      </c>
      <c r="F10" s="37">
        <f t="shared" si="2"/>
        <v>94840.97</v>
      </c>
      <c r="G10" s="37">
        <f t="shared" si="2"/>
        <v>94840.97</v>
      </c>
      <c r="H10" s="37">
        <f t="shared" si="2"/>
        <v>94840.97</v>
      </c>
      <c r="I10" s="37">
        <f t="shared" si="2"/>
        <v>94840.97</v>
      </c>
      <c r="J10" s="37">
        <f t="shared" si="2"/>
        <v>94840.97</v>
      </c>
      <c r="K10" s="37">
        <f t="shared" si="2"/>
        <v>94840.97</v>
      </c>
      <c r="L10" s="37">
        <f t="shared" si="2"/>
        <v>94840.97</v>
      </c>
    </row>
    <row r="11" spans="1:12">
      <c r="A11" t="s">
        <v>167</v>
      </c>
      <c r="C11" s="37">
        <f>+Préstamo!B13</f>
        <v>53342.34853939274</v>
      </c>
      <c r="D11" s="37">
        <f>+C11</f>
        <v>53342.34853939274</v>
      </c>
      <c r="E11" s="37">
        <f t="shared" ref="E11:L11" si="3">+D11</f>
        <v>53342.34853939274</v>
      </c>
      <c r="F11" s="37">
        <f t="shared" si="3"/>
        <v>53342.34853939274</v>
      </c>
      <c r="G11" s="37">
        <f t="shared" si="3"/>
        <v>53342.34853939274</v>
      </c>
      <c r="H11" s="37">
        <f t="shared" si="3"/>
        <v>53342.34853939274</v>
      </c>
      <c r="I11" s="37">
        <f t="shared" si="3"/>
        <v>53342.34853939274</v>
      </c>
      <c r="J11" s="37">
        <f t="shared" si="3"/>
        <v>53342.34853939274</v>
      </c>
      <c r="K11" s="37">
        <f t="shared" si="3"/>
        <v>53342.34853939274</v>
      </c>
      <c r="L11" s="37">
        <f t="shared" si="3"/>
        <v>53342.34853939274</v>
      </c>
    </row>
    <row r="12" spans="1:12" ht="15.75">
      <c r="A12" s="38" t="s">
        <v>164</v>
      </c>
      <c r="C12" s="41">
        <f>+SUM(C9:C11)</f>
        <v>177381.94733939273</v>
      </c>
      <c r="D12" s="41">
        <f t="shared" ref="D12:L12" si="4">+SUM(D9:D11)</f>
        <v>177878.32402899273</v>
      </c>
      <c r="E12" s="41">
        <f t="shared" si="4"/>
        <v>178383.13912231594</v>
      </c>
      <c r="F12" s="41">
        <f t="shared" si="4"/>
        <v>178896.53607222563</v>
      </c>
      <c r="G12" s="41">
        <f t="shared" si="4"/>
        <v>179418.66077028378</v>
      </c>
      <c r="H12" s="41">
        <f t="shared" si="4"/>
        <v>179949.66158820892</v>
      </c>
      <c r="I12" s="41">
        <f t="shared" si="4"/>
        <v>180489.68942003883</v>
      </c>
      <c r="J12" s="41">
        <f t="shared" si="4"/>
        <v>181038.89772500983</v>
      </c>
      <c r="K12" s="41">
        <f t="shared" si="4"/>
        <v>181597.44257116527</v>
      </c>
      <c r="L12" s="41">
        <f t="shared" si="4"/>
        <v>182165.48267970543</v>
      </c>
    </row>
    <row r="13" spans="1:12" ht="6" customHeight="1">
      <c r="A13" s="38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>
      <c r="A14" t="s">
        <v>166</v>
      </c>
      <c r="C14" s="19">
        <f>+Depreciación!G5</f>
        <v>28784.666666666668</v>
      </c>
      <c r="D14" s="19">
        <f>+Depreciación!G6</f>
        <v>28784.666666666668</v>
      </c>
      <c r="E14" s="19">
        <f>+Depreciación!G7</f>
        <v>27534.666666666668</v>
      </c>
      <c r="F14" s="19">
        <f>+Depreciación!G8</f>
        <v>27008</v>
      </c>
      <c r="G14" s="19">
        <f>+Depreciación!G9</f>
        <v>27008</v>
      </c>
      <c r="H14" s="19">
        <f>+Depreciación!G10</f>
        <v>25168</v>
      </c>
      <c r="I14" s="19">
        <f>+Depreciación!G10</f>
        <v>25168</v>
      </c>
      <c r="J14" s="19">
        <f>+Depreciación!G12</f>
        <v>25168</v>
      </c>
      <c r="K14" s="19">
        <f>+Depreciación!G13</f>
        <v>25168</v>
      </c>
      <c r="L14" s="19">
        <f>+Depreciación!G14</f>
        <v>25168</v>
      </c>
    </row>
    <row r="15" spans="1:12">
      <c r="A15" t="s">
        <v>205</v>
      </c>
      <c r="C15" s="39">
        <f>+C7-C12-C14</f>
        <v>146614.34817994057</v>
      </c>
      <c r="D15" s="39">
        <f t="shared" ref="D15:L15" si="5">+D7-D12-D14</f>
        <v>151788.84784750259</v>
      </c>
      <c r="E15" s="39">
        <f t="shared" si="5"/>
        <v>158301.31400941312</v>
      </c>
      <c r="F15" s="39">
        <f t="shared" si="5"/>
        <v>164179.90876274285</v>
      </c>
      <c r="G15" s="39">
        <f t="shared" si="5"/>
        <v>169622.81962687912</v>
      </c>
      <c r="H15" s="39">
        <f t="shared" si="5"/>
        <v>176998.25997570576</v>
      </c>
      <c r="I15" s="39">
        <f t="shared" si="5"/>
        <v>182627.80281046237</v>
      </c>
      <c r="J15" s="39">
        <f t="shared" si="5"/>
        <v>188353.04787340993</v>
      </c>
      <c r="K15" s="39">
        <f t="shared" si="5"/>
        <v>194175.62210242759</v>
      </c>
      <c r="L15" s="39">
        <f t="shared" si="5"/>
        <v>200097.18009333854</v>
      </c>
    </row>
    <row r="16" spans="1:12">
      <c r="A16" t="s">
        <v>206</v>
      </c>
      <c r="C16" s="19">
        <f>+Préstamo!I18</f>
        <v>33626.69990124779</v>
      </c>
      <c r="D16" s="19">
        <f>+Préstamo!I30</f>
        <v>31457.978551051838</v>
      </c>
      <c r="E16" s="19">
        <f>+Préstamo!I42</f>
        <v>29050.697852334342</v>
      </c>
      <c r="F16" s="19">
        <f>+Préstamo!I54</f>
        <v>26378.616276757912</v>
      </c>
      <c r="G16" s="19">
        <f>+Préstamo!I66</f>
        <v>23412.605727868086</v>
      </c>
      <c r="H16" s="19">
        <f>+Préstamo!I78</f>
        <v>20120.334018600366</v>
      </c>
      <c r="I16" s="19">
        <f>+Préstamo!I90</f>
        <v>16465.912421313202</v>
      </c>
      <c r="J16" s="19">
        <f>+Préstamo!I102</f>
        <v>12409.504448324444</v>
      </c>
      <c r="K16" s="19">
        <f>+Préstamo!I114</f>
        <v>7906.8915983069301</v>
      </c>
      <c r="L16" s="19">
        <f>+Préstamo!I126</f>
        <v>2908.9913347874894</v>
      </c>
    </row>
    <row r="17" spans="1:12">
      <c r="A17" t="s">
        <v>207</v>
      </c>
      <c r="C17" s="39">
        <f>+C15-C16</f>
        <v>112987.64827869278</v>
      </c>
      <c r="D17" s="39">
        <f t="shared" ref="D17:L17" si="6">+D15-D16</f>
        <v>120330.86929645075</v>
      </c>
      <c r="E17" s="39">
        <f t="shared" si="6"/>
        <v>129250.61615707878</v>
      </c>
      <c r="F17" s="39">
        <f t="shared" si="6"/>
        <v>137801.29248598494</v>
      </c>
      <c r="G17" s="39">
        <f t="shared" si="6"/>
        <v>146210.21389901103</v>
      </c>
      <c r="H17" s="39">
        <f t="shared" si="6"/>
        <v>156877.92595710538</v>
      </c>
      <c r="I17" s="39">
        <f t="shared" si="6"/>
        <v>166161.89038914916</v>
      </c>
      <c r="J17" s="39">
        <f t="shared" si="6"/>
        <v>175943.54342508549</v>
      </c>
      <c r="K17" s="39">
        <f t="shared" si="6"/>
        <v>186268.73050412067</v>
      </c>
      <c r="L17" s="39">
        <f t="shared" si="6"/>
        <v>197188.18875855106</v>
      </c>
    </row>
    <row r="18" spans="1:12">
      <c r="A18" t="s">
        <v>204</v>
      </c>
      <c r="C18" s="19">
        <f>+C17*0.15</f>
        <v>16948.147241803916</v>
      </c>
      <c r="D18" s="19">
        <f t="shared" ref="D18:L18" si="7">+D17*0.15</f>
        <v>18049.630394467611</v>
      </c>
      <c r="E18" s="19">
        <f t="shared" si="7"/>
        <v>19387.592423561815</v>
      </c>
      <c r="F18" s="19">
        <f t="shared" si="7"/>
        <v>20670.19387289774</v>
      </c>
      <c r="G18" s="19">
        <f t="shared" si="7"/>
        <v>21931.532084851653</v>
      </c>
      <c r="H18" s="19">
        <f t="shared" si="7"/>
        <v>23531.688893565806</v>
      </c>
      <c r="I18" s="19">
        <f t="shared" si="7"/>
        <v>24924.283558372375</v>
      </c>
      <c r="J18" s="19">
        <f t="shared" si="7"/>
        <v>26391.531513762824</v>
      </c>
      <c r="K18" s="19">
        <f t="shared" si="7"/>
        <v>27940.309575618099</v>
      </c>
      <c r="L18" s="19">
        <f t="shared" si="7"/>
        <v>29578.228313782656</v>
      </c>
    </row>
    <row r="19" spans="1:12">
      <c r="A19" t="s">
        <v>208</v>
      </c>
      <c r="C19" s="39">
        <f>+C17-C18</f>
        <v>96039.501036888862</v>
      </c>
      <c r="D19" s="39">
        <f t="shared" ref="D19:L19" si="8">+D17-D18</f>
        <v>102281.23890198313</v>
      </c>
      <c r="E19" s="39">
        <f t="shared" si="8"/>
        <v>109863.02373351697</v>
      </c>
      <c r="F19" s="39">
        <f t="shared" si="8"/>
        <v>117131.0986130872</v>
      </c>
      <c r="G19" s="39">
        <f t="shared" si="8"/>
        <v>124278.68181415937</v>
      </c>
      <c r="H19" s="39">
        <f t="shared" si="8"/>
        <v>133346.23706353956</v>
      </c>
      <c r="I19" s="39">
        <f t="shared" si="8"/>
        <v>141237.60683077679</v>
      </c>
      <c r="J19" s="39">
        <f t="shared" si="8"/>
        <v>149552.01191132265</v>
      </c>
      <c r="K19" s="39">
        <f t="shared" si="8"/>
        <v>158328.42092850257</v>
      </c>
      <c r="L19" s="39">
        <f t="shared" si="8"/>
        <v>167609.9604447684</v>
      </c>
    </row>
    <row r="20" spans="1:12">
      <c r="A20" t="s">
        <v>209</v>
      </c>
      <c r="C20" s="19">
        <f>+C19*0.25</f>
        <v>24009.875259222215</v>
      </c>
      <c r="D20" s="19">
        <f t="shared" ref="D20:L20" si="9">+D19*0.25</f>
        <v>25570.309725495783</v>
      </c>
      <c r="E20" s="19">
        <f t="shared" si="9"/>
        <v>27465.755933379241</v>
      </c>
      <c r="F20" s="19">
        <f t="shared" si="9"/>
        <v>29282.774653271801</v>
      </c>
      <c r="G20" s="19">
        <f t="shared" si="9"/>
        <v>31069.670453539842</v>
      </c>
      <c r="H20" s="19">
        <f t="shared" si="9"/>
        <v>33336.559265884891</v>
      </c>
      <c r="I20" s="19">
        <f t="shared" si="9"/>
        <v>35309.401707694196</v>
      </c>
      <c r="J20" s="19">
        <f t="shared" si="9"/>
        <v>37388.002977830663</v>
      </c>
      <c r="K20" s="19">
        <f t="shared" si="9"/>
        <v>39582.105232125643</v>
      </c>
      <c r="L20" s="19">
        <f t="shared" si="9"/>
        <v>41902.490111192099</v>
      </c>
    </row>
    <row r="21" spans="1:12">
      <c r="A21" s="60" t="s">
        <v>210</v>
      </c>
      <c r="B21" s="60"/>
      <c r="C21" s="129">
        <f>+C19-C20</f>
        <v>72029.625777666646</v>
      </c>
      <c r="D21" s="129">
        <f t="shared" ref="D21:L21" si="10">+D19-D20</f>
        <v>76710.929176487349</v>
      </c>
      <c r="E21" s="129">
        <f t="shared" si="10"/>
        <v>82397.267800137721</v>
      </c>
      <c r="F21" s="129">
        <f t="shared" si="10"/>
        <v>87848.323959815403</v>
      </c>
      <c r="G21" s="129">
        <f t="shared" si="10"/>
        <v>93209.011360619523</v>
      </c>
      <c r="H21" s="129">
        <f t="shared" si="10"/>
        <v>100009.67779765467</v>
      </c>
      <c r="I21" s="129">
        <f t="shared" si="10"/>
        <v>105928.20512308259</v>
      </c>
      <c r="J21" s="129">
        <f t="shared" si="10"/>
        <v>112164.00893349199</v>
      </c>
      <c r="K21" s="129">
        <f t="shared" si="10"/>
        <v>118746.31569637693</v>
      </c>
      <c r="L21" s="129">
        <f t="shared" si="10"/>
        <v>125707.47033357629</v>
      </c>
    </row>
    <row r="22" spans="1:12" ht="9" customHeight="1"/>
    <row r="23" spans="1:12">
      <c r="A23" t="s">
        <v>166</v>
      </c>
      <c r="C23" s="37">
        <f>+C14</f>
        <v>28784.666666666668</v>
      </c>
      <c r="D23" s="37">
        <f t="shared" ref="D23:L23" si="11">+D14</f>
        <v>28784.666666666668</v>
      </c>
      <c r="E23" s="37">
        <f t="shared" si="11"/>
        <v>27534.666666666668</v>
      </c>
      <c r="F23" s="37">
        <f t="shared" si="11"/>
        <v>27008</v>
      </c>
      <c r="G23" s="37">
        <f t="shared" si="11"/>
        <v>27008</v>
      </c>
      <c r="H23" s="37">
        <f t="shared" si="11"/>
        <v>25168</v>
      </c>
      <c r="I23" s="37">
        <f t="shared" si="11"/>
        <v>25168</v>
      </c>
      <c r="J23" s="37">
        <f t="shared" si="11"/>
        <v>25168</v>
      </c>
      <c r="K23" s="37">
        <f t="shared" si="11"/>
        <v>25168</v>
      </c>
      <c r="L23" s="37">
        <f t="shared" si="11"/>
        <v>25168</v>
      </c>
    </row>
    <row r="24" spans="1:12">
      <c r="A24" t="s">
        <v>188</v>
      </c>
      <c r="B24" s="37">
        <f>-+'Inversión Inicial'!B34</f>
        <v>-460642.3</v>
      </c>
    </row>
    <row r="25" spans="1:12">
      <c r="A25" t="s">
        <v>212</v>
      </c>
      <c r="B25" s="37"/>
      <c r="C25" s="37"/>
      <c r="D25" s="37">
        <f>-+'Inversión Inicial'!J13</f>
        <v>-2500</v>
      </c>
      <c r="F25" s="37">
        <f>-'Inversión Inicial'!L12</f>
        <v>-2500</v>
      </c>
      <c r="G25" s="37">
        <f>-'Inversión Inicial'!M13</f>
        <v>0</v>
      </c>
      <c r="H25" s="37">
        <f>-'Inversión Inicial'!N13</f>
        <v>-2500</v>
      </c>
      <c r="J25" s="37">
        <f>-'Inversión Inicial'!P13</f>
        <v>-2500</v>
      </c>
    </row>
    <row r="26" spans="1:12">
      <c r="A26" t="s">
        <v>189</v>
      </c>
      <c r="B26" s="37">
        <f>-'CAPITAL DE TRABAJO'!B5</f>
        <v>-10336.633233333334</v>
      </c>
      <c r="L26" s="37">
        <f>-B26</f>
        <v>10336.633233333334</v>
      </c>
    </row>
    <row r="27" spans="1:12">
      <c r="A27" t="s">
        <v>211</v>
      </c>
      <c r="C27" s="37">
        <f>-+Préstamo!J18</f>
        <v>-19715.648638144961</v>
      </c>
      <c r="D27" s="37">
        <f>-+Préstamo!J30</f>
        <v>-21884.369988340906</v>
      </c>
      <c r="E27" s="37">
        <f>-+Préstamo!J42</f>
        <v>-24291.650687058405</v>
      </c>
      <c r="F27" s="37">
        <f>-+Préstamo!J54</f>
        <v>-26963.732262634832</v>
      </c>
      <c r="G27" s="37">
        <f>-+Préstamo!J66</f>
        <v>-29929.742811524666</v>
      </c>
      <c r="H27" s="37">
        <f>-+Préstamo!J78</f>
        <v>-33222.014520792378</v>
      </c>
      <c r="I27" s="37">
        <f>-+Préstamo!J90</f>
        <v>-36876.436118079539</v>
      </c>
      <c r="J27" s="37">
        <f>-+Préstamo!J102</f>
        <v>-40932.844091068298</v>
      </c>
      <c r="K27" s="37">
        <f>-+Préstamo!J114</f>
        <v>-45435.456941085817</v>
      </c>
      <c r="L27" s="37">
        <f>-+Préstamo!J126</f>
        <v>-50433.35720460525</v>
      </c>
    </row>
    <row r="28" spans="1:12">
      <c r="A28" t="s">
        <v>213</v>
      </c>
      <c r="B28" s="37">
        <f>+Préstamo!B8</f>
        <v>329685.25326333335</v>
      </c>
    </row>
    <row r="29" spans="1:12">
      <c r="A29" s="117" t="s">
        <v>92</v>
      </c>
      <c r="B29" s="129">
        <f>+SUM(B21:B28)</f>
        <v>-141293.67997</v>
      </c>
      <c r="C29" s="129">
        <f t="shared" ref="C29:L29" si="12">+SUM(C21:C28)</f>
        <v>81098.643806188353</v>
      </c>
      <c r="D29" s="129">
        <f t="shared" si="12"/>
        <v>81111.225854813121</v>
      </c>
      <c r="E29" s="129">
        <f t="shared" si="12"/>
        <v>85640.28377974598</v>
      </c>
      <c r="F29" s="129">
        <f t="shared" si="12"/>
        <v>85392.591697180571</v>
      </c>
      <c r="G29" s="129">
        <f t="shared" si="12"/>
        <v>90287.26854909485</v>
      </c>
      <c r="H29" s="129">
        <f t="shared" si="12"/>
        <v>89455.663276862295</v>
      </c>
      <c r="I29" s="129">
        <f t="shared" si="12"/>
        <v>94219.769005003051</v>
      </c>
      <c r="J29" s="129">
        <f t="shared" si="12"/>
        <v>93899.164842423706</v>
      </c>
      <c r="K29" s="129">
        <f t="shared" si="12"/>
        <v>98478.858755291119</v>
      </c>
      <c r="L29" s="129">
        <f t="shared" si="12"/>
        <v>110778.74636230437</v>
      </c>
    </row>
    <row r="32" spans="1:12">
      <c r="C32" s="92" t="s">
        <v>216</v>
      </c>
      <c r="D32" s="23">
        <f>+NPV('Costo de Capital'!B19,'Flujo de Caja'!C29:L29,)+'Flujo de Caja'!B29</f>
        <v>254392.872799384</v>
      </c>
    </row>
    <row r="33" spans="3:9">
      <c r="C33" s="92" t="s">
        <v>217</v>
      </c>
      <c r="D33" s="27">
        <f>+IRR(B29:L29)</f>
        <v>0.58764791538651073</v>
      </c>
    </row>
    <row r="34" spans="3:9">
      <c r="C34" s="92" t="s">
        <v>262</v>
      </c>
      <c r="D34" s="93">
        <f>+PMT('Costo de Capital'!B19,10,-'Flujo de Caja'!D32)</f>
        <v>56332.290151815927</v>
      </c>
    </row>
    <row r="37" spans="3:9">
      <c r="F37" s="108" t="s">
        <v>93</v>
      </c>
      <c r="G37" s="108" t="s">
        <v>241</v>
      </c>
      <c r="H37" s="108" t="s">
        <v>242</v>
      </c>
    </row>
    <row r="38" spans="3:9">
      <c r="F38" s="1">
        <v>0</v>
      </c>
      <c r="G38" s="1"/>
      <c r="H38" s="23">
        <f>+-B24</f>
        <v>460642.3</v>
      </c>
    </row>
    <row r="39" spans="3:9">
      <c r="F39" s="1">
        <v>1</v>
      </c>
      <c r="G39" s="23">
        <f>+C29</f>
        <v>81098.643806188353</v>
      </c>
      <c r="H39" s="23">
        <f>+H38-G39</f>
        <v>379543.65619381162</v>
      </c>
    </row>
    <row r="40" spans="3:9">
      <c r="F40" s="1">
        <v>2</v>
      </c>
      <c r="G40" s="23">
        <f>+D29</f>
        <v>81111.225854813121</v>
      </c>
      <c r="H40" s="23">
        <f t="shared" ref="H40:H48" si="13">+H39-G40</f>
        <v>298432.4303389985</v>
      </c>
    </row>
    <row r="41" spans="3:9">
      <c r="F41" s="5">
        <v>3</v>
      </c>
      <c r="G41" s="110">
        <f>+E29</f>
        <v>85640.28377974598</v>
      </c>
      <c r="H41" s="110">
        <f t="shared" si="13"/>
        <v>212792.14655925252</v>
      </c>
      <c r="I41" s="46"/>
    </row>
    <row r="42" spans="3:9">
      <c r="F42" s="5">
        <v>4</v>
      </c>
      <c r="G42" s="110">
        <f>+F29</f>
        <v>85392.591697180571</v>
      </c>
      <c r="H42" s="110">
        <f t="shared" si="13"/>
        <v>127399.55486207195</v>
      </c>
      <c r="I42" s="46"/>
    </row>
    <row r="43" spans="3:9">
      <c r="F43" s="92">
        <v>5</v>
      </c>
      <c r="G43" s="94">
        <f>+G29</f>
        <v>90287.26854909485</v>
      </c>
      <c r="H43" s="94">
        <f t="shared" si="13"/>
        <v>37112.286312977099</v>
      </c>
    </row>
    <row r="44" spans="3:9">
      <c r="F44" s="92">
        <v>6</v>
      </c>
      <c r="G44" s="94">
        <f>+H29</f>
        <v>89455.663276862295</v>
      </c>
      <c r="H44" s="94">
        <f t="shared" si="13"/>
        <v>-52343.376963885195</v>
      </c>
    </row>
    <row r="45" spans="3:9">
      <c r="F45" s="1">
        <v>7</v>
      </c>
      <c r="G45" s="23">
        <f>+I29</f>
        <v>94219.769005003051</v>
      </c>
      <c r="H45" s="23">
        <f t="shared" si="13"/>
        <v>-146563.14596888825</v>
      </c>
    </row>
    <row r="46" spans="3:9">
      <c r="F46" s="1">
        <v>8</v>
      </c>
      <c r="G46" s="23">
        <f>+J29</f>
        <v>93899.164842423706</v>
      </c>
      <c r="H46" s="23">
        <f t="shared" si="13"/>
        <v>-240462.31081131194</v>
      </c>
    </row>
    <row r="47" spans="3:9">
      <c r="F47" s="1">
        <v>9</v>
      </c>
      <c r="G47" s="23">
        <f>+K29</f>
        <v>98478.858755291119</v>
      </c>
      <c r="H47" s="23">
        <f t="shared" si="13"/>
        <v>-338941.16956660303</v>
      </c>
    </row>
    <row r="48" spans="3:9">
      <c r="F48" s="1">
        <v>10</v>
      </c>
      <c r="G48" s="23">
        <f>+L29</f>
        <v>110778.74636230437</v>
      </c>
      <c r="H48" s="23">
        <f t="shared" si="13"/>
        <v>-449719.9159289074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ignoredErrors>
    <ignoredError sqref="C18:D18 C20:D20 E18:L18 E20:L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F54"/>
  <sheetViews>
    <sheetView showGridLines="0" topLeftCell="A37" workbookViewId="0">
      <selection activeCell="A49" sqref="A49:B54"/>
    </sheetView>
  </sheetViews>
  <sheetFormatPr baseColWidth="10" defaultRowHeight="15"/>
  <cols>
    <col min="1" max="1" width="28.85546875" customWidth="1"/>
    <col min="2" max="2" width="14.5703125" bestFit="1" customWidth="1"/>
    <col min="3" max="3" width="25.7109375" customWidth="1"/>
    <col min="4" max="4" width="13.7109375" customWidth="1"/>
    <col min="5" max="5" width="27" customWidth="1"/>
    <col min="6" max="6" width="19.7109375" customWidth="1"/>
  </cols>
  <sheetData>
    <row r="2" spans="1:6" ht="19.5">
      <c r="A2" s="143" t="s">
        <v>26</v>
      </c>
      <c r="B2" s="143"/>
      <c r="C2" s="143"/>
      <c r="D2" s="143"/>
    </row>
    <row r="4" spans="1:6" ht="30">
      <c r="A4" s="8" t="s">
        <v>0</v>
      </c>
      <c r="B4" s="8"/>
      <c r="C4" s="8" t="s">
        <v>1</v>
      </c>
      <c r="D4" s="9" t="s">
        <v>2</v>
      </c>
      <c r="E4" s="14"/>
    </row>
    <row r="5" spans="1:6">
      <c r="A5" s="10" t="s">
        <v>3</v>
      </c>
      <c r="B5" s="11">
        <f>+(4+5)/2</f>
        <v>4.5</v>
      </c>
      <c r="C5" s="12">
        <v>0.55400000000000005</v>
      </c>
      <c r="D5" s="13">
        <f>+B5*C5</f>
        <v>2.4930000000000003</v>
      </c>
      <c r="E5" s="14"/>
    </row>
    <row r="6" spans="1:6">
      <c r="A6" s="10" t="s">
        <v>20</v>
      </c>
      <c r="B6" s="11">
        <f>+(6+7)/2</f>
        <v>6.5</v>
      </c>
      <c r="C6" s="12">
        <v>0.28199999999999997</v>
      </c>
      <c r="D6" s="13">
        <f>+B6*C6</f>
        <v>1.8329999999999997</v>
      </c>
      <c r="E6" s="14"/>
    </row>
    <row r="7" spans="1:6">
      <c r="A7" s="10" t="s">
        <v>21</v>
      </c>
      <c r="B7" s="11">
        <f>+(8+9)/2</f>
        <v>8.5</v>
      </c>
      <c r="C7" s="12">
        <v>0.108</v>
      </c>
      <c r="D7" s="13">
        <f>+B7*C7</f>
        <v>0.91800000000000004</v>
      </c>
      <c r="E7" s="14"/>
    </row>
    <row r="8" spans="1:6">
      <c r="A8" s="10" t="s">
        <v>22</v>
      </c>
      <c r="B8" s="11">
        <f>+(9+10)/2</f>
        <v>9.5</v>
      </c>
      <c r="C8" s="12">
        <v>5.6000000000000001E-2</v>
      </c>
      <c r="D8" s="13">
        <f>+B8*C8</f>
        <v>0.53200000000000003</v>
      </c>
      <c r="E8" s="14"/>
    </row>
    <row r="9" spans="1:6">
      <c r="A9" s="14"/>
      <c r="B9" s="15"/>
      <c r="C9" s="16">
        <f>SUM(C5:C8)</f>
        <v>1</v>
      </c>
      <c r="D9" s="18">
        <f>+SUM(D5:D8)</f>
        <v>5.7760000000000007</v>
      </c>
      <c r="E9" s="14">
        <v>5.78</v>
      </c>
    </row>
    <row r="12" spans="1:6" ht="18.75">
      <c r="A12" s="144" t="s">
        <v>32</v>
      </c>
      <c r="B12" s="145"/>
      <c r="C12" s="146"/>
    </row>
    <row r="13" spans="1:6">
      <c r="A13" s="20" t="s">
        <v>23</v>
      </c>
      <c r="B13" s="21">
        <v>0.82199999999999995</v>
      </c>
      <c r="C13" s="1" t="s">
        <v>28</v>
      </c>
    </row>
    <row r="14" spans="1:6">
      <c r="A14" s="1" t="s">
        <v>29</v>
      </c>
      <c r="B14" s="22">
        <v>42627</v>
      </c>
      <c r="C14" s="1" t="s">
        <v>30</v>
      </c>
    </row>
    <row r="15" spans="1:6">
      <c r="A15" s="1" t="s">
        <v>24</v>
      </c>
      <c r="B15" s="22">
        <f>+B13*B14</f>
        <v>35039.394</v>
      </c>
      <c r="C15" s="1" t="s">
        <v>25</v>
      </c>
      <c r="E15" t="s">
        <v>264</v>
      </c>
    </row>
    <row r="16" spans="1:6">
      <c r="A16" s="1" t="s">
        <v>86</v>
      </c>
      <c r="B16" s="22">
        <f>+B15*E16</f>
        <v>12263.787899999999</v>
      </c>
      <c r="C16" s="27" t="s">
        <v>85</v>
      </c>
      <c r="E16" s="58">
        <v>0.35</v>
      </c>
      <c r="F16" s="19"/>
    </row>
    <row r="17" spans="1:6">
      <c r="A17" s="1" t="s">
        <v>27</v>
      </c>
      <c r="B17" s="22">
        <f>+B16/4</f>
        <v>3065.9469749999998</v>
      </c>
      <c r="C17" s="1"/>
      <c r="F17" s="37"/>
    </row>
    <row r="18" spans="1:6">
      <c r="A18" s="1" t="s">
        <v>87</v>
      </c>
      <c r="B18" s="23">
        <f>+B17*E9</f>
        <v>17721.173515499999</v>
      </c>
      <c r="C18" s="1"/>
    </row>
    <row r="19" spans="1:6">
      <c r="A19" s="20" t="s">
        <v>88</v>
      </c>
      <c r="B19" s="24">
        <f>+B18*12</f>
        <v>212654.08218599999</v>
      </c>
      <c r="C19" s="1"/>
    </row>
    <row r="21" spans="1:6">
      <c r="A21" t="s">
        <v>31</v>
      </c>
      <c r="B21" s="17">
        <v>1.7000000000000001E-2</v>
      </c>
    </row>
    <row r="23" spans="1:6" ht="18.75">
      <c r="A23" s="144" t="s">
        <v>33</v>
      </c>
      <c r="B23" s="146"/>
    </row>
    <row r="24" spans="1:6">
      <c r="A24" s="1" t="s">
        <v>34</v>
      </c>
      <c r="B24" s="36">
        <v>12264</v>
      </c>
    </row>
    <row r="25" spans="1:6">
      <c r="A25" s="1" t="s">
        <v>35</v>
      </c>
      <c r="B25" s="25">
        <v>0.75</v>
      </c>
    </row>
    <row r="26" spans="1:6">
      <c r="A26" s="20" t="s">
        <v>36</v>
      </c>
      <c r="B26" s="26">
        <f>+B25*B24</f>
        <v>9198</v>
      </c>
    </row>
    <row r="27" spans="1:6">
      <c r="A27" s="1" t="s">
        <v>37</v>
      </c>
      <c r="B27" s="27">
        <v>0.1</v>
      </c>
      <c r="C27" s="37"/>
    </row>
    <row r="28" spans="1:6">
      <c r="A28" s="1" t="s">
        <v>38</v>
      </c>
      <c r="B28" s="25">
        <v>0.35</v>
      </c>
    </row>
    <row r="29" spans="1:6">
      <c r="A29" s="20" t="s">
        <v>39</v>
      </c>
      <c r="B29" s="28">
        <f>+B24*B27*B28</f>
        <v>429.24</v>
      </c>
    </row>
    <row r="30" spans="1:6">
      <c r="A30" s="1" t="s">
        <v>40</v>
      </c>
      <c r="B30" s="23">
        <f>+B26+B29</f>
        <v>9627.24</v>
      </c>
    </row>
    <row r="31" spans="1:6">
      <c r="A31" s="20" t="s">
        <v>41</v>
      </c>
      <c r="B31" s="29">
        <f>+B30*12</f>
        <v>115526.88</v>
      </c>
    </row>
    <row r="33" spans="1:6" ht="18.75">
      <c r="A33" s="147" t="s">
        <v>42</v>
      </c>
      <c r="B33" s="148"/>
    </row>
    <row r="34" spans="1:6">
      <c r="A34" s="31" t="s">
        <v>44</v>
      </c>
      <c r="B34" s="31" t="s">
        <v>45</v>
      </c>
      <c r="D34" s="31" t="s">
        <v>235</v>
      </c>
      <c r="E34" s="31" t="s">
        <v>236</v>
      </c>
      <c r="F34" s="31"/>
    </row>
    <row r="35" spans="1:6">
      <c r="A35" s="1" t="s">
        <v>43</v>
      </c>
      <c r="B35" s="25">
        <v>750</v>
      </c>
      <c r="D35" s="25">
        <f>2*B16</f>
        <v>24527.575799999999</v>
      </c>
      <c r="E35" s="25">
        <f>+(B16*0.1)*2*12</f>
        <v>29433.090960000001</v>
      </c>
      <c r="F35" s="1" t="s">
        <v>237</v>
      </c>
    </row>
    <row r="36" spans="1:6">
      <c r="A36" s="1" t="s">
        <v>46</v>
      </c>
      <c r="B36" s="25">
        <v>850</v>
      </c>
      <c r="D36" s="25">
        <f>+D35/12</f>
        <v>2043.9646499999999</v>
      </c>
      <c r="E36" s="25">
        <f>+E35/12</f>
        <v>2452.75758</v>
      </c>
      <c r="F36" s="1" t="s">
        <v>238</v>
      </c>
    </row>
    <row r="37" spans="1:6">
      <c r="A37" s="1" t="s">
        <v>48</v>
      </c>
      <c r="B37" s="23">
        <f>+B35+B36</f>
        <v>1600</v>
      </c>
      <c r="D37" s="109">
        <f>+B35/D36</f>
        <v>0.36693393890153631</v>
      </c>
      <c r="E37" s="109">
        <f>+B36/E36</f>
        <v>0.34654872007367316</v>
      </c>
      <c r="F37" s="1" t="s">
        <v>239</v>
      </c>
    </row>
    <row r="38" spans="1:6">
      <c r="A38" s="20" t="s">
        <v>41</v>
      </c>
      <c r="B38" s="30">
        <f>+B37*12</f>
        <v>19200</v>
      </c>
    </row>
    <row r="41" spans="1:6" ht="18.75">
      <c r="A41" s="149" t="s">
        <v>49</v>
      </c>
      <c r="B41" s="150"/>
    </row>
    <row r="42" spans="1:6">
      <c r="A42" s="1" t="s">
        <v>91</v>
      </c>
      <c r="B42" s="32">
        <v>15</v>
      </c>
      <c r="D42" s="25">
        <v>15</v>
      </c>
      <c r="E42" s="33" t="s">
        <v>50</v>
      </c>
    </row>
    <row r="43" spans="1:6">
      <c r="A43" s="1" t="s">
        <v>51</v>
      </c>
      <c r="B43" s="25">
        <f>+D48</f>
        <v>30</v>
      </c>
      <c r="D43" s="1" t="s">
        <v>52</v>
      </c>
      <c r="E43" s="1" t="s">
        <v>54</v>
      </c>
    </row>
    <row r="44" spans="1:6">
      <c r="A44" s="1" t="s">
        <v>57</v>
      </c>
      <c r="B44" s="25">
        <f>+B42*B43</f>
        <v>450</v>
      </c>
      <c r="D44" s="1" t="s">
        <v>53</v>
      </c>
      <c r="E44" s="1"/>
    </row>
    <row r="45" spans="1:6">
      <c r="A45" s="20" t="s">
        <v>58</v>
      </c>
      <c r="B45" s="29">
        <f>+B44*12</f>
        <v>5400</v>
      </c>
      <c r="D45" s="23">
        <f>D42*2*3*4</f>
        <v>360</v>
      </c>
      <c r="E45" s="1" t="s">
        <v>55</v>
      </c>
    </row>
    <row r="46" spans="1:6">
      <c r="D46" s="25">
        <f>+D45/15</f>
        <v>24</v>
      </c>
      <c r="E46" s="1"/>
    </row>
    <row r="47" spans="1:6">
      <c r="D47" s="25">
        <v>6</v>
      </c>
      <c r="E47" s="1" t="s">
        <v>89</v>
      </c>
    </row>
    <row r="48" spans="1:6">
      <c r="D48" s="25">
        <f>+D46+D47</f>
        <v>30</v>
      </c>
      <c r="E48" s="1" t="s">
        <v>90</v>
      </c>
    </row>
    <row r="49" spans="1:2">
      <c r="A49" s="34" t="s">
        <v>62</v>
      </c>
      <c r="B49" s="34" t="s">
        <v>63</v>
      </c>
    </row>
    <row r="50" spans="1:2">
      <c r="A50" s="33" t="s">
        <v>59</v>
      </c>
      <c r="B50" s="139">
        <f>+B19</f>
        <v>212654.08218599999</v>
      </c>
    </row>
    <row r="51" spans="1:2">
      <c r="A51" s="33" t="s">
        <v>60</v>
      </c>
      <c r="B51" s="140">
        <f>+B31</f>
        <v>115526.88</v>
      </c>
    </row>
    <row r="52" spans="1:2">
      <c r="A52" s="33" t="s">
        <v>61</v>
      </c>
      <c r="B52" s="141">
        <f>+B38</f>
        <v>19200</v>
      </c>
    </row>
    <row r="53" spans="1:2">
      <c r="A53" s="33" t="s">
        <v>56</v>
      </c>
      <c r="B53" s="140">
        <f>+B45</f>
        <v>5400</v>
      </c>
    </row>
    <row r="54" spans="1:2">
      <c r="A54" s="75" t="s">
        <v>64</v>
      </c>
      <c r="B54" s="35">
        <f>+SUM(B50:B53)</f>
        <v>352780.96218599996</v>
      </c>
    </row>
  </sheetData>
  <mergeCells count="5">
    <mergeCell ref="A2:D2"/>
    <mergeCell ref="A12:C12"/>
    <mergeCell ref="A23:B23"/>
    <mergeCell ref="A33:B33"/>
    <mergeCell ref="A41:B41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B2:L37"/>
  <sheetViews>
    <sheetView workbookViewId="0">
      <selection activeCell="D36" sqref="D36"/>
    </sheetView>
  </sheetViews>
  <sheetFormatPr baseColWidth="10" defaultRowHeight="15"/>
  <cols>
    <col min="3" max="3" width="15.7109375" customWidth="1"/>
    <col min="5" max="7" width="12.7109375" bestFit="1" customWidth="1"/>
    <col min="8" max="8" width="13" bestFit="1" customWidth="1"/>
    <col min="10" max="10" width="13.85546875" customWidth="1"/>
    <col min="11" max="11" width="7.140625" customWidth="1"/>
    <col min="12" max="12" width="13.7109375" customWidth="1"/>
  </cols>
  <sheetData>
    <row r="2" spans="2:12" ht="30">
      <c r="B2" s="107" t="s">
        <v>263</v>
      </c>
      <c r="C2" s="108" t="s">
        <v>216</v>
      </c>
      <c r="D2" s="108" t="s">
        <v>217</v>
      </c>
      <c r="E2" s="108" t="s">
        <v>262</v>
      </c>
      <c r="I2" s="107" t="s">
        <v>265</v>
      </c>
      <c r="J2" s="108" t="s">
        <v>216</v>
      </c>
      <c r="K2" s="108" t="s">
        <v>217</v>
      </c>
      <c r="L2" s="108" t="s">
        <v>262</v>
      </c>
    </row>
    <row r="3" spans="2:12">
      <c r="B3" s="25">
        <v>3</v>
      </c>
      <c r="C3" s="25">
        <v>-56714.408087810254</v>
      </c>
      <c r="D3" s="27">
        <v>7.0000000000000007E-2</v>
      </c>
      <c r="E3" s="25">
        <v>-12558.734279912418</v>
      </c>
      <c r="I3" s="109">
        <v>0.1</v>
      </c>
      <c r="J3" s="23">
        <v>-207759.71075082221</v>
      </c>
      <c r="K3" s="27" t="s">
        <v>266</v>
      </c>
      <c r="L3" s="25">
        <v>-46005.928464443241</v>
      </c>
    </row>
    <row r="4" spans="2:12">
      <c r="B4" s="25">
        <f>+B3+0.5</f>
        <v>3.5</v>
      </c>
      <c r="C4" s="25">
        <v>-759.8611656530411</v>
      </c>
      <c r="D4" s="27">
        <v>0.18</v>
      </c>
      <c r="E4" s="25">
        <v>-168.26225981739782</v>
      </c>
      <c r="I4" s="109">
        <f>+I3+5%</f>
        <v>0.15000000000000002</v>
      </c>
      <c r="J4" s="25">
        <v>-115418.72131585641</v>
      </c>
      <c r="K4" s="27">
        <v>-7.0000000000000007E-2</v>
      </c>
      <c r="L4" s="25">
        <v>-25558.109496423556</v>
      </c>
    </row>
    <row r="5" spans="2:12">
      <c r="B5" s="25">
        <f t="shared" ref="B5:B8" si="0">+B4+0.5</f>
        <v>4</v>
      </c>
      <c r="C5" s="25">
        <v>55194.685756504216</v>
      </c>
      <c r="D5" s="27">
        <v>0.27</v>
      </c>
      <c r="E5" s="25">
        <v>12222.209760277634</v>
      </c>
      <c r="F5" s="37"/>
      <c r="G5" s="37"/>
      <c r="H5" s="37"/>
      <c r="I5" s="109">
        <f t="shared" ref="I5:I9" si="1">+I4+5%</f>
        <v>0.2</v>
      </c>
      <c r="J5" s="25">
        <v>-23077.731880890511</v>
      </c>
      <c r="K5" s="27">
        <v>0.14000000000000001</v>
      </c>
      <c r="L5" s="25">
        <v>-5110.2905284038488</v>
      </c>
    </row>
    <row r="6" spans="2:12">
      <c r="B6" s="25">
        <f t="shared" si="0"/>
        <v>4.5</v>
      </c>
      <c r="C6" s="25">
        <v>111149.23267866153</v>
      </c>
      <c r="D6" s="27">
        <v>0.37</v>
      </c>
      <c r="E6" s="25">
        <v>24612.681780372677</v>
      </c>
      <c r="H6" s="37"/>
      <c r="I6" s="109">
        <f t="shared" si="1"/>
        <v>0.25</v>
      </c>
      <c r="J6" s="25">
        <v>69263.257554075302</v>
      </c>
      <c r="K6" s="27">
        <v>0.3</v>
      </c>
      <c r="L6" s="25">
        <v>15337.528439615837</v>
      </c>
    </row>
    <row r="7" spans="2:12">
      <c r="B7" s="25">
        <f t="shared" si="0"/>
        <v>5</v>
      </c>
      <c r="C7" s="25">
        <v>167103.7796008187</v>
      </c>
      <c r="D7" s="27">
        <v>0.45</v>
      </c>
      <c r="E7" s="25">
        <v>37003.153800467691</v>
      </c>
      <c r="I7" s="109">
        <f t="shared" si="1"/>
        <v>0.3</v>
      </c>
      <c r="J7" s="25">
        <v>161604.24698904104</v>
      </c>
      <c r="K7" s="27">
        <v>0.45</v>
      </c>
      <c r="L7" s="25">
        <v>35785.347407635505</v>
      </c>
    </row>
    <row r="8" spans="2:12">
      <c r="B8" s="25">
        <f t="shared" si="0"/>
        <v>5.5</v>
      </c>
      <c r="C8" s="25">
        <v>223058.32652297599</v>
      </c>
      <c r="D8" s="27">
        <v>0.54</v>
      </c>
      <c r="E8" s="25">
        <v>49393.625820562724</v>
      </c>
      <c r="I8" s="109">
        <f t="shared" si="1"/>
        <v>0.35</v>
      </c>
      <c r="J8" s="25">
        <v>253945.23642400705</v>
      </c>
      <c r="K8" s="27">
        <v>0.59</v>
      </c>
      <c r="L8" s="25">
        <v>56233.166375655237</v>
      </c>
    </row>
    <row r="9" spans="2:12">
      <c r="B9" s="25">
        <f>+B8+0.5</f>
        <v>6</v>
      </c>
      <c r="C9" s="25">
        <v>279012.87344513339</v>
      </c>
      <c r="D9" s="27">
        <v>0.62</v>
      </c>
      <c r="E9" s="25">
        <v>61784.097840657785</v>
      </c>
      <c r="I9" s="109">
        <f t="shared" si="1"/>
        <v>0.39999999999999997</v>
      </c>
      <c r="J9" s="25">
        <v>346286.22585897287</v>
      </c>
      <c r="K9" s="27">
        <v>0.73</v>
      </c>
      <c r="L9" s="25">
        <v>76680.985343674925</v>
      </c>
    </row>
    <row r="30" spans="2:5">
      <c r="B30" s="107" t="s">
        <v>267</v>
      </c>
      <c r="C30" s="108" t="s">
        <v>216</v>
      </c>
      <c r="D30" s="108" t="s">
        <v>217</v>
      </c>
      <c r="E30" s="108" t="s">
        <v>262</v>
      </c>
    </row>
    <row r="31" spans="2:5">
      <c r="B31" s="109">
        <v>0.1</v>
      </c>
      <c r="C31" s="23">
        <v>245302.5494122426</v>
      </c>
      <c r="D31" s="27">
        <v>0.56999999999999995</v>
      </c>
      <c r="E31" s="25">
        <v>54319.345649938638</v>
      </c>
    </row>
    <row r="32" spans="2:5">
      <c r="B32" s="109">
        <f>+B31+5%</f>
        <v>0.15000000000000002</v>
      </c>
      <c r="C32" s="25">
        <v>-115418.72131585641</v>
      </c>
      <c r="D32" s="27">
        <v>-7.0000000000000007E-2</v>
      </c>
      <c r="E32" s="25">
        <v>-25558.109496423556</v>
      </c>
    </row>
    <row r="33" spans="2:5">
      <c r="B33" s="109">
        <f t="shared" ref="B33:B37" si="2">+B32+5%</f>
        <v>0.2</v>
      </c>
      <c r="C33" s="25">
        <v>-23077.731880890511</v>
      </c>
      <c r="D33" s="27">
        <v>0.14000000000000001</v>
      </c>
      <c r="E33" s="25">
        <v>-5110.2905284038488</v>
      </c>
    </row>
    <row r="34" spans="2:5">
      <c r="B34" s="109">
        <f t="shared" si="2"/>
        <v>0.25</v>
      </c>
      <c r="C34" s="25">
        <v>69263.257554075302</v>
      </c>
      <c r="D34" s="27">
        <v>0.3</v>
      </c>
      <c r="E34" s="25">
        <v>15337.528439615837</v>
      </c>
    </row>
    <row r="35" spans="2:5">
      <c r="B35" s="109">
        <f t="shared" si="2"/>
        <v>0.3</v>
      </c>
      <c r="C35" s="25">
        <v>161604.24698904104</v>
      </c>
      <c r="D35" s="27">
        <v>0.45</v>
      </c>
      <c r="E35" s="25">
        <v>35785.347407635505</v>
      </c>
    </row>
    <row r="36" spans="2:5">
      <c r="B36" s="109">
        <f t="shared" si="2"/>
        <v>0.35</v>
      </c>
      <c r="C36" s="25">
        <v>253945.23642400705</v>
      </c>
      <c r="D36" s="27">
        <v>0.59</v>
      </c>
      <c r="E36" s="25">
        <v>56233.166375655237</v>
      </c>
    </row>
    <row r="37" spans="2:5">
      <c r="B37" s="109">
        <f t="shared" si="2"/>
        <v>0.39999999999999997</v>
      </c>
      <c r="C37" s="25">
        <v>346286.22585897287</v>
      </c>
      <c r="D37" s="27">
        <v>0.73</v>
      </c>
      <c r="E37" s="25">
        <v>76680.985343674925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L30"/>
  <sheetViews>
    <sheetView showGridLines="0" topLeftCell="A10" workbookViewId="0">
      <selection activeCell="L28" sqref="L28"/>
    </sheetView>
  </sheetViews>
  <sheetFormatPr baseColWidth="10" defaultRowHeight="15"/>
  <cols>
    <col min="1" max="1" width="10.42578125" customWidth="1"/>
    <col min="2" max="2" width="25.42578125" customWidth="1"/>
    <col min="4" max="4" width="11.140625" customWidth="1"/>
    <col min="5" max="5" width="17.28515625" customWidth="1"/>
    <col min="8" max="9" width="15" customWidth="1"/>
    <col min="10" max="10" width="14.5703125" customWidth="1"/>
  </cols>
  <sheetData>
    <row r="3" spans="1:12">
      <c r="A3" s="1" t="s">
        <v>4</v>
      </c>
      <c r="B3" s="1" t="s">
        <v>5</v>
      </c>
      <c r="C3" s="1" t="s">
        <v>6</v>
      </c>
      <c r="D3" s="1" t="s">
        <v>7</v>
      </c>
      <c r="E3" s="44"/>
    </row>
    <row r="4" spans="1:12">
      <c r="A4" s="1">
        <v>3</v>
      </c>
      <c r="B4" s="1" t="s">
        <v>8</v>
      </c>
      <c r="C4" s="1">
        <v>520</v>
      </c>
      <c r="D4" s="1">
        <f>C4*9.35%</f>
        <v>48.62</v>
      </c>
      <c r="E4" s="44"/>
    </row>
    <row r="5" spans="1:12">
      <c r="A5" s="1">
        <v>2</v>
      </c>
      <c r="B5" s="1" t="s">
        <v>9</v>
      </c>
      <c r="C5" s="1">
        <v>400</v>
      </c>
      <c r="D5" s="1">
        <f>C5*9.35%</f>
        <v>37.4</v>
      </c>
      <c r="E5" s="44"/>
    </row>
    <row r="6" spans="1:12">
      <c r="A6" s="1">
        <v>1</v>
      </c>
      <c r="B6" s="1" t="s">
        <v>10</v>
      </c>
      <c r="C6" s="1">
        <v>340</v>
      </c>
      <c r="D6" s="1">
        <f t="shared" ref="D6:D10" si="0">C6*9.35%</f>
        <v>31.79</v>
      </c>
      <c r="E6" s="44"/>
    </row>
    <row r="7" spans="1:12">
      <c r="A7" s="1">
        <v>1</v>
      </c>
      <c r="B7" s="1" t="s">
        <v>11</v>
      </c>
      <c r="C7" s="1">
        <v>240</v>
      </c>
      <c r="D7" s="1">
        <f t="shared" si="0"/>
        <v>22.44</v>
      </c>
      <c r="E7" s="44"/>
    </row>
    <row r="8" spans="1:12">
      <c r="A8" s="1">
        <v>1</v>
      </c>
      <c r="B8" s="1" t="s">
        <v>12</v>
      </c>
      <c r="C8" s="1">
        <v>320</v>
      </c>
      <c r="D8" s="1">
        <f t="shared" si="0"/>
        <v>29.92</v>
      </c>
      <c r="E8" s="44"/>
    </row>
    <row r="9" spans="1:12">
      <c r="A9" s="1">
        <v>1</v>
      </c>
      <c r="B9" s="1" t="s">
        <v>13</v>
      </c>
      <c r="C9" s="1">
        <v>320</v>
      </c>
      <c r="D9" s="1">
        <f t="shared" si="0"/>
        <v>29.92</v>
      </c>
      <c r="E9" s="44"/>
    </row>
    <row r="10" spans="1:12">
      <c r="A10" s="1">
        <v>2</v>
      </c>
      <c r="B10" s="1" t="s">
        <v>14</v>
      </c>
      <c r="C10" s="1">
        <v>320</v>
      </c>
      <c r="D10" s="1">
        <f t="shared" si="0"/>
        <v>29.92</v>
      </c>
      <c r="E10" s="44"/>
    </row>
    <row r="11" spans="1:12">
      <c r="A11" s="1">
        <v>2</v>
      </c>
      <c r="B11" s="1" t="s">
        <v>15</v>
      </c>
      <c r="C11" s="1">
        <v>240</v>
      </c>
      <c r="D11" s="1">
        <f>C11*9.35%</f>
        <v>22.44</v>
      </c>
      <c r="E11" s="44"/>
    </row>
    <row r="12" spans="1:12">
      <c r="G12" s="45"/>
    </row>
    <row r="14" spans="1:12" ht="50.25" customHeight="1">
      <c r="A14" s="111" t="s">
        <v>4</v>
      </c>
      <c r="B14" s="112" t="s">
        <v>5</v>
      </c>
      <c r="C14" s="112" t="s">
        <v>6</v>
      </c>
      <c r="D14" s="112" t="s">
        <v>7</v>
      </c>
      <c r="E14" s="113" t="s">
        <v>129</v>
      </c>
      <c r="F14" s="113" t="s">
        <v>130</v>
      </c>
      <c r="G14" s="113" t="s">
        <v>131</v>
      </c>
      <c r="H14" s="112" t="s">
        <v>16</v>
      </c>
      <c r="I14" s="112" t="s">
        <v>17</v>
      </c>
      <c r="J14" s="112" t="s">
        <v>18</v>
      </c>
      <c r="K14" s="113" t="s">
        <v>19</v>
      </c>
      <c r="L14" s="113" t="s">
        <v>132</v>
      </c>
    </row>
    <row r="15" spans="1:12">
      <c r="A15" s="1"/>
      <c r="B15" s="1" t="s">
        <v>8</v>
      </c>
      <c r="C15" s="2">
        <v>520</v>
      </c>
      <c r="D15" s="2">
        <f>C15*9.35%</f>
        <v>48.62</v>
      </c>
      <c r="E15" s="2">
        <f>C15-D15</f>
        <v>471.38</v>
      </c>
      <c r="F15" s="2">
        <f>E15*12</f>
        <v>5656.5599999999995</v>
      </c>
      <c r="G15" s="2">
        <f>C15*12.15%*12</f>
        <v>758.16</v>
      </c>
      <c r="H15" s="2">
        <f>C15</f>
        <v>520</v>
      </c>
      <c r="I15" s="2">
        <v>240</v>
      </c>
      <c r="J15" s="2">
        <f>F15/24</f>
        <v>235.68999999999997</v>
      </c>
      <c r="K15" s="2">
        <f>+F15*8%</f>
        <v>452.52479999999997</v>
      </c>
      <c r="L15" s="2">
        <f>+SUM(F15:K15)</f>
        <v>7862.9347999999991</v>
      </c>
    </row>
    <row r="16" spans="1:12">
      <c r="A16" s="1"/>
      <c r="B16" s="1" t="s">
        <v>8</v>
      </c>
      <c r="C16" s="2">
        <v>520</v>
      </c>
      <c r="D16" s="2">
        <f t="shared" ref="D16:D27" si="1">C16*9.35%</f>
        <v>48.62</v>
      </c>
      <c r="E16" s="2">
        <f t="shared" ref="E16:E27" si="2">C16-D16</f>
        <v>471.38</v>
      </c>
      <c r="F16" s="2">
        <f t="shared" ref="F16:F27" si="3">E16*12</f>
        <v>5656.5599999999995</v>
      </c>
      <c r="G16" s="2">
        <f t="shared" ref="G16:G27" si="4">C16*12.15%*12</f>
        <v>758.16</v>
      </c>
      <c r="H16" s="2">
        <f t="shared" ref="H16:H27" si="5">C16</f>
        <v>520</v>
      </c>
      <c r="I16" s="2">
        <v>240</v>
      </c>
      <c r="J16" s="2">
        <f t="shared" ref="J16:J27" si="6">F16/24</f>
        <v>235.68999999999997</v>
      </c>
      <c r="K16" s="2">
        <f t="shared" ref="K16:K27" si="7">+F16*8%</f>
        <v>452.52479999999997</v>
      </c>
      <c r="L16" s="2">
        <f t="shared" ref="L16:L27" si="8">+SUM(F16:K16)</f>
        <v>7862.9347999999991</v>
      </c>
    </row>
    <row r="17" spans="1:12">
      <c r="A17" s="1"/>
      <c r="B17" s="1" t="s">
        <v>8</v>
      </c>
      <c r="C17" s="2">
        <v>520</v>
      </c>
      <c r="D17" s="2">
        <f t="shared" si="1"/>
        <v>48.62</v>
      </c>
      <c r="E17" s="2">
        <f t="shared" si="2"/>
        <v>471.38</v>
      </c>
      <c r="F17" s="2">
        <f t="shared" si="3"/>
        <v>5656.5599999999995</v>
      </c>
      <c r="G17" s="2">
        <f t="shared" si="4"/>
        <v>758.16</v>
      </c>
      <c r="H17" s="2">
        <f t="shared" si="5"/>
        <v>520</v>
      </c>
      <c r="I17" s="2">
        <v>240</v>
      </c>
      <c r="J17" s="2">
        <f t="shared" si="6"/>
        <v>235.68999999999997</v>
      </c>
      <c r="K17" s="2">
        <f t="shared" si="7"/>
        <v>452.52479999999997</v>
      </c>
      <c r="L17" s="2">
        <f t="shared" si="8"/>
        <v>7862.9347999999991</v>
      </c>
    </row>
    <row r="18" spans="1:12">
      <c r="A18" s="1"/>
      <c r="B18" s="1" t="s">
        <v>9</v>
      </c>
      <c r="C18" s="2">
        <v>400</v>
      </c>
      <c r="D18" s="2">
        <f t="shared" si="1"/>
        <v>37.4</v>
      </c>
      <c r="E18" s="2">
        <f t="shared" si="2"/>
        <v>362.6</v>
      </c>
      <c r="F18" s="2">
        <f t="shared" si="3"/>
        <v>4351.2000000000007</v>
      </c>
      <c r="G18" s="2">
        <f t="shared" si="4"/>
        <v>583.20000000000005</v>
      </c>
      <c r="H18" s="2">
        <f t="shared" si="5"/>
        <v>400</v>
      </c>
      <c r="I18" s="2">
        <v>240</v>
      </c>
      <c r="J18" s="2">
        <f t="shared" si="6"/>
        <v>181.30000000000004</v>
      </c>
      <c r="K18" s="2">
        <f t="shared" si="7"/>
        <v>348.09600000000006</v>
      </c>
      <c r="L18" s="2">
        <f t="shared" si="8"/>
        <v>6103.7960000000012</v>
      </c>
    </row>
    <row r="19" spans="1:12">
      <c r="A19" s="1"/>
      <c r="B19" s="1" t="s">
        <v>9</v>
      </c>
      <c r="C19" s="2">
        <v>400</v>
      </c>
      <c r="D19" s="2">
        <f t="shared" si="1"/>
        <v>37.4</v>
      </c>
      <c r="E19" s="2">
        <f t="shared" si="2"/>
        <v>362.6</v>
      </c>
      <c r="F19" s="2">
        <f t="shared" si="3"/>
        <v>4351.2000000000007</v>
      </c>
      <c r="G19" s="2">
        <f t="shared" si="4"/>
        <v>583.20000000000005</v>
      </c>
      <c r="H19" s="2">
        <f t="shared" si="5"/>
        <v>400</v>
      </c>
      <c r="I19" s="2">
        <v>240</v>
      </c>
      <c r="J19" s="2">
        <f t="shared" si="6"/>
        <v>181.30000000000004</v>
      </c>
      <c r="K19" s="2">
        <f t="shared" si="7"/>
        <v>348.09600000000006</v>
      </c>
      <c r="L19" s="2">
        <f t="shared" si="8"/>
        <v>6103.7960000000012</v>
      </c>
    </row>
    <row r="20" spans="1:12">
      <c r="A20" s="1"/>
      <c r="B20" s="1" t="s">
        <v>10</v>
      </c>
      <c r="C20" s="2">
        <v>340</v>
      </c>
      <c r="D20" s="2">
        <f t="shared" si="1"/>
        <v>31.79</v>
      </c>
      <c r="E20" s="2">
        <f t="shared" si="2"/>
        <v>308.20999999999998</v>
      </c>
      <c r="F20" s="2">
        <f t="shared" si="3"/>
        <v>3698.5199999999995</v>
      </c>
      <c r="G20" s="2">
        <f t="shared" si="4"/>
        <v>495.72</v>
      </c>
      <c r="H20" s="2">
        <f t="shared" si="5"/>
        <v>340</v>
      </c>
      <c r="I20" s="2">
        <v>240</v>
      </c>
      <c r="J20" s="2">
        <f t="shared" si="6"/>
        <v>154.10499999999999</v>
      </c>
      <c r="K20" s="2">
        <f t="shared" si="7"/>
        <v>295.88159999999999</v>
      </c>
      <c r="L20" s="2">
        <f t="shared" si="8"/>
        <v>5224.2265999999991</v>
      </c>
    </row>
    <row r="21" spans="1:12">
      <c r="A21" s="1"/>
      <c r="B21" s="1" t="s">
        <v>11</v>
      </c>
      <c r="C21" s="2">
        <v>240</v>
      </c>
      <c r="D21" s="2">
        <f t="shared" si="1"/>
        <v>22.44</v>
      </c>
      <c r="E21" s="2">
        <f t="shared" si="2"/>
        <v>217.56</v>
      </c>
      <c r="F21" s="2">
        <f t="shared" si="3"/>
        <v>2610.7200000000003</v>
      </c>
      <c r="G21" s="2">
        <f t="shared" si="4"/>
        <v>349.92</v>
      </c>
      <c r="H21" s="2">
        <f t="shared" si="5"/>
        <v>240</v>
      </c>
      <c r="I21" s="2">
        <v>240</v>
      </c>
      <c r="J21" s="2">
        <f t="shared" si="6"/>
        <v>108.78000000000002</v>
      </c>
      <c r="K21" s="2">
        <f t="shared" si="7"/>
        <v>208.85760000000002</v>
      </c>
      <c r="L21" s="2">
        <f t="shared" si="8"/>
        <v>3758.2776000000003</v>
      </c>
    </row>
    <row r="22" spans="1:12">
      <c r="A22" s="1"/>
      <c r="B22" s="1" t="s">
        <v>12</v>
      </c>
      <c r="C22" s="2">
        <v>320</v>
      </c>
      <c r="D22" s="2">
        <f t="shared" si="1"/>
        <v>29.92</v>
      </c>
      <c r="E22" s="2">
        <f t="shared" si="2"/>
        <v>290.08</v>
      </c>
      <c r="F22" s="2">
        <f t="shared" si="3"/>
        <v>3480.96</v>
      </c>
      <c r="G22" s="2">
        <f t="shared" si="4"/>
        <v>466.55999999999995</v>
      </c>
      <c r="H22" s="2">
        <f t="shared" si="5"/>
        <v>320</v>
      </c>
      <c r="I22" s="2">
        <v>240</v>
      </c>
      <c r="J22" s="2">
        <f t="shared" si="6"/>
        <v>145.04</v>
      </c>
      <c r="K22" s="2">
        <f t="shared" si="7"/>
        <v>278.47680000000003</v>
      </c>
      <c r="L22" s="2">
        <f t="shared" si="8"/>
        <v>4931.0368000000008</v>
      </c>
    </row>
    <row r="23" spans="1:12">
      <c r="A23" s="1"/>
      <c r="B23" s="1" t="s">
        <v>13</v>
      </c>
      <c r="C23" s="2">
        <v>320</v>
      </c>
      <c r="D23" s="2">
        <f t="shared" si="1"/>
        <v>29.92</v>
      </c>
      <c r="E23" s="2">
        <f t="shared" si="2"/>
        <v>290.08</v>
      </c>
      <c r="F23" s="2">
        <f t="shared" si="3"/>
        <v>3480.96</v>
      </c>
      <c r="G23" s="2">
        <f t="shared" si="4"/>
        <v>466.55999999999995</v>
      </c>
      <c r="H23" s="2">
        <f t="shared" si="5"/>
        <v>320</v>
      </c>
      <c r="I23" s="2">
        <v>240</v>
      </c>
      <c r="J23" s="2">
        <f t="shared" si="6"/>
        <v>145.04</v>
      </c>
      <c r="K23" s="2">
        <f t="shared" si="7"/>
        <v>278.47680000000003</v>
      </c>
      <c r="L23" s="2">
        <f t="shared" si="8"/>
        <v>4931.0368000000008</v>
      </c>
    </row>
    <row r="24" spans="1:12">
      <c r="A24" s="1"/>
      <c r="B24" s="1" t="s">
        <v>14</v>
      </c>
      <c r="C24" s="2">
        <v>320</v>
      </c>
      <c r="D24" s="2">
        <f t="shared" si="1"/>
        <v>29.92</v>
      </c>
      <c r="E24" s="2">
        <f t="shared" si="2"/>
        <v>290.08</v>
      </c>
      <c r="F24" s="2">
        <f t="shared" si="3"/>
        <v>3480.96</v>
      </c>
      <c r="G24" s="2">
        <f t="shared" si="4"/>
        <v>466.55999999999995</v>
      </c>
      <c r="H24" s="2">
        <f t="shared" si="5"/>
        <v>320</v>
      </c>
      <c r="I24" s="2">
        <v>240</v>
      </c>
      <c r="J24" s="2">
        <f t="shared" si="6"/>
        <v>145.04</v>
      </c>
      <c r="K24" s="2">
        <f t="shared" si="7"/>
        <v>278.47680000000003</v>
      </c>
      <c r="L24" s="2">
        <f t="shared" si="8"/>
        <v>4931.0368000000008</v>
      </c>
    </row>
    <row r="25" spans="1:12">
      <c r="A25" s="1"/>
      <c r="B25" s="1" t="s">
        <v>14</v>
      </c>
      <c r="C25" s="2">
        <v>320</v>
      </c>
      <c r="D25" s="2">
        <f t="shared" si="1"/>
        <v>29.92</v>
      </c>
      <c r="E25" s="2">
        <f t="shared" si="2"/>
        <v>290.08</v>
      </c>
      <c r="F25" s="2">
        <f t="shared" si="3"/>
        <v>3480.96</v>
      </c>
      <c r="G25" s="2">
        <f t="shared" si="4"/>
        <v>466.55999999999995</v>
      </c>
      <c r="H25" s="2">
        <f t="shared" si="5"/>
        <v>320</v>
      </c>
      <c r="I25" s="2">
        <v>240</v>
      </c>
      <c r="J25" s="2">
        <f t="shared" si="6"/>
        <v>145.04</v>
      </c>
      <c r="K25" s="2">
        <f t="shared" si="7"/>
        <v>278.47680000000003</v>
      </c>
      <c r="L25" s="2">
        <f t="shared" si="8"/>
        <v>4931.0368000000008</v>
      </c>
    </row>
    <row r="26" spans="1:12">
      <c r="A26" s="3"/>
      <c r="B26" s="4" t="s">
        <v>15</v>
      </c>
      <c r="C26" s="2">
        <v>240</v>
      </c>
      <c r="D26" s="2">
        <f t="shared" si="1"/>
        <v>22.44</v>
      </c>
      <c r="E26" s="2">
        <f t="shared" si="2"/>
        <v>217.56</v>
      </c>
      <c r="F26" s="2">
        <f t="shared" si="3"/>
        <v>2610.7200000000003</v>
      </c>
      <c r="G26" s="2">
        <f t="shared" si="4"/>
        <v>349.92</v>
      </c>
      <c r="H26" s="2">
        <f t="shared" si="5"/>
        <v>240</v>
      </c>
      <c r="I26" s="2">
        <v>240</v>
      </c>
      <c r="J26" s="2">
        <f t="shared" si="6"/>
        <v>108.78000000000002</v>
      </c>
      <c r="K26" s="2">
        <f t="shared" si="7"/>
        <v>208.85760000000002</v>
      </c>
      <c r="L26" s="2">
        <f t="shared" si="8"/>
        <v>3758.2776000000003</v>
      </c>
    </row>
    <row r="27" spans="1:12">
      <c r="A27" s="3"/>
      <c r="B27" s="4" t="s">
        <v>15</v>
      </c>
      <c r="C27" s="2">
        <v>240</v>
      </c>
      <c r="D27" s="2">
        <f t="shared" si="1"/>
        <v>22.44</v>
      </c>
      <c r="E27" s="2">
        <f t="shared" si="2"/>
        <v>217.56</v>
      </c>
      <c r="F27" s="2">
        <f t="shared" si="3"/>
        <v>2610.7200000000003</v>
      </c>
      <c r="G27" s="2">
        <f t="shared" si="4"/>
        <v>349.92</v>
      </c>
      <c r="H27" s="2">
        <f t="shared" si="5"/>
        <v>240</v>
      </c>
      <c r="I27" s="2">
        <v>240</v>
      </c>
      <c r="J27" s="2">
        <f t="shared" si="6"/>
        <v>108.78000000000002</v>
      </c>
      <c r="K27" s="2">
        <f t="shared" si="7"/>
        <v>208.85760000000002</v>
      </c>
      <c r="L27" s="2">
        <f t="shared" si="8"/>
        <v>3758.2776000000003</v>
      </c>
    </row>
    <row r="28" spans="1:12">
      <c r="A28" s="1"/>
      <c r="B28" s="5" t="s">
        <v>47</v>
      </c>
      <c r="C28" s="1"/>
      <c r="D28" s="1"/>
      <c r="E28" s="1"/>
      <c r="F28" s="2"/>
      <c r="G28" s="2">
        <f>SUM(G15:G27)</f>
        <v>6852.5999999999985</v>
      </c>
      <c r="H28" s="1"/>
      <c r="I28" s="1"/>
      <c r="J28" s="1"/>
      <c r="K28" s="1"/>
      <c r="L28" s="114">
        <f>+SUM(L15:L27)</f>
        <v>72019.603000000003</v>
      </c>
    </row>
    <row r="30" spans="1:12">
      <c r="I30" s="6"/>
      <c r="L30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204"/>
  <sheetViews>
    <sheetView showGridLines="0" workbookViewId="0">
      <selection activeCell="F4" sqref="F4:G14"/>
    </sheetView>
  </sheetViews>
  <sheetFormatPr baseColWidth="10" defaultRowHeight="15"/>
  <cols>
    <col min="1" max="1" width="22.7109375" customWidth="1"/>
    <col min="2" max="2" width="14.5703125" bestFit="1" customWidth="1"/>
    <col min="3" max="3" width="14.85546875" customWidth="1"/>
    <col min="4" max="4" width="18.5703125" customWidth="1"/>
    <col min="6" max="6" width="15.7109375" bestFit="1" customWidth="1"/>
    <col min="7" max="7" width="18.5703125" customWidth="1"/>
    <col min="8" max="8" width="20.7109375" bestFit="1" customWidth="1"/>
    <col min="9" max="9" width="22.85546875" bestFit="1" customWidth="1"/>
  </cols>
  <sheetData>
    <row r="2" spans="1:9" ht="23.25">
      <c r="A2" s="151" t="s">
        <v>257</v>
      </c>
      <c r="B2" s="151"/>
      <c r="C2" s="151"/>
      <c r="D2" s="151"/>
      <c r="E2" s="151"/>
      <c r="F2" s="151"/>
      <c r="G2" s="151"/>
    </row>
    <row r="3" spans="1:9" ht="15.75" thickBot="1"/>
    <row r="4" spans="1:9" ht="15.75" thickBot="1">
      <c r="A4" s="115" t="s">
        <v>231</v>
      </c>
      <c r="B4" s="115" t="s">
        <v>45</v>
      </c>
      <c r="C4" s="116" t="s">
        <v>232</v>
      </c>
      <c r="D4" s="116" t="s">
        <v>215</v>
      </c>
      <c r="F4" s="152" t="s">
        <v>71</v>
      </c>
      <c r="G4" s="153"/>
    </row>
    <row r="5" spans="1:9">
      <c r="A5" s="81" t="s">
        <v>67</v>
      </c>
      <c r="B5" s="78">
        <f>500*C5</f>
        <v>1500</v>
      </c>
      <c r="C5" s="79">
        <v>3</v>
      </c>
      <c r="D5" s="80">
        <f t="shared" ref="D5:D10" si="0">B5/C5</f>
        <v>500</v>
      </c>
      <c r="F5" s="83" t="s">
        <v>72</v>
      </c>
      <c r="G5" s="50">
        <f>SUM(D5:D13)</f>
        <v>28784.666666666668</v>
      </c>
    </row>
    <row r="6" spans="1:9">
      <c r="A6" s="81" t="s">
        <v>181</v>
      </c>
      <c r="B6" s="78">
        <v>80</v>
      </c>
      <c r="C6" s="79">
        <v>3</v>
      </c>
      <c r="D6" s="80">
        <f t="shared" si="0"/>
        <v>26.666666666666668</v>
      </c>
      <c r="F6" s="83" t="s">
        <v>73</v>
      </c>
      <c r="G6" s="50">
        <f>SUM(D5:D13)</f>
        <v>28784.666666666668</v>
      </c>
    </row>
    <row r="7" spans="1:9">
      <c r="A7" s="81" t="s">
        <v>68</v>
      </c>
      <c r="B7" s="78">
        <f>2000*3</f>
        <v>6000</v>
      </c>
      <c r="C7" s="79">
        <v>5</v>
      </c>
      <c r="D7" s="80">
        <f t="shared" si="0"/>
        <v>1200</v>
      </c>
      <c r="F7" s="83" t="s">
        <v>74</v>
      </c>
      <c r="G7" s="50">
        <f>D5+D6+D7+D8+D9+D10+D12</f>
        <v>27534.666666666668</v>
      </c>
    </row>
    <row r="8" spans="1:9">
      <c r="A8" s="81" t="s">
        <v>69</v>
      </c>
      <c r="B8" s="78">
        <v>10000</v>
      </c>
      <c r="C8" s="79">
        <v>10</v>
      </c>
      <c r="D8" s="80">
        <f t="shared" si="0"/>
        <v>1000</v>
      </c>
      <c r="F8" s="83" t="s">
        <v>75</v>
      </c>
      <c r="G8" s="50">
        <f>D7+D8+D9+D10+D12</f>
        <v>27008</v>
      </c>
    </row>
    <row r="9" spans="1:9">
      <c r="A9" s="82" t="s">
        <v>65</v>
      </c>
      <c r="B9" s="80">
        <f>30000*8</f>
        <v>240000</v>
      </c>
      <c r="C9" s="79">
        <v>10</v>
      </c>
      <c r="D9" s="80">
        <f t="shared" si="0"/>
        <v>24000</v>
      </c>
      <c r="F9" s="83" t="s">
        <v>76</v>
      </c>
      <c r="G9" s="50">
        <f>D7+D8+D9+D10+D12</f>
        <v>27008</v>
      </c>
    </row>
    <row r="10" spans="1:9">
      <c r="A10" s="82" t="s">
        <v>66</v>
      </c>
      <c r="B10" s="80">
        <f>210*8</f>
        <v>1680</v>
      </c>
      <c r="C10" s="79">
        <v>10</v>
      </c>
      <c r="D10" s="80">
        <f t="shared" si="0"/>
        <v>168</v>
      </c>
      <c r="F10" s="83" t="s">
        <v>77</v>
      </c>
      <c r="G10" s="50">
        <f>D8+D9+D10</f>
        <v>25168</v>
      </c>
    </row>
    <row r="11" spans="1:9">
      <c r="A11" s="77" t="s">
        <v>70</v>
      </c>
      <c r="B11" s="78"/>
      <c r="C11" s="79"/>
      <c r="D11" s="80"/>
      <c r="F11" s="83" t="s">
        <v>78</v>
      </c>
      <c r="G11" s="50">
        <f>G10</f>
        <v>25168</v>
      </c>
    </row>
    <row r="12" spans="1:9">
      <c r="A12" s="81" t="s">
        <v>233</v>
      </c>
      <c r="B12" s="78">
        <f>50*64</f>
        <v>3200</v>
      </c>
      <c r="C12" s="79">
        <v>5</v>
      </c>
      <c r="D12" s="80">
        <f>B12/C12</f>
        <v>640</v>
      </c>
      <c r="F12" s="83" t="s">
        <v>79</v>
      </c>
      <c r="G12" s="50">
        <f>G11</f>
        <v>25168</v>
      </c>
    </row>
    <row r="13" spans="1:9">
      <c r="A13" s="81" t="s">
        <v>234</v>
      </c>
      <c r="B13" s="78">
        <f>25*100</f>
        <v>2500</v>
      </c>
      <c r="C13" s="79">
        <v>2</v>
      </c>
      <c r="D13" s="80">
        <f>B13/C13</f>
        <v>1250</v>
      </c>
      <c r="F13" s="83" t="s">
        <v>80</v>
      </c>
      <c r="G13" s="50">
        <f>G12</f>
        <v>25168</v>
      </c>
    </row>
    <row r="14" spans="1:9" ht="15.75" thickBot="1">
      <c r="F14" s="84" t="s">
        <v>81</v>
      </c>
      <c r="G14" s="49">
        <f>G13</f>
        <v>25168</v>
      </c>
    </row>
    <row r="15" spans="1:9">
      <c r="A15" s="44"/>
      <c r="B15" s="44"/>
      <c r="C15" s="44"/>
      <c r="D15" s="44"/>
      <c r="E15" s="44"/>
      <c r="F15" s="44"/>
      <c r="G15" s="44"/>
      <c r="H15" s="44"/>
      <c r="I15" s="44"/>
    </row>
    <row r="16" spans="1:9" ht="16.5" customHeight="1">
      <c r="A16" s="155"/>
      <c r="B16" s="155"/>
      <c r="C16" s="155"/>
      <c r="D16" s="98"/>
      <c r="E16" s="98"/>
      <c r="F16" s="155"/>
      <c r="G16" s="155"/>
      <c r="H16" s="155"/>
      <c r="I16" s="98"/>
    </row>
    <row r="17" spans="1:9" ht="15.75">
      <c r="A17" s="99"/>
      <c r="B17" s="99"/>
      <c r="C17" s="99"/>
      <c r="D17" s="99"/>
      <c r="E17" s="98"/>
      <c r="F17" s="99"/>
      <c r="G17" s="99"/>
      <c r="H17" s="99"/>
      <c r="I17" s="99"/>
    </row>
    <row r="18" spans="1:9" ht="15.75">
      <c r="A18" s="100"/>
      <c r="B18" s="100"/>
      <c r="C18" s="101"/>
      <c r="D18" s="101"/>
      <c r="E18" s="98"/>
      <c r="F18" s="100"/>
      <c r="G18" s="100"/>
      <c r="H18" s="100"/>
      <c r="I18" s="102"/>
    </row>
    <row r="19" spans="1:9" ht="15.75">
      <c r="A19" s="100"/>
      <c r="B19" s="100"/>
      <c r="C19" s="101"/>
      <c r="D19" s="101"/>
      <c r="E19" s="98"/>
      <c r="F19" s="100"/>
      <c r="G19" s="100"/>
      <c r="H19" s="102"/>
      <c r="I19" s="101"/>
    </row>
    <row r="20" spans="1:9" ht="15.75">
      <c r="A20" s="100"/>
      <c r="B20" s="100"/>
      <c r="C20" s="101"/>
      <c r="D20" s="101"/>
      <c r="E20" s="98"/>
      <c r="F20" s="100"/>
      <c r="G20" s="100"/>
      <c r="H20" s="102"/>
      <c r="I20" s="101"/>
    </row>
    <row r="21" spans="1:9" ht="15.75">
      <c r="A21" s="100"/>
      <c r="B21" s="100"/>
      <c r="C21" s="101"/>
      <c r="D21" s="101"/>
      <c r="E21" s="98"/>
      <c r="F21" s="98"/>
      <c r="G21" s="98"/>
      <c r="H21" s="98"/>
      <c r="I21" s="98"/>
    </row>
    <row r="22" spans="1:9" ht="15.75">
      <c r="A22" s="100"/>
      <c r="B22" s="100"/>
      <c r="C22" s="101"/>
      <c r="D22" s="101"/>
      <c r="E22" s="98"/>
      <c r="F22" s="98"/>
      <c r="G22" s="98"/>
      <c r="H22" s="98"/>
      <c r="I22" s="98"/>
    </row>
    <row r="23" spans="1:9" ht="15.75">
      <c r="A23" s="100"/>
      <c r="B23" s="100"/>
      <c r="C23" s="101"/>
      <c r="D23" s="101"/>
      <c r="E23" s="98"/>
      <c r="F23" s="98"/>
      <c r="G23" s="98"/>
      <c r="H23" s="98"/>
      <c r="I23" s="98"/>
    </row>
    <row r="24" spans="1:9" ht="15.75">
      <c r="A24" s="98"/>
      <c r="B24" s="98"/>
      <c r="C24" s="98"/>
      <c r="D24" s="98"/>
      <c r="E24" s="98"/>
      <c r="F24" s="98"/>
      <c r="G24" s="98"/>
      <c r="H24" s="98"/>
      <c r="I24" s="98"/>
    </row>
    <row r="25" spans="1:9">
      <c r="A25" s="44"/>
      <c r="B25" s="44"/>
      <c r="C25" s="44"/>
      <c r="D25" s="44"/>
      <c r="E25" s="44"/>
      <c r="F25" s="44"/>
      <c r="G25" s="44"/>
      <c r="H25" s="44"/>
      <c r="I25" s="44"/>
    </row>
    <row r="26" spans="1:9" ht="16.5" customHeight="1">
      <c r="A26" s="155"/>
      <c r="B26" s="155"/>
      <c r="C26" s="155"/>
      <c r="D26" s="98"/>
      <c r="E26" s="44"/>
      <c r="F26" s="155"/>
      <c r="G26" s="155"/>
      <c r="H26" s="155"/>
      <c r="I26" s="98"/>
    </row>
    <row r="27" spans="1:9" ht="15.75">
      <c r="A27" s="99"/>
      <c r="B27" s="99"/>
      <c r="C27" s="99"/>
      <c r="D27" s="99"/>
      <c r="E27" s="44"/>
      <c r="F27" s="99"/>
      <c r="G27" s="99"/>
      <c r="H27" s="99"/>
      <c r="I27" s="99"/>
    </row>
    <row r="28" spans="1:9" ht="15.75">
      <c r="A28" s="100"/>
      <c r="B28" s="100"/>
      <c r="C28" s="101"/>
      <c r="D28" s="101"/>
      <c r="E28" s="44"/>
      <c r="F28" s="100"/>
      <c r="G28" s="100"/>
      <c r="H28" s="101"/>
      <c r="I28" s="101"/>
    </row>
    <row r="29" spans="1:9" ht="15.75">
      <c r="A29" s="100"/>
      <c r="B29" s="100"/>
      <c r="C29" s="101"/>
      <c r="D29" s="101"/>
      <c r="E29" s="44"/>
      <c r="F29" s="100"/>
      <c r="G29" s="100"/>
      <c r="H29" s="101"/>
      <c r="I29" s="101"/>
    </row>
    <row r="30" spans="1:9" ht="15.75">
      <c r="A30" s="100"/>
      <c r="B30" s="100"/>
      <c r="C30" s="101"/>
      <c r="D30" s="101"/>
      <c r="E30" s="44"/>
      <c r="F30" s="100"/>
      <c r="G30" s="100"/>
      <c r="H30" s="101"/>
      <c r="I30" s="101"/>
    </row>
    <row r="31" spans="1:9" ht="15.75">
      <c r="A31" s="100"/>
      <c r="B31" s="100"/>
      <c r="C31" s="101"/>
      <c r="D31" s="101"/>
      <c r="E31" s="44"/>
      <c r="F31" s="100"/>
      <c r="G31" s="100"/>
      <c r="H31" s="101"/>
      <c r="I31" s="101"/>
    </row>
    <row r="32" spans="1:9" ht="15.75">
      <c r="A32" s="100"/>
      <c r="B32" s="100"/>
      <c r="C32" s="101"/>
      <c r="D32" s="101"/>
      <c r="E32" s="44"/>
      <c r="F32" s="44"/>
      <c r="G32" s="44"/>
      <c r="H32" s="44"/>
      <c r="I32" s="44"/>
    </row>
    <row r="33" spans="1:9" ht="15.75">
      <c r="A33" s="100"/>
      <c r="B33" s="100"/>
      <c r="C33" s="101"/>
      <c r="D33" s="101"/>
      <c r="E33" s="44"/>
      <c r="F33" s="44"/>
      <c r="G33" s="44"/>
      <c r="H33" s="44"/>
      <c r="I33" s="44"/>
    </row>
    <row r="34" spans="1:9" ht="15.75">
      <c r="A34" s="100"/>
      <c r="B34" s="100"/>
      <c r="C34" s="101"/>
      <c r="D34" s="101"/>
      <c r="E34" s="44"/>
      <c r="F34" s="44"/>
      <c r="G34" s="44"/>
      <c r="H34" s="44"/>
      <c r="I34" s="44"/>
    </row>
    <row r="35" spans="1:9" ht="15.75">
      <c r="A35" s="100"/>
      <c r="B35" s="100"/>
      <c r="C35" s="101"/>
      <c r="D35" s="101"/>
      <c r="E35" s="44"/>
      <c r="F35" s="44"/>
      <c r="G35" s="44"/>
      <c r="H35" s="44"/>
      <c r="I35" s="44"/>
    </row>
    <row r="36" spans="1:9" ht="15.75">
      <c r="A36" s="100"/>
      <c r="B36" s="100"/>
      <c r="C36" s="101"/>
      <c r="D36" s="101"/>
      <c r="E36" s="44"/>
      <c r="F36" s="44"/>
      <c r="G36" s="44"/>
      <c r="H36" s="44"/>
      <c r="I36" s="44"/>
    </row>
    <row r="37" spans="1:9" ht="15.75">
      <c r="A37" s="100"/>
      <c r="B37" s="100"/>
      <c r="C37" s="101"/>
      <c r="D37" s="101"/>
      <c r="E37" s="44"/>
      <c r="F37" s="44"/>
      <c r="G37" s="44"/>
      <c r="H37" s="44"/>
      <c r="I37" s="44"/>
    </row>
    <row r="38" spans="1:9" ht="15.75">
      <c r="A38" s="100"/>
      <c r="B38" s="100"/>
      <c r="C38" s="101"/>
      <c r="D38" s="101"/>
      <c r="E38" s="44"/>
      <c r="F38" s="44"/>
      <c r="G38" s="44"/>
      <c r="H38" s="44"/>
      <c r="I38" s="44"/>
    </row>
    <row r="39" spans="1:9">
      <c r="A39" s="44"/>
      <c r="B39" s="44"/>
      <c r="C39" s="44"/>
      <c r="D39" s="44"/>
      <c r="E39" s="44"/>
      <c r="F39" s="44"/>
      <c r="G39" s="44"/>
      <c r="H39" s="44"/>
      <c r="I39" s="44"/>
    </row>
    <row r="40" spans="1:9">
      <c r="A40" s="44"/>
      <c r="B40" s="44"/>
      <c r="C40" s="44"/>
      <c r="D40" s="44"/>
      <c r="E40" s="44"/>
      <c r="F40" s="44"/>
      <c r="G40" s="44"/>
      <c r="H40" s="44"/>
      <c r="I40" s="44"/>
    </row>
    <row r="41" spans="1:9" ht="16.5" customHeight="1">
      <c r="A41" s="155"/>
      <c r="B41" s="155"/>
      <c r="C41" s="155"/>
      <c r="D41" s="98"/>
      <c r="E41" s="98"/>
      <c r="F41" s="155"/>
      <c r="G41" s="155"/>
      <c r="H41" s="155"/>
      <c r="I41" s="98"/>
    </row>
    <row r="42" spans="1:9" ht="15.75">
      <c r="A42" s="99"/>
      <c r="B42" s="99"/>
      <c r="C42" s="99"/>
      <c r="D42" s="99"/>
      <c r="E42" s="98"/>
      <c r="F42" s="99"/>
      <c r="G42" s="99"/>
      <c r="H42" s="99"/>
      <c r="I42" s="99"/>
    </row>
    <row r="43" spans="1:9" ht="15.75">
      <c r="A43" s="100"/>
      <c r="B43" s="100"/>
      <c r="C43" s="101"/>
      <c r="D43" s="101"/>
      <c r="E43" s="98"/>
      <c r="F43" s="100"/>
      <c r="G43" s="100"/>
      <c r="H43" s="101"/>
      <c r="I43" s="101"/>
    </row>
    <row r="44" spans="1:9" ht="15.75">
      <c r="A44" s="100"/>
      <c r="B44" s="100"/>
      <c r="C44" s="101"/>
      <c r="D44" s="101"/>
      <c r="E44" s="98"/>
      <c r="F44" s="100"/>
      <c r="G44" s="100"/>
      <c r="H44" s="101"/>
      <c r="I44" s="101"/>
    </row>
    <row r="45" spans="1:9" ht="15.75">
      <c r="A45" s="100"/>
      <c r="B45" s="100"/>
      <c r="C45" s="101"/>
      <c r="D45" s="101"/>
      <c r="E45" s="98"/>
      <c r="F45" s="100"/>
      <c r="G45" s="100"/>
      <c r="H45" s="101"/>
      <c r="I45" s="101"/>
    </row>
    <row r="46" spans="1:9" ht="15.75">
      <c r="A46" s="100"/>
      <c r="B46" s="100"/>
      <c r="C46" s="101"/>
      <c r="D46" s="101"/>
      <c r="E46" s="98"/>
      <c r="F46" s="100"/>
      <c r="G46" s="100"/>
      <c r="H46" s="101"/>
      <c r="I46" s="101"/>
    </row>
    <row r="47" spans="1:9" ht="15.75">
      <c r="A47" s="100"/>
      <c r="B47" s="100"/>
      <c r="C47" s="101"/>
      <c r="D47" s="101"/>
      <c r="E47" s="98"/>
      <c r="F47" s="100"/>
      <c r="G47" s="100"/>
      <c r="H47" s="101"/>
      <c r="I47" s="101"/>
    </row>
    <row r="48" spans="1:9" ht="15.75">
      <c r="A48" s="100"/>
      <c r="B48" s="100"/>
      <c r="C48" s="101"/>
      <c r="D48" s="101"/>
      <c r="E48" s="98"/>
      <c r="F48" s="100"/>
      <c r="G48" s="100"/>
      <c r="H48" s="101"/>
      <c r="I48" s="101"/>
    </row>
    <row r="49" spans="1:9" ht="15.75">
      <c r="A49" s="100"/>
      <c r="B49" s="100"/>
      <c r="C49" s="101"/>
      <c r="D49" s="101"/>
      <c r="E49" s="98"/>
      <c r="F49" s="100"/>
      <c r="G49" s="100"/>
      <c r="H49" s="101"/>
      <c r="I49" s="101"/>
    </row>
    <row r="50" spans="1:9" ht="15.75">
      <c r="A50" s="100"/>
      <c r="B50" s="100"/>
      <c r="C50" s="101"/>
      <c r="D50" s="101"/>
      <c r="E50" s="98"/>
      <c r="F50" s="100"/>
      <c r="G50" s="100"/>
      <c r="H50" s="101"/>
      <c r="I50" s="101"/>
    </row>
    <row r="51" spans="1:9" ht="15.75">
      <c r="A51" s="100"/>
      <c r="B51" s="100"/>
      <c r="C51" s="101"/>
      <c r="D51" s="101"/>
      <c r="E51" s="98"/>
      <c r="F51" s="100"/>
      <c r="G51" s="100"/>
      <c r="H51" s="101"/>
      <c r="I51" s="101"/>
    </row>
    <row r="52" spans="1:9" ht="15.75">
      <c r="A52" s="100"/>
      <c r="B52" s="100"/>
      <c r="C52" s="101"/>
      <c r="D52" s="101"/>
      <c r="E52" s="98"/>
      <c r="F52" s="100"/>
      <c r="G52" s="100"/>
      <c r="H52" s="101"/>
      <c r="I52" s="101"/>
    </row>
    <row r="53" spans="1:9" ht="15.75">
      <c r="A53" s="100"/>
      <c r="B53" s="100"/>
      <c r="C53" s="101"/>
      <c r="D53" s="101"/>
      <c r="E53" s="98"/>
      <c r="F53" s="100"/>
      <c r="G53" s="100"/>
      <c r="H53" s="101"/>
      <c r="I53" s="101"/>
    </row>
    <row r="54" spans="1:9" ht="15.75">
      <c r="A54" s="98"/>
      <c r="B54" s="98"/>
      <c r="C54" s="98"/>
      <c r="D54" s="98"/>
      <c r="E54" s="98"/>
      <c r="F54" s="98"/>
      <c r="G54" s="98"/>
      <c r="H54" s="98"/>
      <c r="I54" s="98"/>
    </row>
    <row r="55" spans="1:9" ht="15.75">
      <c r="A55" s="98"/>
      <c r="B55" s="98"/>
      <c r="C55" s="98"/>
      <c r="D55" s="98"/>
      <c r="E55" s="98"/>
      <c r="F55" s="98"/>
      <c r="G55" s="98"/>
      <c r="H55" s="98"/>
      <c r="I55" s="98"/>
    </row>
    <row r="56" spans="1:9" ht="16.5" customHeight="1">
      <c r="A56" s="155"/>
      <c r="B56" s="155"/>
      <c r="C56" s="155"/>
      <c r="D56" s="98"/>
      <c r="E56" s="98"/>
      <c r="F56" s="155"/>
      <c r="G56" s="155"/>
      <c r="H56" s="155"/>
      <c r="I56" s="98"/>
    </row>
    <row r="57" spans="1:9" ht="15.75">
      <c r="A57" s="99"/>
      <c r="B57" s="99"/>
      <c r="C57" s="99"/>
      <c r="D57" s="99"/>
      <c r="E57" s="98"/>
      <c r="F57" s="99"/>
      <c r="G57" s="99"/>
      <c r="H57" s="99"/>
      <c r="I57" s="99"/>
    </row>
    <row r="58" spans="1:9" ht="15.75">
      <c r="A58" s="100"/>
      <c r="B58" s="100"/>
      <c r="C58" s="101"/>
      <c r="D58" s="101"/>
      <c r="E58" s="98"/>
      <c r="F58" s="100"/>
      <c r="G58" s="100"/>
      <c r="H58" s="101"/>
      <c r="I58" s="101"/>
    </row>
    <row r="59" spans="1:9" ht="15.75">
      <c r="A59" s="100"/>
      <c r="B59" s="100"/>
      <c r="C59" s="101"/>
      <c r="D59" s="101"/>
      <c r="E59" s="98"/>
      <c r="F59" s="100"/>
      <c r="G59" s="100"/>
      <c r="H59" s="101"/>
      <c r="I59" s="101"/>
    </row>
    <row r="60" spans="1:9" ht="15.75">
      <c r="A60" s="100"/>
      <c r="B60" s="100"/>
      <c r="C60" s="101"/>
      <c r="D60" s="101"/>
      <c r="E60" s="98"/>
      <c r="F60" s="100"/>
      <c r="G60" s="100"/>
      <c r="H60" s="101"/>
      <c r="I60" s="101"/>
    </row>
    <row r="61" spans="1:9" ht="15.75">
      <c r="A61" s="100"/>
      <c r="B61" s="100"/>
      <c r="C61" s="101"/>
      <c r="D61" s="101"/>
      <c r="E61" s="98"/>
      <c r="F61" s="100"/>
      <c r="G61" s="100"/>
      <c r="H61" s="101"/>
      <c r="I61" s="101"/>
    </row>
    <row r="62" spans="1:9" ht="15.75">
      <c r="A62" s="98"/>
      <c r="B62" s="98"/>
      <c r="C62" s="98"/>
      <c r="D62" s="98"/>
      <c r="E62" s="98"/>
      <c r="F62" s="100"/>
      <c r="G62" s="100"/>
      <c r="H62" s="101"/>
      <c r="I62" s="101"/>
    </row>
    <row r="63" spans="1:9" ht="15.75">
      <c r="A63" s="98"/>
      <c r="B63" s="98"/>
      <c r="C63" s="98"/>
      <c r="D63" s="98"/>
      <c r="E63" s="98"/>
      <c r="F63" s="100"/>
      <c r="G63" s="100"/>
      <c r="H63" s="101"/>
      <c r="I63" s="101"/>
    </row>
    <row r="64" spans="1:9" ht="15.75">
      <c r="A64" s="98"/>
      <c r="B64" s="98"/>
      <c r="C64" s="98"/>
      <c r="D64" s="98"/>
      <c r="E64" s="98"/>
      <c r="F64" s="98"/>
      <c r="G64" s="98"/>
      <c r="H64" s="98"/>
      <c r="I64" s="98"/>
    </row>
    <row r="65" spans="1:9">
      <c r="A65" s="47"/>
      <c r="B65" s="69"/>
      <c r="C65" s="47"/>
      <c r="D65" s="47"/>
      <c r="E65" s="44"/>
      <c r="F65" s="44"/>
      <c r="G65" s="44"/>
      <c r="H65" s="44"/>
      <c r="I65" s="44"/>
    </row>
    <row r="66" spans="1:9">
      <c r="A66" s="47"/>
      <c r="B66" s="47"/>
      <c r="C66" s="47"/>
      <c r="D66" s="70"/>
      <c r="E66" s="44"/>
      <c r="F66" s="44"/>
      <c r="G66" s="44"/>
      <c r="H66" s="44"/>
      <c r="I66" s="44"/>
    </row>
    <row r="67" spans="1:9">
      <c r="A67" s="71"/>
      <c r="B67" s="47"/>
      <c r="C67" s="47"/>
      <c r="D67" s="70"/>
      <c r="E67" s="44"/>
      <c r="F67" s="44"/>
      <c r="G67" s="44"/>
      <c r="H67" s="44"/>
      <c r="I67" s="44"/>
    </row>
    <row r="68" spans="1:9">
      <c r="A68" s="67"/>
      <c r="B68" s="67"/>
      <c r="C68" s="67"/>
      <c r="D68" s="67"/>
      <c r="E68" s="44"/>
      <c r="F68" s="44"/>
      <c r="G68" s="44"/>
      <c r="H68" s="44"/>
      <c r="I68" s="44"/>
    </row>
    <row r="69" spans="1:9">
      <c r="A69" s="154"/>
      <c r="B69" s="154"/>
      <c r="C69" s="154"/>
      <c r="D69" s="67"/>
      <c r="E69" s="44"/>
      <c r="F69" s="44"/>
      <c r="G69" s="44"/>
      <c r="H69" s="44"/>
      <c r="I69" s="44"/>
    </row>
    <row r="70" spans="1:9">
      <c r="A70" s="68"/>
      <c r="B70" s="68"/>
      <c r="C70" s="68"/>
      <c r="D70" s="68"/>
      <c r="E70" s="44"/>
      <c r="F70" s="44"/>
      <c r="G70" s="44"/>
      <c r="H70" s="44"/>
      <c r="I70" s="44"/>
    </row>
    <row r="71" spans="1:9">
      <c r="A71" s="47"/>
      <c r="B71" s="47"/>
      <c r="C71" s="47"/>
      <c r="D71" s="47"/>
      <c r="E71" s="44"/>
      <c r="F71" s="44"/>
      <c r="G71" s="44"/>
      <c r="H71" s="44"/>
      <c r="I71" s="44"/>
    </row>
    <row r="72" spans="1:9">
      <c r="A72" s="47"/>
      <c r="B72" s="47"/>
      <c r="C72" s="47"/>
      <c r="D72" s="47"/>
      <c r="E72" s="44"/>
      <c r="F72" s="44"/>
      <c r="G72" s="44"/>
      <c r="H72" s="44"/>
      <c r="I72" s="44"/>
    </row>
    <row r="73" spans="1:9">
      <c r="A73" s="47"/>
      <c r="B73" s="47"/>
      <c r="C73" s="47"/>
      <c r="D73" s="47"/>
      <c r="E73" s="44"/>
      <c r="F73" s="44"/>
      <c r="G73" s="44"/>
      <c r="H73" s="44"/>
      <c r="I73" s="44"/>
    </row>
    <row r="74" spans="1:9">
      <c r="A74" s="71"/>
      <c r="B74" s="71"/>
      <c r="C74" s="47"/>
      <c r="D74" s="47"/>
      <c r="E74" s="44"/>
      <c r="F74" s="44"/>
      <c r="G74" s="44"/>
      <c r="H74" s="44"/>
      <c r="I74" s="44"/>
    </row>
    <row r="75" spans="1:9">
      <c r="A75" s="71"/>
      <c r="B75" s="71"/>
      <c r="C75" s="47"/>
      <c r="D75" s="47"/>
      <c r="E75" s="44"/>
      <c r="F75" s="44"/>
      <c r="G75" s="44"/>
      <c r="H75" s="44"/>
      <c r="I75" s="44"/>
    </row>
    <row r="76" spans="1:9">
      <c r="A76" s="71"/>
      <c r="B76" s="71"/>
      <c r="C76" s="47"/>
      <c r="D76" s="47"/>
      <c r="E76" s="44"/>
      <c r="F76" s="44"/>
      <c r="G76" s="44"/>
      <c r="H76" s="44"/>
      <c r="I76" s="44"/>
    </row>
    <row r="77" spans="1:9">
      <c r="A77" s="67"/>
      <c r="B77" s="67"/>
      <c r="C77" s="67"/>
      <c r="D77" s="67"/>
      <c r="E77" s="44"/>
      <c r="F77" s="44"/>
      <c r="G77" s="44"/>
      <c r="H77" s="44"/>
      <c r="I77" s="44"/>
    </row>
    <row r="78" spans="1:9">
      <c r="A78" s="154"/>
      <c r="B78" s="154"/>
      <c r="C78" s="154"/>
      <c r="D78" s="67"/>
      <c r="E78" s="44"/>
      <c r="F78" s="44"/>
      <c r="G78" s="44"/>
      <c r="H78" s="44"/>
      <c r="I78" s="44"/>
    </row>
    <row r="79" spans="1:9">
      <c r="A79" s="68"/>
      <c r="B79" s="68"/>
      <c r="C79" s="68"/>
      <c r="D79" s="68"/>
      <c r="E79" s="44"/>
      <c r="F79" s="44"/>
      <c r="G79" s="44"/>
      <c r="H79" s="44"/>
      <c r="I79" s="44"/>
    </row>
    <row r="80" spans="1:9">
      <c r="A80" s="47"/>
      <c r="B80" s="47"/>
      <c r="C80" s="47"/>
      <c r="D80" s="47"/>
      <c r="E80" s="44"/>
      <c r="F80" s="44"/>
      <c r="G80" s="44"/>
      <c r="H80" s="44"/>
      <c r="I80" s="44"/>
    </row>
    <row r="81" spans="1:9">
      <c r="A81" s="47"/>
      <c r="B81" s="47"/>
      <c r="C81" s="47"/>
      <c r="D81" s="47"/>
      <c r="E81" s="44"/>
      <c r="F81" s="44"/>
      <c r="G81" s="44"/>
      <c r="H81" s="44"/>
      <c r="I81" s="44"/>
    </row>
    <row r="82" spans="1:9">
      <c r="A82" s="47"/>
      <c r="B82" s="47"/>
      <c r="C82" s="47"/>
      <c r="D82" s="47"/>
      <c r="E82" s="44"/>
      <c r="F82" s="44"/>
      <c r="G82" s="44"/>
      <c r="H82" s="44"/>
      <c r="I82" s="44"/>
    </row>
    <row r="83" spans="1:9">
      <c r="A83" s="47"/>
      <c r="B83" s="71"/>
      <c r="C83" s="47"/>
      <c r="D83" s="47"/>
      <c r="E83" s="44"/>
      <c r="F83" s="44"/>
      <c r="G83" s="44"/>
      <c r="H83" s="44"/>
      <c r="I83" s="44"/>
    </row>
    <row r="84" spans="1:9">
      <c r="A84" s="47"/>
      <c r="B84" s="71"/>
      <c r="C84" s="47"/>
      <c r="D84" s="47"/>
      <c r="E84" s="44"/>
      <c r="F84" s="44"/>
      <c r="G84" s="44"/>
      <c r="H84" s="44"/>
      <c r="I84" s="44"/>
    </row>
    <row r="85" spans="1:9">
      <c r="A85" s="47"/>
      <c r="B85" s="71"/>
      <c r="C85" s="47"/>
      <c r="D85" s="47"/>
      <c r="E85" s="44"/>
      <c r="F85" s="44"/>
      <c r="G85" s="44"/>
      <c r="H85" s="44"/>
      <c r="I85" s="44"/>
    </row>
    <row r="86" spans="1:9">
      <c r="A86" s="47"/>
      <c r="B86" s="71"/>
      <c r="C86" s="47"/>
      <c r="D86" s="47"/>
      <c r="E86" s="44"/>
      <c r="F86" s="44"/>
      <c r="G86" s="44"/>
      <c r="H86" s="44"/>
      <c r="I86" s="44"/>
    </row>
    <row r="87" spans="1:9">
      <c r="A87" s="47"/>
      <c r="B87" s="71"/>
      <c r="C87" s="47"/>
      <c r="D87" s="47"/>
      <c r="E87" s="44"/>
      <c r="F87" s="44"/>
      <c r="G87" s="44"/>
      <c r="H87" s="44"/>
      <c r="I87" s="44"/>
    </row>
    <row r="88" spans="1:9">
      <c r="A88" s="47"/>
      <c r="B88" s="71"/>
      <c r="C88" s="47"/>
      <c r="D88" s="47"/>
      <c r="E88" s="44"/>
      <c r="F88" s="44"/>
      <c r="G88" s="44"/>
      <c r="H88" s="44"/>
      <c r="I88" s="44"/>
    </row>
    <row r="89" spans="1:9">
      <c r="A89" s="47"/>
      <c r="B89" s="71"/>
      <c r="C89" s="47"/>
      <c r="D89" s="47"/>
      <c r="E89" s="44"/>
      <c r="F89" s="44"/>
      <c r="G89" s="44"/>
      <c r="H89" s="44"/>
      <c r="I89" s="44"/>
    </row>
    <row r="90" spans="1:9">
      <c r="A90" s="47"/>
      <c r="B90" s="71"/>
      <c r="C90" s="47"/>
      <c r="D90" s="47"/>
      <c r="E90" s="44"/>
      <c r="F90" s="44"/>
      <c r="G90" s="44"/>
      <c r="H90" s="44"/>
      <c r="I90" s="44"/>
    </row>
    <row r="91" spans="1:9">
      <c r="A91" s="44"/>
      <c r="B91" s="44"/>
      <c r="C91" s="44"/>
      <c r="D91" s="44"/>
      <c r="E91" s="44"/>
      <c r="F91" s="44"/>
      <c r="G91" s="44"/>
      <c r="H91" s="44"/>
      <c r="I91" s="44"/>
    </row>
    <row r="92" spans="1:9">
      <c r="A92" s="44"/>
      <c r="B92" s="44"/>
      <c r="C92" s="44"/>
      <c r="D92" s="44"/>
      <c r="E92" s="44"/>
      <c r="F92" s="44"/>
      <c r="G92" s="44"/>
      <c r="H92" s="44"/>
      <c r="I92" s="44"/>
    </row>
    <row r="93" spans="1:9">
      <c r="A93" s="44"/>
      <c r="B93" s="44"/>
      <c r="C93" s="44"/>
      <c r="D93" s="44"/>
      <c r="E93" s="44"/>
      <c r="F93" s="44"/>
      <c r="G93" s="44"/>
      <c r="H93" s="44"/>
      <c r="I93" s="44"/>
    </row>
    <row r="94" spans="1:9">
      <c r="A94" s="44"/>
      <c r="B94" s="44"/>
      <c r="C94" s="44"/>
      <c r="D94" s="44"/>
      <c r="E94" s="44"/>
      <c r="F94" s="44"/>
      <c r="G94" s="44"/>
      <c r="H94" s="44"/>
      <c r="I94" s="44"/>
    </row>
    <row r="95" spans="1:9">
      <c r="A95" s="44"/>
      <c r="B95" s="44"/>
      <c r="C95" s="44"/>
      <c r="D95" s="44"/>
      <c r="E95" s="44"/>
      <c r="F95" s="44"/>
      <c r="G95" s="44"/>
      <c r="H95" s="44"/>
      <c r="I95" s="44"/>
    </row>
    <row r="96" spans="1:9">
      <c r="A96" s="44"/>
      <c r="B96" s="44"/>
      <c r="C96" s="44"/>
      <c r="D96" s="44"/>
      <c r="E96" s="44"/>
      <c r="F96" s="44"/>
      <c r="G96" s="44"/>
      <c r="H96" s="44"/>
      <c r="I96" s="44"/>
    </row>
    <row r="97" spans="1:9">
      <c r="A97" s="44"/>
      <c r="B97" s="44"/>
      <c r="C97" s="44"/>
      <c r="D97" s="44"/>
      <c r="E97" s="44"/>
      <c r="F97" s="44"/>
      <c r="G97" s="44"/>
      <c r="H97" s="44"/>
      <c r="I97" s="44"/>
    </row>
    <row r="98" spans="1:9">
      <c r="A98" s="44"/>
      <c r="B98" s="44"/>
      <c r="C98" s="44"/>
      <c r="D98" s="44"/>
      <c r="E98" s="44"/>
      <c r="F98" s="44"/>
      <c r="G98" s="44"/>
      <c r="H98" s="44"/>
      <c r="I98" s="44"/>
    </row>
    <row r="99" spans="1:9">
      <c r="A99" s="44"/>
      <c r="B99" s="44"/>
      <c r="C99" s="44"/>
      <c r="D99" s="44"/>
      <c r="E99" s="44"/>
      <c r="F99" s="44"/>
      <c r="G99" s="44"/>
      <c r="H99" s="44"/>
      <c r="I99" s="44"/>
    </row>
    <row r="100" spans="1:9">
      <c r="A100" s="44"/>
      <c r="B100" s="44"/>
      <c r="C100" s="44"/>
      <c r="D100" s="44"/>
      <c r="E100" s="44"/>
      <c r="F100" s="44"/>
      <c r="G100" s="44"/>
      <c r="H100" s="44"/>
      <c r="I100" s="44"/>
    </row>
    <row r="101" spans="1:9">
      <c r="A101" s="44"/>
      <c r="B101" s="44"/>
      <c r="C101" s="44"/>
      <c r="D101" s="44"/>
      <c r="E101" s="44"/>
      <c r="F101" s="44"/>
      <c r="G101" s="44"/>
      <c r="H101" s="44"/>
      <c r="I101" s="44"/>
    </row>
    <row r="102" spans="1:9">
      <c r="A102" s="44"/>
      <c r="B102" s="44"/>
      <c r="C102" s="44"/>
      <c r="D102" s="44"/>
      <c r="E102" s="44"/>
      <c r="F102" s="44"/>
      <c r="G102" s="44"/>
      <c r="H102" s="44"/>
      <c r="I102" s="44"/>
    </row>
    <row r="103" spans="1:9">
      <c r="A103" s="44"/>
      <c r="B103" s="44"/>
      <c r="C103" s="44"/>
      <c r="D103" s="44"/>
      <c r="E103" s="44"/>
      <c r="F103" s="44"/>
      <c r="G103" s="44"/>
      <c r="H103" s="44"/>
      <c r="I103" s="44"/>
    </row>
    <row r="104" spans="1:9">
      <c r="A104" s="44"/>
      <c r="B104" s="44"/>
      <c r="C104" s="44"/>
      <c r="D104" s="44"/>
      <c r="E104" s="44"/>
      <c r="F104" s="44"/>
      <c r="G104" s="44"/>
      <c r="H104" s="44"/>
      <c r="I104" s="44"/>
    </row>
    <row r="105" spans="1:9">
      <c r="A105" s="44"/>
      <c r="B105" s="44"/>
      <c r="C105" s="44"/>
      <c r="D105" s="44"/>
      <c r="E105" s="44"/>
      <c r="F105" s="44"/>
      <c r="G105" s="44"/>
      <c r="H105" s="44"/>
      <c r="I105" s="44"/>
    </row>
    <row r="106" spans="1:9">
      <c r="A106" s="44"/>
      <c r="B106" s="44"/>
      <c r="C106" s="44"/>
      <c r="D106" s="44"/>
      <c r="E106" s="44"/>
      <c r="F106" s="44"/>
      <c r="G106" s="44"/>
      <c r="H106" s="44"/>
      <c r="I106" s="44"/>
    </row>
    <row r="107" spans="1:9">
      <c r="A107" s="44"/>
      <c r="B107" s="44"/>
      <c r="C107" s="44"/>
      <c r="D107" s="44"/>
      <c r="E107" s="44"/>
      <c r="F107" s="44"/>
      <c r="G107" s="44"/>
      <c r="H107" s="44"/>
      <c r="I107" s="44"/>
    </row>
    <row r="108" spans="1:9">
      <c r="A108" s="44"/>
      <c r="B108" s="44"/>
      <c r="C108" s="44"/>
      <c r="D108" s="44"/>
      <c r="E108" s="44"/>
      <c r="F108" s="44"/>
      <c r="G108" s="44"/>
      <c r="H108" s="44"/>
      <c r="I108" s="44"/>
    </row>
    <row r="109" spans="1:9">
      <c r="A109" s="44"/>
      <c r="B109" s="44"/>
      <c r="C109" s="44"/>
      <c r="D109" s="44"/>
      <c r="E109" s="44"/>
      <c r="F109" s="44"/>
      <c r="G109" s="44"/>
      <c r="H109" s="44"/>
      <c r="I109" s="44"/>
    </row>
    <row r="110" spans="1:9">
      <c r="A110" s="44"/>
      <c r="B110" s="44"/>
      <c r="C110" s="44"/>
      <c r="D110" s="44"/>
      <c r="E110" s="44"/>
      <c r="F110" s="44"/>
      <c r="G110" s="44"/>
      <c r="H110" s="44"/>
      <c r="I110" s="44"/>
    </row>
    <row r="111" spans="1:9">
      <c r="A111" s="44"/>
      <c r="B111" s="44"/>
      <c r="C111" s="44"/>
      <c r="D111" s="44"/>
      <c r="E111" s="44"/>
      <c r="F111" s="44"/>
      <c r="G111" s="44"/>
      <c r="H111" s="44"/>
      <c r="I111" s="44"/>
    </row>
    <row r="112" spans="1:9">
      <c r="A112" s="44"/>
      <c r="B112" s="44"/>
      <c r="C112" s="44"/>
      <c r="D112" s="44"/>
      <c r="E112" s="44"/>
      <c r="F112" s="44"/>
      <c r="G112" s="44"/>
      <c r="H112" s="44"/>
      <c r="I112" s="44"/>
    </row>
    <row r="113" spans="1:9">
      <c r="A113" s="44"/>
      <c r="B113" s="44"/>
      <c r="C113" s="44"/>
      <c r="D113" s="44"/>
      <c r="E113" s="44"/>
      <c r="F113" s="44"/>
      <c r="G113" s="44"/>
      <c r="H113" s="44"/>
      <c r="I113" s="44"/>
    </row>
    <row r="114" spans="1:9">
      <c r="A114" s="44"/>
      <c r="B114" s="44"/>
      <c r="C114" s="44"/>
      <c r="D114" s="44"/>
      <c r="E114" s="44"/>
      <c r="F114" s="44"/>
      <c r="G114" s="44"/>
      <c r="H114" s="44"/>
      <c r="I114" s="44"/>
    </row>
    <row r="115" spans="1:9">
      <c r="A115" s="44"/>
      <c r="B115" s="44"/>
      <c r="C115" s="44"/>
      <c r="D115" s="44"/>
      <c r="E115" s="44"/>
      <c r="F115" s="44"/>
      <c r="G115" s="44"/>
      <c r="H115" s="44"/>
      <c r="I115" s="44"/>
    </row>
    <row r="116" spans="1:9">
      <c r="A116" s="44"/>
      <c r="B116" s="44"/>
      <c r="C116" s="44"/>
      <c r="D116" s="44"/>
      <c r="E116" s="44"/>
      <c r="F116" s="44"/>
      <c r="G116" s="44"/>
      <c r="H116" s="44"/>
      <c r="I116" s="44"/>
    </row>
    <row r="117" spans="1:9">
      <c r="A117" s="44"/>
      <c r="B117" s="44"/>
      <c r="C117" s="44"/>
      <c r="D117" s="44"/>
      <c r="E117" s="44"/>
      <c r="F117" s="44"/>
      <c r="G117" s="44"/>
      <c r="H117" s="44"/>
      <c r="I117" s="44"/>
    </row>
    <row r="118" spans="1:9">
      <c r="A118" s="44"/>
      <c r="B118" s="44"/>
      <c r="C118" s="44"/>
      <c r="D118" s="44"/>
      <c r="E118" s="44"/>
      <c r="F118" s="44"/>
      <c r="G118" s="44"/>
      <c r="H118" s="44"/>
      <c r="I118" s="44"/>
    </row>
    <row r="119" spans="1:9">
      <c r="A119" s="44"/>
      <c r="B119" s="44"/>
      <c r="C119" s="44"/>
      <c r="D119" s="44"/>
      <c r="E119" s="44"/>
      <c r="F119" s="44"/>
      <c r="G119" s="44"/>
      <c r="H119" s="44"/>
      <c r="I119" s="44"/>
    </row>
    <row r="120" spans="1:9">
      <c r="A120" s="44"/>
      <c r="B120" s="44"/>
      <c r="C120" s="44"/>
      <c r="D120" s="44"/>
      <c r="E120" s="44"/>
      <c r="F120" s="44"/>
      <c r="G120" s="44"/>
      <c r="H120" s="44"/>
      <c r="I120" s="44"/>
    </row>
    <row r="121" spans="1:9">
      <c r="A121" s="44"/>
      <c r="B121" s="44"/>
      <c r="C121" s="44"/>
      <c r="D121" s="44"/>
      <c r="E121" s="44"/>
      <c r="F121" s="44"/>
      <c r="G121" s="44"/>
      <c r="H121" s="44"/>
      <c r="I121" s="44"/>
    </row>
    <row r="122" spans="1:9">
      <c r="A122" s="44"/>
      <c r="B122" s="44"/>
      <c r="C122" s="44"/>
      <c r="D122" s="44"/>
      <c r="E122" s="44"/>
      <c r="F122" s="44"/>
      <c r="G122" s="44"/>
      <c r="H122" s="44"/>
      <c r="I122" s="44"/>
    </row>
    <row r="123" spans="1:9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>
      <c r="A131" s="44"/>
      <c r="B131" s="44"/>
      <c r="C131" s="44"/>
      <c r="D131" s="44"/>
      <c r="E131" s="44"/>
      <c r="F131" s="44"/>
      <c r="G131" s="44"/>
      <c r="H131" s="44"/>
      <c r="I131" s="44"/>
    </row>
    <row r="132" spans="1:9">
      <c r="A132" s="44"/>
      <c r="B132" s="44"/>
      <c r="C132" s="44"/>
      <c r="D132" s="44"/>
      <c r="E132" s="44"/>
      <c r="F132" s="44"/>
      <c r="G132" s="44"/>
      <c r="H132" s="44"/>
      <c r="I132" s="44"/>
    </row>
    <row r="133" spans="1:9">
      <c r="A133" s="44"/>
      <c r="B133" s="44"/>
      <c r="C133" s="44"/>
      <c r="D133" s="44"/>
      <c r="E133" s="44"/>
      <c r="F133" s="44"/>
      <c r="G133" s="44"/>
      <c r="H133" s="44"/>
      <c r="I133" s="44"/>
    </row>
    <row r="134" spans="1:9">
      <c r="A134" s="44"/>
      <c r="B134" s="44"/>
      <c r="C134" s="44"/>
      <c r="D134" s="44"/>
      <c r="E134" s="44"/>
      <c r="F134" s="44"/>
      <c r="G134" s="44"/>
      <c r="H134" s="44"/>
      <c r="I134" s="44"/>
    </row>
    <row r="135" spans="1:9">
      <c r="A135" s="44"/>
      <c r="B135" s="44"/>
      <c r="C135" s="44"/>
      <c r="D135" s="44"/>
      <c r="E135" s="44"/>
      <c r="F135" s="44"/>
      <c r="G135" s="44"/>
      <c r="H135" s="44"/>
      <c r="I135" s="44"/>
    </row>
    <row r="136" spans="1:9">
      <c r="A136" s="44"/>
      <c r="B136" s="44"/>
      <c r="C136" s="44"/>
      <c r="D136" s="44"/>
      <c r="E136" s="44"/>
      <c r="F136" s="44"/>
      <c r="G136" s="44"/>
      <c r="H136" s="44"/>
      <c r="I136" s="44"/>
    </row>
    <row r="137" spans="1:9">
      <c r="A137" s="44"/>
      <c r="B137" s="44"/>
      <c r="C137" s="44"/>
      <c r="D137" s="44"/>
      <c r="E137" s="44"/>
      <c r="F137" s="44"/>
      <c r="G137" s="44"/>
      <c r="H137" s="44"/>
      <c r="I137" s="44"/>
    </row>
    <row r="138" spans="1:9">
      <c r="A138" s="44"/>
      <c r="B138" s="44"/>
      <c r="C138" s="44"/>
      <c r="D138" s="44"/>
      <c r="E138" s="44"/>
      <c r="F138" s="44"/>
      <c r="G138" s="44"/>
      <c r="H138" s="44"/>
      <c r="I138" s="44"/>
    </row>
    <row r="139" spans="1:9">
      <c r="A139" s="44"/>
      <c r="B139" s="44"/>
      <c r="C139" s="44"/>
      <c r="D139" s="44"/>
      <c r="E139" s="44"/>
      <c r="F139" s="44"/>
      <c r="G139" s="44"/>
      <c r="H139" s="44"/>
      <c r="I139" s="44"/>
    </row>
    <row r="140" spans="1:9">
      <c r="A140" s="44"/>
      <c r="B140" s="44"/>
      <c r="C140" s="44"/>
      <c r="D140" s="44"/>
      <c r="E140" s="44"/>
      <c r="F140" s="44"/>
      <c r="G140" s="44"/>
      <c r="H140" s="44"/>
      <c r="I140" s="44"/>
    </row>
    <row r="141" spans="1:9">
      <c r="A141" s="44"/>
      <c r="B141" s="44"/>
      <c r="C141" s="44"/>
      <c r="D141" s="44"/>
      <c r="E141" s="44"/>
      <c r="F141" s="44"/>
      <c r="G141" s="44"/>
      <c r="H141" s="44"/>
      <c r="I141" s="44"/>
    </row>
    <row r="142" spans="1:9">
      <c r="A142" s="44"/>
      <c r="B142" s="44"/>
      <c r="C142" s="44"/>
      <c r="D142" s="44"/>
      <c r="E142" s="44"/>
      <c r="F142" s="44"/>
      <c r="G142" s="44"/>
      <c r="H142" s="44"/>
      <c r="I142" s="44"/>
    </row>
    <row r="143" spans="1:9">
      <c r="A143" s="44"/>
      <c r="B143" s="44"/>
      <c r="C143" s="44"/>
      <c r="D143" s="44"/>
      <c r="E143" s="44"/>
      <c r="F143" s="44"/>
      <c r="G143" s="44"/>
      <c r="H143" s="44"/>
      <c r="I143" s="44"/>
    </row>
    <row r="144" spans="1:9">
      <c r="A144" s="44"/>
      <c r="B144" s="44"/>
      <c r="C144" s="44"/>
      <c r="D144" s="44"/>
      <c r="E144" s="44"/>
      <c r="F144" s="44"/>
      <c r="G144" s="44"/>
      <c r="H144" s="44"/>
      <c r="I144" s="44"/>
    </row>
    <row r="145" spans="1:9">
      <c r="A145" s="44"/>
      <c r="B145" s="44"/>
      <c r="C145" s="44"/>
      <c r="D145" s="44"/>
      <c r="E145" s="44"/>
      <c r="F145" s="44"/>
      <c r="G145" s="44"/>
      <c r="H145" s="44"/>
      <c r="I145" s="44"/>
    </row>
    <row r="146" spans="1:9">
      <c r="A146" s="44"/>
      <c r="B146" s="44"/>
      <c r="C146" s="44"/>
      <c r="D146" s="44"/>
      <c r="E146" s="44"/>
      <c r="F146" s="44"/>
      <c r="G146" s="44"/>
      <c r="H146" s="44"/>
      <c r="I146" s="44"/>
    </row>
    <row r="147" spans="1:9">
      <c r="A147" s="44"/>
      <c r="B147" s="44"/>
      <c r="C147" s="44"/>
      <c r="D147" s="44"/>
      <c r="E147" s="44"/>
      <c r="F147" s="44"/>
      <c r="G147" s="44"/>
      <c r="H147" s="44"/>
      <c r="I147" s="44"/>
    </row>
    <row r="148" spans="1:9">
      <c r="A148" s="44"/>
      <c r="B148" s="44"/>
      <c r="C148" s="44"/>
      <c r="D148" s="44"/>
      <c r="E148" s="44"/>
      <c r="F148" s="44"/>
      <c r="G148" s="44"/>
      <c r="H148" s="44"/>
      <c r="I148" s="44"/>
    </row>
    <row r="149" spans="1:9">
      <c r="A149" s="44"/>
      <c r="B149" s="44"/>
      <c r="C149" s="44"/>
      <c r="D149" s="44"/>
      <c r="E149" s="44"/>
      <c r="F149" s="44"/>
      <c r="G149" s="44"/>
      <c r="H149" s="44"/>
      <c r="I149" s="44"/>
    </row>
    <row r="150" spans="1:9">
      <c r="A150" s="44"/>
      <c r="B150" s="44"/>
      <c r="C150" s="44"/>
      <c r="D150" s="44"/>
      <c r="E150" s="44"/>
      <c r="F150" s="44"/>
      <c r="G150" s="44"/>
      <c r="H150" s="44"/>
      <c r="I150" s="44"/>
    </row>
    <row r="151" spans="1:9">
      <c r="A151" s="44"/>
      <c r="B151" s="44"/>
      <c r="C151" s="44"/>
      <c r="D151" s="44"/>
      <c r="E151" s="44"/>
      <c r="F151" s="44"/>
      <c r="G151" s="44"/>
      <c r="H151" s="44"/>
      <c r="I151" s="44"/>
    </row>
    <row r="152" spans="1:9">
      <c r="A152" s="44"/>
      <c r="B152" s="44"/>
      <c r="C152" s="44"/>
      <c r="D152" s="44"/>
      <c r="E152" s="44"/>
      <c r="F152" s="44"/>
      <c r="G152" s="44"/>
      <c r="H152" s="44"/>
      <c r="I152" s="44"/>
    </row>
    <row r="153" spans="1:9">
      <c r="A153" s="44"/>
      <c r="B153" s="44"/>
      <c r="C153" s="44"/>
      <c r="D153" s="44"/>
      <c r="E153" s="44"/>
      <c r="F153" s="44"/>
      <c r="G153" s="44"/>
      <c r="H153" s="44"/>
      <c r="I153" s="44"/>
    </row>
    <row r="154" spans="1:9">
      <c r="A154" s="44"/>
      <c r="B154" s="44"/>
      <c r="C154" s="44"/>
      <c r="D154" s="44"/>
      <c r="E154" s="44"/>
      <c r="F154" s="44"/>
      <c r="G154" s="44"/>
      <c r="H154" s="44"/>
      <c r="I154" s="44"/>
    </row>
    <row r="155" spans="1:9">
      <c r="A155" s="44"/>
      <c r="B155" s="44"/>
      <c r="C155" s="44"/>
      <c r="D155" s="44"/>
      <c r="E155" s="44"/>
      <c r="F155" s="44"/>
      <c r="G155" s="44"/>
      <c r="H155" s="44"/>
      <c r="I155" s="44"/>
    </row>
    <row r="156" spans="1:9">
      <c r="A156" s="44"/>
      <c r="B156" s="44"/>
      <c r="C156" s="44"/>
      <c r="D156" s="44"/>
      <c r="E156" s="44"/>
    </row>
    <row r="157" spans="1:9">
      <c r="A157" s="44"/>
      <c r="B157" s="44"/>
      <c r="C157" s="44"/>
      <c r="D157" s="44"/>
      <c r="E157" s="44"/>
    </row>
    <row r="158" spans="1:9">
      <c r="A158" s="44"/>
      <c r="B158" s="44"/>
      <c r="C158" s="44"/>
      <c r="D158" s="44"/>
      <c r="E158" s="44"/>
    </row>
    <row r="159" spans="1:9">
      <c r="A159" s="44"/>
      <c r="B159" s="44"/>
      <c r="C159" s="44"/>
      <c r="D159" s="44"/>
      <c r="E159" s="44"/>
    </row>
    <row r="160" spans="1:9">
      <c r="A160" s="44"/>
      <c r="B160" s="44"/>
      <c r="C160" s="44"/>
      <c r="D160" s="44"/>
      <c r="E160" s="44"/>
    </row>
    <row r="161" spans="1:5">
      <c r="A161" s="44"/>
      <c r="B161" s="44"/>
      <c r="C161" s="44"/>
      <c r="D161" s="44"/>
      <c r="E161" s="44"/>
    </row>
    <row r="162" spans="1:5">
      <c r="A162" s="44"/>
      <c r="B162" s="44"/>
      <c r="C162" s="44"/>
      <c r="D162" s="44"/>
      <c r="E162" s="44"/>
    </row>
    <row r="163" spans="1:5">
      <c r="A163" s="44"/>
      <c r="B163" s="44"/>
      <c r="C163" s="44"/>
      <c r="D163" s="44"/>
      <c r="E163" s="44"/>
    </row>
    <row r="164" spans="1:5">
      <c r="A164" s="44"/>
      <c r="B164" s="44"/>
      <c r="C164" s="44"/>
      <c r="D164" s="44"/>
      <c r="E164" s="44"/>
    </row>
    <row r="165" spans="1:5">
      <c r="A165" s="44"/>
      <c r="B165" s="44"/>
      <c r="C165" s="44"/>
      <c r="D165" s="44"/>
      <c r="E165" s="44"/>
    </row>
    <row r="166" spans="1:5">
      <c r="A166" s="44"/>
      <c r="B166" s="44"/>
      <c r="C166" s="44"/>
      <c r="D166" s="44"/>
      <c r="E166" s="44"/>
    </row>
    <row r="167" spans="1:5">
      <c r="A167" s="44"/>
      <c r="B167" s="44"/>
      <c r="C167" s="44"/>
      <c r="D167" s="44"/>
      <c r="E167" s="44"/>
    </row>
    <row r="168" spans="1:5">
      <c r="A168" s="44"/>
      <c r="B168" s="44"/>
      <c r="C168" s="44"/>
      <c r="D168" s="44"/>
      <c r="E168" s="44"/>
    </row>
    <row r="169" spans="1:5">
      <c r="A169" s="44"/>
      <c r="B169" s="44"/>
      <c r="C169" s="44"/>
      <c r="D169" s="44"/>
      <c r="E169" s="44"/>
    </row>
    <row r="170" spans="1:5">
      <c r="A170" s="44"/>
      <c r="B170" s="44"/>
      <c r="C170" s="44"/>
      <c r="D170" s="44"/>
      <c r="E170" s="44"/>
    </row>
    <row r="171" spans="1:5">
      <c r="A171" s="44"/>
      <c r="B171" s="44"/>
      <c r="C171" s="44"/>
      <c r="D171" s="44"/>
      <c r="E171" s="44"/>
    </row>
    <row r="172" spans="1:5">
      <c r="A172" s="44"/>
      <c r="B172" s="44"/>
      <c r="C172" s="44"/>
      <c r="D172" s="44"/>
      <c r="E172" s="44"/>
    </row>
    <row r="173" spans="1:5">
      <c r="A173" s="44"/>
      <c r="B173" s="44"/>
      <c r="C173" s="44"/>
      <c r="D173" s="44"/>
      <c r="E173" s="44"/>
    </row>
    <row r="174" spans="1:5">
      <c r="A174" s="44"/>
      <c r="B174" s="44"/>
      <c r="C174" s="44"/>
      <c r="D174" s="44"/>
      <c r="E174" s="44"/>
    </row>
    <row r="175" spans="1:5">
      <c r="A175" s="44"/>
      <c r="B175" s="44"/>
      <c r="C175" s="44"/>
      <c r="D175" s="44"/>
      <c r="E175" s="44"/>
    </row>
    <row r="176" spans="1:5">
      <c r="A176" s="44"/>
      <c r="B176" s="44"/>
      <c r="C176" s="44"/>
      <c r="D176" s="44"/>
      <c r="E176" s="44"/>
    </row>
    <row r="177" spans="1:5">
      <c r="A177" s="44"/>
      <c r="B177" s="44"/>
      <c r="C177" s="44"/>
      <c r="D177" s="44"/>
      <c r="E177" s="44"/>
    </row>
    <row r="178" spans="1:5">
      <c r="A178" s="44"/>
      <c r="B178" s="44"/>
      <c r="C178" s="44"/>
      <c r="D178" s="44"/>
      <c r="E178" s="44"/>
    </row>
    <row r="179" spans="1:5">
      <c r="A179" s="44"/>
      <c r="B179" s="44"/>
      <c r="C179" s="44"/>
      <c r="D179" s="44"/>
      <c r="E179" s="44"/>
    </row>
    <row r="180" spans="1:5">
      <c r="A180" s="44"/>
      <c r="B180" s="44"/>
      <c r="C180" s="44"/>
      <c r="D180" s="44"/>
      <c r="E180" s="44"/>
    </row>
    <row r="181" spans="1:5">
      <c r="A181" s="44"/>
      <c r="B181" s="44"/>
      <c r="C181" s="44"/>
      <c r="D181" s="44"/>
      <c r="E181" s="44"/>
    </row>
    <row r="182" spans="1:5">
      <c r="A182" s="44"/>
      <c r="B182" s="44"/>
      <c r="C182" s="44"/>
      <c r="D182" s="44"/>
      <c r="E182" s="44"/>
    </row>
    <row r="183" spans="1:5">
      <c r="A183" s="44"/>
      <c r="B183" s="44"/>
      <c r="C183" s="44"/>
      <c r="D183" s="44"/>
      <c r="E183" s="44"/>
    </row>
    <row r="184" spans="1:5">
      <c r="A184" s="44"/>
      <c r="B184" s="44"/>
      <c r="C184" s="44"/>
      <c r="D184" s="44"/>
      <c r="E184" s="44"/>
    </row>
    <row r="185" spans="1:5">
      <c r="A185" s="44"/>
      <c r="B185" s="44"/>
      <c r="C185" s="44"/>
      <c r="D185" s="44"/>
      <c r="E185" s="44"/>
    </row>
    <row r="186" spans="1:5">
      <c r="A186" s="44"/>
      <c r="B186" s="44"/>
      <c r="C186" s="44"/>
      <c r="D186" s="44"/>
      <c r="E186" s="44"/>
    </row>
    <row r="187" spans="1:5">
      <c r="A187" s="44"/>
      <c r="B187" s="44"/>
      <c r="C187" s="44"/>
      <c r="D187" s="44"/>
      <c r="E187" s="44"/>
    </row>
    <row r="188" spans="1:5">
      <c r="A188" s="44"/>
      <c r="B188" s="44"/>
      <c r="C188" s="44"/>
      <c r="D188" s="44"/>
      <c r="E188" s="44"/>
    </row>
    <row r="189" spans="1:5">
      <c r="A189" s="44"/>
      <c r="B189" s="44"/>
      <c r="C189" s="44"/>
      <c r="D189" s="44"/>
      <c r="E189" s="44"/>
    </row>
    <row r="190" spans="1:5">
      <c r="A190" s="44"/>
      <c r="B190" s="44"/>
      <c r="C190" s="44"/>
      <c r="D190" s="44"/>
      <c r="E190" s="44"/>
    </row>
    <row r="191" spans="1:5">
      <c r="A191" s="44"/>
      <c r="B191" s="44"/>
      <c r="C191" s="44"/>
      <c r="D191" s="44"/>
      <c r="E191" s="44"/>
    </row>
    <row r="192" spans="1:5">
      <c r="A192" s="44"/>
      <c r="B192" s="44"/>
      <c r="C192" s="44"/>
      <c r="D192" s="44"/>
      <c r="E192" s="44"/>
    </row>
    <row r="193" spans="1:5">
      <c r="A193" s="44"/>
      <c r="B193" s="44"/>
      <c r="C193" s="44"/>
      <c r="D193" s="44"/>
      <c r="E193" s="44"/>
    </row>
    <row r="194" spans="1:5">
      <c r="A194" s="44"/>
      <c r="B194" s="44"/>
      <c r="C194" s="44"/>
      <c r="D194" s="44"/>
      <c r="E194" s="44"/>
    </row>
    <row r="195" spans="1:5">
      <c r="A195" s="44"/>
      <c r="B195" s="44"/>
      <c r="C195" s="44"/>
      <c r="D195" s="44"/>
      <c r="E195" s="44"/>
    </row>
    <row r="196" spans="1:5">
      <c r="A196" s="44"/>
      <c r="B196" s="44"/>
      <c r="C196" s="44"/>
      <c r="D196" s="44"/>
      <c r="E196" s="44"/>
    </row>
    <row r="197" spans="1:5">
      <c r="A197" s="44"/>
      <c r="B197" s="44"/>
      <c r="C197" s="44"/>
      <c r="D197" s="44"/>
      <c r="E197" s="44"/>
    </row>
    <row r="198" spans="1:5">
      <c r="A198" s="44"/>
      <c r="B198" s="44"/>
      <c r="C198" s="44"/>
      <c r="D198" s="44"/>
      <c r="E198" s="44"/>
    </row>
    <row r="199" spans="1:5">
      <c r="A199" s="44"/>
      <c r="B199" s="44"/>
      <c r="C199" s="44"/>
      <c r="D199" s="44"/>
      <c r="E199" s="44"/>
    </row>
    <row r="200" spans="1:5">
      <c r="A200" s="44"/>
      <c r="B200" s="44"/>
      <c r="C200" s="44"/>
      <c r="D200" s="44"/>
      <c r="E200" s="44"/>
    </row>
    <row r="201" spans="1:5">
      <c r="A201" s="44"/>
      <c r="B201" s="44"/>
      <c r="C201" s="44"/>
      <c r="D201" s="44"/>
      <c r="E201" s="44"/>
    </row>
    <row r="202" spans="1:5">
      <c r="A202" s="44"/>
      <c r="B202" s="44"/>
      <c r="C202" s="44"/>
      <c r="D202" s="44"/>
      <c r="E202" s="44"/>
    </row>
    <row r="203" spans="1:5">
      <c r="A203" s="44"/>
      <c r="B203" s="44"/>
      <c r="C203" s="44"/>
      <c r="D203" s="44"/>
      <c r="E203" s="44"/>
    </row>
    <row r="204" spans="1:5">
      <c r="A204" s="44"/>
      <c r="B204" s="44"/>
      <c r="C204" s="44"/>
      <c r="D204" s="44"/>
      <c r="E204" s="44"/>
    </row>
  </sheetData>
  <mergeCells count="12">
    <mergeCell ref="A2:G2"/>
    <mergeCell ref="F4:G4"/>
    <mergeCell ref="A78:C78"/>
    <mergeCell ref="A16:C16"/>
    <mergeCell ref="F16:H16"/>
    <mergeCell ref="A26:C26"/>
    <mergeCell ref="F26:H26"/>
    <mergeCell ref="A41:C41"/>
    <mergeCell ref="F41:H41"/>
    <mergeCell ref="A56:C56"/>
    <mergeCell ref="F56:H56"/>
    <mergeCell ref="A69:C69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R34"/>
  <sheetViews>
    <sheetView showGridLines="0" topLeftCell="A7" workbookViewId="0">
      <selection activeCell="A9" sqref="A9:D14"/>
    </sheetView>
  </sheetViews>
  <sheetFormatPr baseColWidth="10" defaultRowHeight="15"/>
  <cols>
    <col min="1" max="1" width="21.140625" customWidth="1"/>
    <col min="2" max="2" width="15" customWidth="1"/>
    <col min="3" max="3" width="14.140625" customWidth="1"/>
    <col min="4" max="4" width="14.5703125" bestFit="1" customWidth="1"/>
    <col min="7" max="7" width="18" customWidth="1"/>
    <col min="9" max="12" width="11.5703125" bestFit="1" customWidth="1"/>
    <col min="13" max="13" width="12" bestFit="1" customWidth="1"/>
    <col min="14" max="18" width="11.5703125" bestFit="1" customWidth="1"/>
  </cols>
  <sheetData>
    <row r="4" spans="1:18">
      <c r="A4" s="117" t="s">
        <v>180</v>
      </c>
      <c r="D4" s="130"/>
    </row>
    <row r="5" spans="1:18">
      <c r="A5" t="s">
        <v>185</v>
      </c>
      <c r="B5" s="43">
        <v>80000</v>
      </c>
    </row>
    <row r="8" spans="1:18">
      <c r="A8" s="52" t="s">
        <v>179</v>
      </c>
      <c r="B8" s="53"/>
      <c r="C8" s="53"/>
      <c r="D8" s="53"/>
    </row>
    <row r="9" spans="1:18" ht="26.25">
      <c r="A9" s="132" t="s">
        <v>168</v>
      </c>
      <c r="B9" s="132" t="s">
        <v>169</v>
      </c>
      <c r="C9" s="132" t="s">
        <v>170</v>
      </c>
      <c r="D9" s="115" t="s">
        <v>47</v>
      </c>
      <c r="E9" s="46"/>
      <c r="G9" t="s">
        <v>212</v>
      </c>
    </row>
    <row r="10" spans="1:18">
      <c r="A10" s="133" t="s">
        <v>171</v>
      </c>
      <c r="B10" s="134" t="s">
        <v>172</v>
      </c>
      <c r="C10" s="135">
        <v>504.41</v>
      </c>
      <c r="D10" s="135">
        <v>100882</v>
      </c>
      <c r="E10" s="46"/>
      <c r="G10" s="1"/>
      <c r="H10" s="1">
        <v>0</v>
      </c>
      <c r="I10" s="1">
        <v>1</v>
      </c>
      <c r="J10" s="1">
        <v>2</v>
      </c>
      <c r="K10" s="1">
        <v>3</v>
      </c>
      <c r="L10" s="1">
        <v>4</v>
      </c>
      <c r="M10" s="1">
        <v>5</v>
      </c>
      <c r="N10" s="1">
        <v>6</v>
      </c>
      <c r="O10" s="1">
        <v>7</v>
      </c>
      <c r="P10" s="1">
        <v>8</v>
      </c>
      <c r="Q10" s="1">
        <v>9</v>
      </c>
      <c r="R10" s="1">
        <v>10</v>
      </c>
    </row>
    <row r="11" spans="1:18">
      <c r="A11" s="133" t="s">
        <v>173</v>
      </c>
      <c r="B11" s="134" t="s">
        <v>174</v>
      </c>
      <c r="C11" s="135" t="s">
        <v>175</v>
      </c>
      <c r="D11" s="135">
        <v>1057.2</v>
      </c>
      <c r="E11" s="46"/>
      <c r="G11" s="1" t="s">
        <v>182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66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</row>
    <row r="12" spans="1:18">
      <c r="A12" s="133" t="s">
        <v>176</v>
      </c>
      <c r="B12" s="134" t="s">
        <v>177</v>
      </c>
      <c r="C12" s="135">
        <v>196.3</v>
      </c>
      <c r="D12" s="135">
        <v>6871.55</v>
      </c>
      <c r="E12" s="46"/>
      <c r="G12" s="1" t="s">
        <v>183</v>
      </c>
      <c r="H12" s="25">
        <v>0</v>
      </c>
      <c r="I12" s="25">
        <v>0</v>
      </c>
      <c r="J12" s="25">
        <f>+$D$26</f>
        <v>2500</v>
      </c>
      <c r="K12" s="25">
        <v>0</v>
      </c>
      <c r="L12" s="25">
        <f>+J12</f>
        <v>2500</v>
      </c>
      <c r="M12" s="25">
        <v>0</v>
      </c>
      <c r="N12" s="25">
        <f>+L12</f>
        <v>2500</v>
      </c>
      <c r="O12" s="25">
        <v>0</v>
      </c>
      <c r="P12" s="25">
        <f>+N12</f>
        <v>2500</v>
      </c>
      <c r="Q12" s="25">
        <v>0</v>
      </c>
      <c r="R12" s="25">
        <v>0</v>
      </c>
    </row>
    <row r="13" spans="1:18">
      <c r="A13" s="133" t="s">
        <v>178</v>
      </c>
      <c r="B13" s="134" t="s">
        <v>177</v>
      </c>
      <c r="C13" s="135">
        <v>196.3</v>
      </c>
      <c r="D13" s="135">
        <v>6871.55</v>
      </c>
      <c r="E13" s="46"/>
      <c r="G13" s="119" t="s">
        <v>64</v>
      </c>
      <c r="H13" s="120">
        <f>+H11+H12</f>
        <v>0</v>
      </c>
      <c r="I13" s="120">
        <f t="shared" ref="I13:R13" si="0">+I11+I12</f>
        <v>0</v>
      </c>
      <c r="J13" s="120">
        <f t="shared" si="0"/>
        <v>2500</v>
      </c>
      <c r="K13" s="120">
        <f t="shared" si="0"/>
        <v>0</v>
      </c>
      <c r="L13" s="120">
        <f t="shared" si="0"/>
        <v>2500</v>
      </c>
      <c r="M13" s="120">
        <f t="shared" si="0"/>
        <v>0</v>
      </c>
      <c r="N13" s="120">
        <f t="shared" si="0"/>
        <v>2500</v>
      </c>
      <c r="O13" s="120">
        <f t="shared" si="0"/>
        <v>0</v>
      </c>
      <c r="P13" s="120">
        <f t="shared" si="0"/>
        <v>2500</v>
      </c>
      <c r="Q13" s="120">
        <f t="shared" si="0"/>
        <v>0</v>
      </c>
      <c r="R13" s="120">
        <f t="shared" si="0"/>
        <v>0</v>
      </c>
    </row>
    <row r="14" spans="1:18">
      <c r="A14" s="136"/>
      <c r="B14" s="134"/>
      <c r="C14" s="137" t="s">
        <v>47</v>
      </c>
      <c r="D14" s="138">
        <v>115682.3</v>
      </c>
      <c r="E14" s="46"/>
    </row>
    <row r="15" spans="1:18">
      <c r="A15" s="131"/>
      <c r="B15" s="71"/>
      <c r="C15" s="71"/>
      <c r="D15" s="71"/>
      <c r="E15" s="46"/>
    </row>
    <row r="16" spans="1:18">
      <c r="A16" s="51" t="s">
        <v>184</v>
      </c>
      <c r="B16" s="48"/>
      <c r="C16" s="48"/>
      <c r="D16" s="48"/>
    </row>
    <row r="17" spans="1:4">
      <c r="A17" s="118"/>
      <c r="B17" s="116" t="s">
        <v>82</v>
      </c>
      <c r="C17" s="116" t="s">
        <v>83</v>
      </c>
      <c r="D17" s="116" t="s">
        <v>47</v>
      </c>
    </row>
    <row r="18" spans="1:4">
      <c r="A18" s="85" t="s">
        <v>67</v>
      </c>
      <c r="B18" s="86">
        <v>3</v>
      </c>
      <c r="C18" s="87">
        <v>500</v>
      </c>
      <c r="D18" s="87">
        <v>1500</v>
      </c>
    </row>
    <row r="19" spans="1:4">
      <c r="A19" s="85" t="s">
        <v>181</v>
      </c>
      <c r="B19" s="86">
        <v>1</v>
      </c>
      <c r="C19" s="87">
        <v>80</v>
      </c>
      <c r="D19" s="87">
        <f>C19</f>
        <v>80</v>
      </c>
    </row>
    <row r="20" spans="1:4">
      <c r="A20" s="85" t="s">
        <v>68</v>
      </c>
      <c r="B20" s="86">
        <v>3</v>
      </c>
      <c r="C20" s="87">
        <v>2000</v>
      </c>
      <c r="D20" s="87">
        <v>6000</v>
      </c>
    </row>
    <row r="21" spans="1:4">
      <c r="A21" s="85" t="s">
        <v>69</v>
      </c>
      <c r="B21" s="86" t="s">
        <v>84</v>
      </c>
      <c r="C21" s="87" t="s">
        <v>84</v>
      </c>
      <c r="D21" s="87">
        <v>10000</v>
      </c>
    </row>
    <row r="22" spans="1:4">
      <c r="A22" s="91" t="s">
        <v>65</v>
      </c>
      <c r="B22" s="79">
        <v>8</v>
      </c>
      <c r="C22" s="88">
        <v>30000</v>
      </c>
      <c r="D22" s="88">
        <f>+B22*C22</f>
        <v>240000</v>
      </c>
    </row>
    <row r="23" spans="1:4">
      <c r="A23" s="91" t="s">
        <v>66</v>
      </c>
      <c r="B23" s="79">
        <v>8</v>
      </c>
      <c r="C23" s="88">
        <v>210</v>
      </c>
      <c r="D23" s="88">
        <v>1680</v>
      </c>
    </row>
    <row r="24" spans="1:4">
      <c r="A24" s="85" t="s">
        <v>70</v>
      </c>
      <c r="B24" s="86"/>
      <c r="C24" s="87"/>
      <c r="D24" s="87"/>
    </row>
    <row r="25" spans="1:4">
      <c r="A25" s="85" t="s">
        <v>182</v>
      </c>
      <c r="B25" s="86">
        <v>64</v>
      </c>
      <c r="C25" s="87">
        <v>50</v>
      </c>
      <c r="D25" s="87">
        <f>C25*B25</f>
        <v>3200</v>
      </c>
    </row>
    <row r="26" spans="1:4">
      <c r="A26" s="85" t="s">
        <v>183</v>
      </c>
      <c r="B26" s="86">
        <v>100</v>
      </c>
      <c r="C26" s="87">
        <v>25</v>
      </c>
      <c r="D26" s="87">
        <f>C26*B26</f>
        <v>2500</v>
      </c>
    </row>
    <row r="27" spans="1:4">
      <c r="A27" s="89"/>
      <c r="B27" s="76" t="s">
        <v>47</v>
      </c>
      <c r="C27" s="88"/>
      <c r="D27" s="90">
        <f>SUM(D18:D26)</f>
        <v>264960</v>
      </c>
    </row>
    <row r="31" spans="1:4">
      <c r="A31" s="54" t="s">
        <v>180</v>
      </c>
      <c r="B31" s="55">
        <f>+B5</f>
        <v>80000</v>
      </c>
    </row>
    <row r="32" spans="1:4">
      <c r="A32" s="54" t="s">
        <v>179</v>
      </c>
      <c r="B32" s="56">
        <f>+D14</f>
        <v>115682.3</v>
      </c>
    </row>
    <row r="33" spans="1:2">
      <c r="A33" s="57" t="s">
        <v>184</v>
      </c>
      <c r="B33" s="56">
        <f>+D27</f>
        <v>264960</v>
      </c>
    </row>
    <row r="34" spans="1:2" ht="15.75">
      <c r="A34" s="20" t="s">
        <v>186</v>
      </c>
      <c r="B34" s="121">
        <f>+SUM(B31:B33)</f>
        <v>460642.3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N126"/>
  <sheetViews>
    <sheetView showGridLines="0" workbookViewId="0">
      <selection activeCell="D12" sqref="D12"/>
    </sheetView>
  </sheetViews>
  <sheetFormatPr baseColWidth="10" defaultRowHeight="15"/>
  <cols>
    <col min="1" max="1" width="21.7109375" customWidth="1"/>
    <col min="2" max="2" width="16.42578125" customWidth="1"/>
    <col min="8" max="8" width="13.42578125" customWidth="1"/>
    <col min="9" max="9" width="15.7109375" customWidth="1"/>
    <col min="10" max="10" width="17" customWidth="1"/>
    <col min="14" max="14" width="13" bestFit="1" customWidth="1"/>
  </cols>
  <sheetData>
    <row r="3" spans="1:14">
      <c r="A3" s="156" t="s">
        <v>187</v>
      </c>
      <c r="B3" s="156"/>
    </row>
    <row r="4" spans="1:14" ht="18.75" customHeight="1">
      <c r="A4" s="1" t="s">
        <v>188</v>
      </c>
      <c r="B4" s="25">
        <f>+'Inversión Inicial'!B34</f>
        <v>460642.3</v>
      </c>
    </row>
    <row r="5" spans="1:14" ht="27" customHeight="1">
      <c r="A5" s="1" t="s">
        <v>189</v>
      </c>
      <c r="B5" s="25">
        <f>+'CAPITAL DE TRABAJO'!B5</f>
        <v>10336.633233333334</v>
      </c>
      <c r="D5" s="64" t="s">
        <v>193</v>
      </c>
      <c r="E5" s="64" t="s">
        <v>197</v>
      </c>
      <c r="F5" s="64" t="s">
        <v>198</v>
      </c>
      <c r="G5" s="64" t="s">
        <v>199</v>
      </c>
      <c r="H5" s="64" t="s">
        <v>200</v>
      </c>
      <c r="I5" s="65" t="s">
        <v>201</v>
      </c>
      <c r="J5" s="64" t="s">
        <v>202</v>
      </c>
    </row>
    <row r="6" spans="1:14">
      <c r="A6" s="1" t="s">
        <v>190</v>
      </c>
      <c r="B6" s="25">
        <f>+SUM(B4+B5)</f>
        <v>470978.93323333334</v>
      </c>
      <c r="D6">
        <v>0</v>
      </c>
      <c r="H6" s="37">
        <f>+B8</f>
        <v>329685.25326333335</v>
      </c>
      <c r="N6" s="37">
        <f>+B8</f>
        <v>329685.25326333335</v>
      </c>
    </row>
    <row r="7" spans="1:14">
      <c r="A7" s="1" t="s">
        <v>192</v>
      </c>
      <c r="B7" s="25">
        <f>+B6-B8</f>
        <v>141293.67997</v>
      </c>
      <c r="D7">
        <v>1</v>
      </c>
      <c r="E7" s="59">
        <f>+$B$12</f>
        <v>4445.195711616062</v>
      </c>
      <c r="F7" s="19">
        <f>+H6*$B$11</f>
        <v>2879.6667768700572</v>
      </c>
      <c r="G7" s="19">
        <f>+E7-F7</f>
        <v>1565.5289347460048</v>
      </c>
      <c r="H7" s="37">
        <f>+H6-G7</f>
        <v>328119.72432858736</v>
      </c>
      <c r="K7">
        <v>1</v>
      </c>
    </row>
    <row r="8" spans="1:14">
      <c r="A8" s="1" t="s">
        <v>191</v>
      </c>
      <c r="B8" s="25">
        <f>+B6*0.7</f>
        <v>329685.25326333335</v>
      </c>
      <c r="D8">
        <v>2</v>
      </c>
      <c r="E8" s="59">
        <f t="shared" ref="E8:E71" si="0">+$B$12</f>
        <v>4445.195711616062</v>
      </c>
      <c r="F8" s="19">
        <f t="shared" ref="F8:F71" si="1">+H7*$B$11</f>
        <v>2865.992517506033</v>
      </c>
      <c r="G8" s="19">
        <f t="shared" ref="G8:G71" si="2">+E8-F8</f>
        <v>1579.203194110029</v>
      </c>
      <c r="H8" s="37">
        <f t="shared" ref="H8:H71" si="3">+H7-G8</f>
        <v>326540.52113447734</v>
      </c>
      <c r="K8">
        <v>2</v>
      </c>
    </row>
    <row r="9" spans="1:14">
      <c r="A9" s="1" t="s">
        <v>193</v>
      </c>
      <c r="B9" s="1">
        <v>120</v>
      </c>
      <c r="D9">
        <v>3</v>
      </c>
      <c r="E9" s="59">
        <f t="shared" si="0"/>
        <v>4445.195711616062</v>
      </c>
      <c r="F9" s="19">
        <f t="shared" si="1"/>
        <v>2852.1988190406264</v>
      </c>
      <c r="G9" s="19">
        <f t="shared" si="2"/>
        <v>1592.9968925754356</v>
      </c>
      <c r="H9" s="37">
        <f t="shared" si="3"/>
        <v>324947.52424190193</v>
      </c>
      <c r="K9">
        <v>3</v>
      </c>
    </row>
    <row r="10" spans="1:14">
      <c r="A10" s="1" t="s">
        <v>195</v>
      </c>
      <c r="B10" s="27">
        <v>0.11</v>
      </c>
      <c r="D10">
        <v>4</v>
      </c>
      <c r="E10" s="59">
        <f t="shared" si="0"/>
        <v>4445.195711616062</v>
      </c>
      <c r="F10" s="19">
        <f t="shared" si="1"/>
        <v>2838.2846382217999</v>
      </c>
      <c r="G10" s="19">
        <f t="shared" si="2"/>
        <v>1606.9110733942621</v>
      </c>
      <c r="H10" s="37">
        <f t="shared" si="3"/>
        <v>323340.6131685077</v>
      </c>
      <c r="K10">
        <v>4</v>
      </c>
    </row>
    <row r="11" spans="1:14">
      <c r="A11" s="1" t="s">
        <v>196</v>
      </c>
      <c r="B11" s="122">
        <f>(1+B10)^(1/12)-1</f>
        <v>8.7345938235519061E-3</v>
      </c>
      <c r="D11">
        <v>5</v>
      </c>
      <c r="E11" s="59">
        <f t="shared" si="0"/>
        <v>4445.195711616062</v>
      </c>
      <c r="F11" s="19">
        <f t="shared" si="1"/>
        <v>2824.2489226851335</v>
      </c>
      <c r="G11" s="19">
        <f t="shared" si="2"/>
        <v>1620.9467889309285</v>
      </c>
      <c r="H11" s="37">
        <f t="shared" si="3"/>
        <v>321719.66637957678</v>
      </c>
      <c r="K11">
        <v>5</v>
      </c>
    </row>
    <row r="12" spans="1:14">
      <c r="A12" s="1" t="s">
        <v>194</v>
      </c>
      <c r="B12" s="93">
        <f>+PMT(B11,B9,-B8)</f>
        <v>4445.195711616062</v>
      </c>
      <c r="D12">
        <v>6</v>
      </c>
      <c r="E12" s="59">
        <f t="shared" si="0"/>
        <v>4445.195711616062</v>
      </c>
      <c r="F12" s="19">
        <f t="shared" si="1"/>
        <v>2810.0906108742311</v>
      </c>
      <c r="G12" s="19">
        <f t="shared" si="2"/>
        <v>1635.1051007418309</v>
      </c>
      <c r="H12" s="37">
        <f t="shared" si="3"/>
        <v>320084.56127883494</v>
      </c>
      <c r="K12">
        <v>6</v>
      </c>
    </row>
    <row r="13" spans="1:14">
      <c r="A13" s="1" t="s">
        <v>203</v>
      </c>
      <c r="B13" s="123">
        <f>+B12*12</f>
        <v>53342.34853939274</v>
      </c>
      <c r="D13">
        <v>7</v>
      </c>
      <c r="E13" s="59">
        <f t="shared" si="0"/>
        <v>4445.195711616062</v>
      </c>
      <c r="F13" s="19">
        <f t="shared" si="1"/>
        <v>2795.8086319604331</v>
      </c>
      <c r="G13" s="19">
        <f t="shared" si="2"/>
        <v>1649.3870796556289</v>
      </c>
      <c r="H13" s="37">
        <f t="shared" si="3"/>
        <v>318435.17419917934</v>
      </c>
      <c r="K13">
        <v>7</v>
      </c>
    </row>
    <row r="14" spans="1:14">
      <c r="D14">
        <v>8</v>
      </c>
      <c r="E14" s="59">
        <f t="shared" si="0"/>
        <v>4445.195711616062</v>
      </c>
      <c r="F14" s="19">
        <f t="shared" si="1"/>
        <v>2781.401905761827</v>
      </c>
      <c r="G14" s="19">
        <f t="shared" si="2"/>
        <v>1663.793805854235</v>
      </c>
      <c r="H14" s="37">
        <f t="shared" si="3"/>
        <v>316771.38039332512</v>
      </c>
      <c r="K14">
        <v>8</v>
      </c>
    </row>
    <row r="15" spans="1:14">
      <c r="B15" s="59"/>
      <c r="D15">
        <v>9</v>
      </c>
      <c r="E15" s="59">
        <f t="shared" si="0"/>
        <v>4445.195711616062</v>
      </c>
      <c r="F15" s="19">
        <f t="shared" si="1"/>
        <v>2766.8693426615491</v>
      </c>
      <c r="G15" s="19">
        <f t="shared" si="2"/>
        <v>1678.3263689545129</v>
      </c>
      <c r="H15" s="37">
        <f t="shared" si="3"/>
        <v>315093.05402437062</v>
      </c>
      <c r="K15">
        <v>9</v>
      </c>
    </row>
    <row r="16" spans="1:14">
      <c r="B16" s="37"/>
      <c r="D16">
        <v>10</v>
      </c>
      <c r="E16" s="59">
        <f t="shared" si="0"/>
        <v>4445.195711616062</v>
      </c>
      <c r="F16" s="19">
        <f t="shared" si="1"/>
        <v>2752.2098435253747</v>
      </c>
      <c r="G16" s="19">
        <f t="shared" si="2"/>
        <v>1692.9858680906873</v>
      </c>
      <c r="H16" s="37">
        <f t="shared" si="3"/>
        <v>313400.06815627991</v>
      </c>
      <c r="K16">
        <v>10</v>
      </c>
    </row>
    <row r="17" spans="2:10">
      <c r="B17" s="37"/>
      <c r="D17">
        <v>11</v>
      </c>
      <c r="E17" s="59">
        <f t="shared" si="0"/>
        <v>4445.195711616062</v>
      </c>
      <c r="F17" s="19">
        <f t="shared" si="1"/>
        <v>2737.422299618589</v>
      </c>
      <c r="G17" s="19">
        <f t="shared" si="2"/>
        <v>1707.773411997473</v>
      </c>
      <c r="H17" s="37">
        <f t="shared" si="3"/>
        <v>311692.29474428244</v>
      </c>
    </row>
    <row r="18" spans="2:10">
      <c r="D18" s="60">
        <v>12</v>
      </c>
      <c r="E18" s="61">
        <f t="shared" si="0"/>
        <v>4445.195711616062</v>
      </c>
      <c r="F18" s="62">
        <f t="shared" si="1"/>
        <v>2722.5055925221295</v>
      </c>
      <c r="G18" s="62">
        <f t="shared" si="2"/>
        <v>1722.6901190939325</v>
      </c>
      <c r="H18" s="63">
        <f t="shared" si="3"/>
        <v>309969.60462518851</v>
      </c>
      <c r="I18" s="37">
        <f>+SUM(F7:F18)</f>
        <v>33626.69990124779</v>
      </c>
      <c r="J18" s="37">
        <f>+SUM(G7:G18)</f>
        <v>19715.648638144961</v>
      </c>
    </row>
    <row r="19" spans="2:10">
      <c r="D19">
        <v>13</v>
      </c>
      <c r="E19" s="59">
        <f t="shared" si="0"/>
        <v>4445.195711616062</v>
      </c>
      <c r="F19" s="19">
        <f t="shared" si="1"/>
        <v>2707.4585940479978</v>
      </c>
      <c r="G19" s="19">
        <f t="shared" si="2"/>
        <v>1737.7371175680641</v>
      </c>
      <c r="H19" s="37">
        <f t="shared" si="3"/>
        <v>308231.86750762042</v>
      </c>
      <c r="I19" s="37"/>
      <c r="J19" s="37"/>
    </row>
    <row r="20" spans="2:10">
      <c r="D20">
        <v>14</v>
      </c>
      <c r="E20" s="59">
        <f t="shared" si="0"/>
        <v>4445.195711616062</v>
      </c>
      <c r="F20" s="19">
        <f t="shared" si="1"/>
        <v>2692.2801661539306</v>
      </c>
      <c r="G20" s="19">
        <f t="shared" si="2"/>
        <v>1752.9155454621314</v>
      </c>
      <c r="H20" s="37">
        <f t="shared" si="3"/>
        <v>306478.95196215832</v>
      </c>
      <c r="I20" s="37"/>
      <c r="J20" s="37"/>
    </row>
    <row r="21" spans="2:10">
      <c r="D21">
        <v>15</v>
      </c>
      <c r="E21" s="59">
        <f t="shared" si="0"/>
        <v>4445.195711616062</v>
      </c>
      <c r="F21" s="19">
        <f t="shared" si="1"/>
        <v>2676.9691608573294</v>
      </c>
      <c r="G21" s="19">
        <f t="shared" si="2"/>
        <v>1768.2265507587326</v>
      </c>
      <c r="H21" s="37">
        <f t="shared" si="3"/>
        <v>304710.72541139956</v>
      </c>
      <c r="I21" s="37"/>
      <c r="J21" s="37"/>
    </row>
    <row r="22" spans="2:10">
      <c r="D22">
        <v>16</v>
      </c>
      <c r="E22" s="59">
        <f t="shared" si="0"/>
        <v>4445.195711616062</v>
      </c>
      <c r="F22" s="19">
        <f t="shared" si="1"/>
        <v>2661.5244201484315</v>
      </c>
      <c r="G22" s="19">
        <f t="shared" si="2"/>
        <v>1783.6712914676305</v>
      </c>
      <c r="H22" s="37">
        <f t="shared" si="3"/>
        <v>302927.05411993194</v>
      </c>
      <c r="I22" s="37"/>
      <c r="J22" s="37"/>
    </row>
    <row r="23" spans="2:10">
      <c r="D23">
        <v>17</v>
      </c>
      <c r="E23" s="59">
        <f t="shared" si="0"/>
        <v>4445.195711616062</v>
      </c>
      <c r="F23" s="19">
        <f t="shared" si="1"/>
        <v>2645.9447759027316</v>
      </c>
      <c r="G23" s="19">
        <f t="shared" si="2"/>
        <v>1799.2509357133304</v>
      </c>
      <c r="H23" s="37">
        <f t="shared" si="3"/>
        <v>301127.80318421859</v>
      </c>
      <c r="I23" s="37"/>
      <c r="J23" s="37"/>
    </row>
    <row r="24" spans="2:10">
      <c r="D24">
        <v>18</v>
      </c>
      <c r="E24" s="59">
        <f t="shared" si="0"/>
        <v>4445.195711616062</v>
      </c>
      <c r="F24" s="19">
        <f t="shared" si="1"/>
        <v>2630.2290497926297</v>
      </c>
      <c r="G24" s="19">
        <f t="shared" si="2"/>
        <v>1814.9666618234323</v>
      </c>
      <c r="H24" s="37">
        <f t="shared" si="3"/>
        <v>299312.83652239514</v>
      </c>
      <c r="I24" s="37"/>
      <c r="J24" s="37"/>
    </row>
    <row r="25" spans="2:10">
      <c r="D25">
        <v>19</v>
      </c>
      <c r="E25" s="59">
        <f t="shared" si="0"/>
        <v>4445.195711616062</v>
      </c>
      <c r="F25" s="19">
        <f t="shared" si="1"/>
        <v>2614.3760531983139</v>
      </c>
      <c r="G25" s="19">
        <f t="shared" si="2"/>
        <v>1830.8196584177481</v>
      </c>
      <c r="H25" s="37">
        <f t="shared" si="3"/>
        <v>297482.01686397742</v>
      </c>
      <c r="I25" s="37"/>
      <c r="J25" s="37"/>
    </row>
    <row r="26" spans="2:10">
      <c r="D26">
        <v>20</v>
      </c>
      <c r="E26" s="59">
        <f t="shared" si="0"/>
        <v>4445.195711616062</v>
      </c>
      <c r="F26" s="19">
        <f t="shared" si="1"/>
        <v>2598.384587117861</v>
      </c>
      <c r="G26" s="19">
        <f t="shared" si="2"/>
        <v>1846.811124498201</v>
      </c>
      <c r="H26" s="37">
        <f t="shared" si="3"/>
        <v>295635.20573947922</v>
      </c>
      <c r="I26" s="37"/>
      <c r="J26" s="37"/>
    </row>
    <row r="27" spans="2:10">
      <c r="D27">
        <v>21</v>
      </c>
      <c r="E27" s="59">
        <f t="shared" si="0"/>
        <v>4445.195711616062</v>
      </c>
      <c r="F27" s="19">
        <f t="shared" si="1"/>
        <v>2582.2534420765523</v>
      </c>
      <c r="G27" s="19">
        <f t="shared" si="2"/>
        <v>1862.9422695395097</v>
      </c>
      <c r="H27" s="37">
        <f t="shared" si="3"/>
        <v>293772.2634699397</v>
      </c>
      <c r="I27" s="37"/>
      <c r="J27" s="37"/>
    </row>
    <row r="28" spans="2:10">
      <c r="D28">
        <v>22</v>
      </c>
      <c r="E28" s="59">
        <f t="shared" si="0"/>
        <v>4445.195711616062</v>
      </c>
      <c r="F28" s="19">
        <f t="shared" si="1"/>
        <v>2565.9813980353983</v>
      </c>
      <c r="G28" s="19">
        <f t="shared" si="2"/>
        <v>1879.2143135806637</v>
      </c>
      <c r="H28" s="37">
        <f t="shared" si="3"/>
        <v>291893.04915635905</v>
      </c>
      <c r="I28" s="37"/>
      <c r="J28" s="37"/>
    </row>
    <row r="29" spans="2:10">
      <c r="D29">
        <v>23</v>
      </c>
      <c r="E29" s="59">
        <f t="shared" si="0"/>
        <v>4445.195711616062</v>
      </c>
      <c r="F29" s="19">
        <f t="shared" si="1"/>
        <v>2549.5672242988667</v>
      </c>
      <c r="G29" s="19">
        <f t="shared" si="2"/>
        <v>1895.6284873171953</v>
      </c>
      <c r="H29" s="37">
        <f t="shared" si="3"/>
        <v>289997.42066904187</v>
      </c>
      <c r="I29" s="37"/>
      <c r="J29" s="37"/>
    </row>
    <row r="30" spans="2:10">
      <c r="D30" s="60">
        <v>24</v>
      </c>
      <c r="E30" s="61">
        <f t="shared" si="0"/>
        <v>4445.195711616062</v>
      </c>
      <c r="F30" s="62">
        <f t="shared" si="1"/>
        <v>2533.009679421797</v>
      </c>
      <c r="G30" s="62">
        <f t="shared" si="2"/>
        <v>1912.186032194265</v>
      </c>
      <c r="H30" s="63">
        <f t="shared" si="3"/>
        <v>288085.23463684763</v>
      </c>
      <c r="I30" s="37">
        <f>+SUM(F19:F30)</f>
        <v>31457.978551051838</v>
      </c>
      <c r="J30" s="37">
        <f t="shared" ref="J30:J78" si="4">+SUM(G19:G30)</f>
        <v>21884.369988340906</v>
      </c>
    </row>
    <row r="31" spans="2:10">
      <c r="D31">
        <v>25</v>
      </c>
      <c r="E31" s="59">
        <f t="shared" si="0"/>
        <v>4445.195711616062</v>
      </c>
      <c r="F31" s="19">
        <f t="shared" si="1"/>
        <v>2516.3075111155108</v>
      </c>
      <c r="G31" s="19">
        <f t="shared" si="2"/>
        <v>1928.8882005005512</v>
      </c>
      <c r="H31" s="37">
        <f t="shared" si="3"/>
        <v>286156.34643634706</v>
      </c>
      <c r="I31" s="37"/>
      <c r="J31" s="37"/>
    </row>
    <row r="32" spans="2:10">
      <c r="D32">
        <v>26</v>
      </c>
      <c r="E32" s="59">
        <f t="shared" si="0"/>
        <v>4445.195711616062</v>
      </c>
      <c r="F32" s="19">
        <f t="shared" si="1"/>
        <v>2499.4594561530967</v>
      </c>
      <c r="G32" s="19">
        <f t="shared" si="2"/>
        <v>1945.7362554629653</v>
      </c>
      <c r="H32" s="37">
        <f t="shared" si="3"/>
        <v>284210.61018088408</v>
      </c>
      <c r="I32" s="37"/>
      <c r="J32" s="37"/>
    </row>
    <row r="33" spans="4:10">
      <c r="D33">
        <v>27</v>
      </c>
      <c r="E33" s="59">
        <f t="shared" si="0"/>
        <v>4445.195711616062</v>
      </c>
      <c r="F33" s="19">
        <f t="shared" si="1"/>
        <v>2482.4642402738687</v>
      </c>
      <c r="G33" s="19">
        <f t="shared" si="2"/>
        <v>1962.7314713421933</v>
      </c>
      <c r="H33" s="37">
        <f t="shared" si="3"/>
        <v>282247.87870954187</v>
      </c>
      <c r="I33" s="37"/>
      <c r="J33" s="37"/>
    </row>
    <row r="34" spans="4:10">
      <c r="D34">
        <v>28</v>
      </c>
      <c r="E34" s="59">
        <f t="shared" si="0"/>
        <v>4445.195711616062</v>
      </c>
      <c r="F34" s="19">
        <f t="shared" si="1"/>
        <v>2465.3205780869921</v>
      </c>
      <c r="G34" s="19">
        <f t="shared" si="2"/>
        <v>1979.8751335290699</v>
      </c>
      <c r="H34" s="37">
        <f t="shared" si="3"/>
        <v>280268.00357601279</v>
      </c>
      <c r="I34" s="37"/>
      <c r="J34" s="37"/>
    </row>
    <row r="35" spans="4:10">
      <c r="D35">
        <v>29</v>
      </c>
      <c r="E35" s="59">
        <f t="shared" si="0"/>
        <v>4445.195711616062</v>
      </c>
      <c r="F35" s="19">
        <f t="shared" si="1"/>
        <v>2448.0271729742649</v>
      </c>
      <c r="G35" s="19">
        <f t="shared" si="2"/>
        <v>1997.1685386417971</v>
      </c>
      <c r="H35" s="37">
        <f t="shared" si="3"/>
        <v>278270.83503737097</v>
      </c>
      <c r="I35" s="37"/>
      <c r="J35" s="37"/>
    </row>
    <row r="36" spans="4:10">
      <c r="D36">
        <v>30</v>
      </c>
      <c r="E36" s="59">
        <f t="shared" si="0"/>
        <v>4445.195711616062</v>
      </c>
      <c r="F36" s="19">
        <f t="shared" si="1"/>
        <v>2430.5827169920517</v>
      </c>
      <c r="G36" s="19">
        <f t="shared" si="2"/>
        <v>2014.6129946240103</v>
      </c>
      <c r="H36" s="37">
        <f t="shared" si="3"/>
        <v>276256.22204274696</v>
      </c>
      <c r="I36" s="37"/>
      <c r="J36" s="37"/>
    </row>
    <row r="37" spans="4:10">
      <c r="D37">
        <v>31</v>
      </c>
      <c r="E37" s="59">
        <f t="shared" si="0"/>
        <v>4445.195711616062</v>
      </c>
      <c r="F37" s="19">
        <f t="shared" si="1"/>
        <v>2412.9858907723615</v>
      </c>
      <c r="G37" s="19">
        <f t="shared" si="2"/>
        <v>2032.2098208437005</v>
      </c>
      <c r="H37" s="37">
        <f t="shared" si="3"/>
        <v>274224.01222190325</v>
      </c>
      <c r="I37" s="37"/>
      <c r="J37" s="37"/>
    </row>
    <row r="38" spans="4:10">
      <c r="D38">
        <v>32</v>
      </c>
      <c r="E38" s="59">
        <f t="shared" si="0"/>
        <v>4445.195711616062</v>
      </c>
      <c r="F38" s="19">
        <f t="shared" si="1"/>
        <v>2395.2353634230585</v>
      </c>
      <c r="G38" s="19">
        <f t="shared" si="2"/>
        <v>2049.9603481930035</v>
      </c>
      <c r="H38" s="37">
        <f t="shared" si="3"/>
        <v>272174.05187371024</v>
      </c>
      <c r="I38" s="37"/>
      <c r="J38" s="37"/>
    </row>
    <row r="39" spans="4:10">
      <c r="D39">
        <v>33</v>
      </c>
      <c r="E39" s="59">
        <f t="shared" si="0"/>
        <v>4445.195711616062</v>
      </c>
      <c r="F39" s="19">
        <f t="shared" si="1"/>
        <v>2377.3297924272056</v>
      </c>
      <c r="G39" s="19">
        <f t="shared" si="2"/>
        <v>2067.8659191888564</v>
      </c>
      <c r="H39" s="37">
        <f t="shared" si="3"/>
        <v>270106.18595452141</v>
      </c>
      <c r="I39" s="37"/>
      <c r="J39" s="37"/>
    </row>
    <row r="40" spans="4:10">
      <c r="D40">
        <v>34</v>
      </c>
      <c r="E40" s="59">
        <f t="shared" si="0"/>
        <v>4445.195711616062</v>
      </c>
      <c r="F40" s="19">
        <f t="shared" si="1"/>
        <v>2359.2678235415251</v>
      </c>
      <c r="G40" s="19">
        <f t="shared" si="2"/>
        <v>2085.9278880745369</v>
      </c>
      <c r="H40" s="37">
        <f t="shared" si="3"/>
        <v>268020.25806644687</v>
      </c>
      <c r="I40" s="37"/>
      <c r="J40" s="37"/>
    </row>
    <row r="41" spans="4:10">
      <c r="D41">
        <v>35</v>
      </c>
      <c r="E41" s="59">
        <f t="shared" si="0"/>
        <v>4445.195711616062</v>
      </c>
      <c r="F41" s="19">
        <f t="shared" si="1"/>
        <v>2341.0480906939747</v>
      </c>
      <c r="G41" s="19">
        <f t="shared" si="2"/>
        <v>2104.1476209220873</v>
      </c>
      <c r="H41" s="37">
        <f t="shared" si="3"/>
        <v>265916.1104455248</v>
      </c>
      <c r="I41" s="37"/>
      <c r="J41" s="37"/>
    </row>
    <row r="42" spans="4:10">
      <c r="D42" s="60">
        <v>36</v>
      </c>
      <c r="E42" s="61">
        <f t="shared" si="0"/>
        <v>4445.195711616062</v>
      </c>
      <c r="F42" s="62">
        <f t="shared" si="1"/>
        <v>2322.6692158804276</v>
      </c>
      <c r="G42" s="62">
        <f t="shared" si="2"/>
        <v>2122.5264957356344</v>
      </c>
      <c r="H42" s="63">
        <f t="shared" si="3"/>
        <v>263793.58394978917</v>
      </c>
      <c r="I42" s="37">
        <f t="shared" ref="I42:I78" si="5">+SUM(F31:F42)</f>
        <v>29050.697852334342</v>
      </c>
      <c r="J42" s="37">
        <f t="shared" si="4"/>
        <v>24291.650687058405</v>
      </c>
    </row>
    <row r="43" spans="4:10">
      <c r="D43">
        <v>37</v>
      </c>
      <c r="E43" s="59">
        <f t="shared" si="0"/>
        <v>4445.195711616062</v>
      </c>
      <c r="F43" s="19">
        <f t="shared" si="1"/>
        <v>2304.1298090604496</v>
      </c>
      <c r="G43" s="19">
        <f t="shared" si="2"/>
        <v>2141.0659025556124</v>
      </c>
      <c r="H43" s="37">
        <f t="shared" si="3"/>
        <v>261652.51804723355</v>
      </c>
      <c r="I43" s="37"/>
      <c r="J43" s="37"/>
    </row>
    <row r="44" spans="4:10">
      <c r="D44">
        <v>38</v>
      </c>
      <c r="E44" s="59">
        <f t="shared" si="0"/>
        <v>4445.195711616062</v>
      </c>
      <c r="F44" s="19">
        <f t="shared" si="1"/>
        <v>2285.4284680521696</v>
      </c>
      <c r="G44" s="19">
        <f t="shared" si="2"/>
        <v>2159.7672435638924</v>
      </c>
      <c r="H44" s="37">
        <f t="shared" si="3"/>
        <v>259492.75080366965</v>
      </c>
      <c r="I44" s="37"/>
      <c r="J44" s="37"/>
    </row>
    <row r="45" spans="4:10">
      <c r="D45">
        <v>39</v>
      </c>
      <c r="E45" s="59">
        <f t="shared" si="0"/>
        <v>4445.195711616062</v>
      </c>
      <c r="F45" s="19">
        <f t="shared" si="1"/>
        <v>2266.5637784262267</v>
      </c>
      <c r="G45" s="19">
        <f t="shared" si="2"/>
        <v>2178.6319331898353</v>
      </c>
      <c r="H45" s="37">
        <f t="shared" si="3"/>
        <v>257314.11887047981</v>
      </c>
      <c r="I45" s="37"/>
      <c r="J45" s="37"/>
    </row>
    <row r="46" spans="4:10">
      <c r="D46">
        <v>40</v>
      </c>
      <c r="E46" s="59">
        <f t="shared" si="0"/>
        <v>4445.195711616062</v>
      </c>
      <c r="F46" s="19">
        <f t="shared" si="1"/>
        <v>2247.534313398794</v>
      </c>
      <c r="G46" s="19">
        <f t="shared" si="2"/>
        <v>2197.661398217268</v>
      </c>
      <c r="H46" s="37">
        <f t="shared" si="3"/>
        <v>255116.45747226255</v>
      </c>
      <c r="I46" s="37"/>
      <c r="J46" s="37"/>
    </row>
    <row r="47" spans="4:10">
      <c r="D47">
        <v>41</v>
      </c>
      <c r="E47" s="59">
        <f t="shared" si="0"/>
        <v>4445.195711616062</v>
      </c>
      <c r="F47" s="19">
        <f t="shared" si="1"/>
        <v>2228.338633723667</v>
      </c>
      <c r="G47" s="19">
        <f t="shared" si="2"/>
        <v>2216.857077892395</v>
      </c>
      <c r="H47" s="37">
        <f t="shared" si="3"/>
        <v>252899.60039437015</v>
      </c>
      <c r="I47" s="37"/>
      <c r="J47" s="37"/>
    </row>
    <row r="48" spans="4:10">
      <c r="D48">
        <v>42</v>
      </c>
      <c r="E48" s="59">
        <f t="shared" si="0"/>
        <v>4445.195711616062</v>
      </c>
      <c r="F48" s="19">
        <f t="shared" si="1"/>
        <v>2208.9752875834106</v>
      </c>
      <c r="G48" s="19">
        <f t="shared" si="2"/>
        <v>2236.2204240326514</v>
      </c>
      <c r="H48" s="37">
        <f t="shared" si="3"/>
        <v>250663.3799703375</v>
      </c>
      <c r="I48" s="37"/>
      <c r="J48" s="37"/>
    </row>
    <row r="49" spans="4:10">
      <c r="D49">
        <v>43</v>
      </c>
      <c r="E49" s="59">
        <f t="shared" si="0"/>
        <v>4445.195711616062</v>
      </c>
      <c r="F49" s="19">
        <f t="shared" si="1"/>
        <v>2189.4428104795543</v>
      </c>
      <c r="G49" s="19">
        <f t="shared" si="2"/>
        <v>2255.7529011365077</v>
      </c>
      <c r="H49" s="37">
        <f t="shared" si="3"/>
        <v>248407.627069201</v>
      </c>
      <c r="I49" s="37"/>
      <c r="J49" s="37"/>
    </row>
    <row r="50" spans="4:10">
      <c r="D50">
        <v>44</v>
      </c>
      <c r="E50" s="59">
        <f t="shared" si="0"/>
        <v>4445.195711616062</v>
      </c>
      <c r="F50" s="19">
        <f t="shared" si="1"/>
        <v>2169.7397251218285</v>
      </c>
      <c r="G50" s="19">
        <f t="shared" si="2"/>
        <v>2275.4559864942335</v>
      </c>
      <c r="H50" s="37">
        <f t="shared" si="3"/>
        <v>246132.17108270677</v>
      </c>
      <c r="I50" s="37"/>
      <c r="J50" s="37"/>
    </row>
    <row r="51" spans="4:10">
      <c r="D51">
        <v>45</v>
      </c>
      <c r="E51" s="59">
        <f t="shared" si="0"/>
        <v>4445.195711616062</v>
      </c>
      <c r="F51" s="19">
        <f t="shared" si="1"/>
        <v>2149.8645413164318</v>
      </c>
      <c r="G51" s="19">
        <f t="shared" si="2"/>
        <v>2295.3311702996302</v>
      </c>
      <c r="H51" s="37">
        <f t="shared" si="3"/>
        <v>243836.83991240713</v>
      </c>
      <c r="I51" s="37"/>
      <c r="J51" s="37"/>
    </row>
    <row r="52" spans="4:10">
      <c r="D52">
        <v>46</v>
      </c>
      <c r="E52" s="59">
        <f t="shared" si="0"/>
        <v>4445.195711616062</v>
      </c>
      <c r="F52" s="19">
        <f t="shared" si="1"/>
        <v>2129.8157558533262</v>
      </c>
      <c r="G52" s="19">
        <f t="shared" si="2"/>
        <v>2315.3799557627358</v>
      </c>
      <c r="H52" s="37">
        <f t="shared" si="3"/>
        <v>241521.45995664439</v>
      </c>
      <c r="I52" s="37"/>
      <c r="J52" s="37"/>
    </row>
    <row r="53" spans="4:10">
      <c r="D53">
        <v>47</v>
      </c>
      <c r="E53" s="59">
        <f t="shared" si="0"/>
        <v>4445.195711616062</v>
      </c>
      <c r="F53" s="19">
        <f t="shared" si="1"/>
        <v>2109.5918523925452</v>
      </c>
      <c r="G53" s="19">
        <f t="shared" si="2"/>
        <v>2335.6038592235168</v>
      </c>
      <c r="H53" s="37">
        <f t="shared" si="3"/>
        <v>239185.85609742088</v>
      </c>
      <c r="I53" s="37"/>
      <c r="J53" s="37"/>
    </row>
    <row r="54" spans="4:10">
      <c r="D54" s="60">
        <v>48</v>
      </c>
      <c r="E54" s="61">
        <f t="shared" si="0"/>
        <v>4445.195711616062</v>
      </c>
      <c r="F54" s="62">
        <f t="shared" si="1"/>
        <v>2089.1913013495073</v>
      </c>
      <c r="G54" s="62">
        <f t="shared" si="2"/>
        <v>2356.0044102665547</v>
      </c>
      <c r="H54" s="63">
        <f t="shared" si="3"/>
        <v>236829.85168715433</v>
      </c>
      <c r="I54" s="37">
        <f t="shared" si="5"/>
        <v>26378.616276757912</v>
      </c>
      <c r="J54" s="37">
        <f t="shared" si="4"/>
        <v>26963.732262634832</v>
      </c>
    </row>
    <row r="55" spans="4:10">
      <c r="D55">
        <v>49</v>
      </c>
      <c r="E55" s="59">
        <f t="shared" si="0"/>
        <v>4445.195711616062</v>
      </c>
      <c r="F55" s="19">
        <f t="shared" si="1"/>
        <v>2068.6125597793321</v>
      </c>
      <c r="G55" s="19">
        <f t="shared" si="2"/>
        <v>2376.5831518367299</v>
      </c>
      <c r="H55" s="37">
        <f t="shared" si="3"/>
        <v>234453.26853531759</v>
      </c>
      <c r="I55" s="37"/>
      <c r="J55" s="37"/>
    </row>
    <row r="56" spans="4:10">
      <c r="D56">
        <v>50</v>
      </c>
      <c r="E56" s="59">
        <f t="shared" si="0"/>
        <v>4445.195711616062</v>
      </c>
      <c r="F56" s="19">
        <f t="shared" si="1"/>
        <v>2047.8540712601414</v>
      </c>
      <c r="G56" s="19">
        <f t="shared" si="2"/>
        <v>2397.3416403559204</v>
      </c>
      <c r="H56" s="37">
        <f t="shared" si="3"/>
        <v>232055.92689496168</v>
      </c>
      <c r="I56" s="37"/>
      <c r="J56" s="37"/>
    </row>
    <row r="57" spans="4:10">
      <c r="D57">
        <v>51</v>
      </c>
      <c r="E57" s="59">
        <f t="shared" si="0"/>
        <v>4445.195711616062</v>
      </c>
      <c r="F57" s="19">
        <f t="shared" si="1"/>
        <v>2026.914265775345</v>
      </c>
      <c r="G57" s="19">
        <f t="shared" si="2"/>
        <v>2418.281445840717</v>
      </c>
      <c r="H57" s="37">
        <f t="shared" si="3"/>
        <v>229637.64544912096</v>
      </c>
      <c r="I57" s="37"/>
      <c r="J57" s="37"/>
    </row>
    <row r="58" spans="4:10">
      <c r="D58">
        <v>52</v>
      </c>
      <c r="E58" s="59">
        <f t="shared" si="0"/>
        <v>4445.195711616062</v>
      </c>
      <c r="F58" s="19">
        <f t="shared" si="1"/>
        <v>2005.7915595948944</v>
      </c>
      <c r="G58" s="19">
        <f t="shared" si="2"/>
        <v>2439.4041520211676</v>
      </c>
      <c r="H58" s="37">
        <f t="shared" si="3"/>
        <v>227198.2412970998</v>
      </c>
      <c r="I58" s="37"/>
      <c r="J58" s="37"/>
    </row>
    <row r="59" spans="4:10">
      <c r="D59">
        <v>53</v>
      </c>
      <c r="E59" s="59">
        <f t="shared" si="0"/>
        <v>4445.195711616062</v>
      </c>
      <c r="F59" s="19">
        <f t="shared" si="1"/>
        <v>1984.4843551555034</v>
      </c>
      <c r="G59" s="19">
        <f t="shared" si="2"/>
        <v>2460.7113564605588</v>
      </c>
      <c r="H59" s="37">
        <f t="shared" si="3"/>
        <v>224737.52994063924</v>
      </c>
      <c r="I59" s="37"/>
      <c r="J59" s="37"/>
    </row>
    <row r="60" spans="4:10">
      <c r="D60">
        <v>54</v>
      </c>
      <c r="E60" s="59">
        <f t="shared" si="0"/>
        <v>4445.195711616062</v>
      </c>
      <c r="F60" s="19">
        <f t="shared" si="1"/>
        <v>1962.9910409398192</v>
      </c>
      <c r="G60" s="19">
        <f t="shared" si="2"/>
        <v>2482.204670676243</v>
      </c>
      <c r="H60" s="37">
        <f t="shared" si="3"/>
        <v>222255.32526996301</v>
      </c>
      <c r="I60" s="37"/>
      <c r="J60" s="37"/>
    </row>
    <row r="61" spans="4:10">
      <c r="D61">
        <v>55</v>
      </c>
      <c r="E61" s="59">
        <f t="shared" si="0"/>
        <v>4445.195711616062</v>
      </c>
      <c r="F61" s="19">
        <f t="shared" si="1"/>
        <v>1941.3099913545389</v>
      </c>
      <c r="G61" s="19">
        <f t="shared" si="2"/>
        <v>2503.8857202615231</v>
      </c>
      <c r="H61" s="37">
        <f t="shared" si="3"/>
        <v>219751.43954970149</v>
      </c>
      <c r="I61" s="37"/>
      <c r="J61" s="37"/>
    </row>
    <row r="62" spans="4:10">
      <c r="D62">
        <v>56</v>
      </c>
      <c r="E62" s="59">
        <f t="shared" si="0"/>
        <v>4445.195711616062</v>
      </c>
      <c r="F62" s="19">
        <f t="shared" si="1"/>
        <v>1919.4395666074627</v>
      </c>
      <c r="G62" s="19">
        <f t="shared" si="2"/>
        <v>2525.7561450085996</v>
      </c>
      <c r="H62" s="37">
        <f t="shared" si="3"/>
        <v>217225.68340469289</v>
      </c>
      <c r="I62" s="37"/>
      <c r="J62" s="37"/>
    </row>
    <row r="63" spans="4:10">
      <c r="D63">
        <v>57</v>
      </c>
      <c r="E63" s="59">
        <f t="shared" si="0"/>
        <v>4445.195711616062</v>
      </c>
      <c r="F63" s="19">
        <f t="shared" si="1"/>
        <v>1897.3781125834723</v>
      </c>
      <c r="G63" s="19">
        <f t="shared" si="2"/>
        <v>2547.8175990325899</v>
      </c>
      <c r="H63" s="37">
        <f t="shared" si="3"/>
        <v>214677.86580566029</v>
      </c>
      <c r="I63" s="37"/>
      <c r="J63" s="37"/>
    </row>
    <row r="64" spans="4:10">
      <c r="D64">
        <v>58</v>
      </c>
      <c r="E64" s="59">
        <f t="shared" si="0"/>
        <v>4445.195711616062</v>
      </c>
      <c r="F64" s="19">
        <f t="shared" si="1"/>
        <v>1875.1239607194252</v>
      </c>
      <c r="G64" s="19">
        <f t="shared" si="2"/>
        <v>2570.0717508966368</v>
      </c>
      <c r="H64" s="37">
        <f t="shared" si="3"/>
        <v>212107.79405476365</v>
      </c>
      <c r="I64" s="37"/>
      <c r="J64" s="37"/>
    </row>
    <row r="65" spans="4:10">
      <c r="D65">
        <v>59</v>
      </c>
      <c r="E65" s="59">
        <f t="shared" si="0"/>
        <v>4445.195711616062</v>
      </c>
      <c r="F65" s="19">
        <f t="shared" si="1"/>
        <v>1852.6754278779583</v>
      </c>
      <c r="G65" s="19">
        <f t="shared" si="2"/>
        <v>2592.5202837381039</v>
      </c>
      <c r="H65" s="37">
        <f t="shared" si="3"/>
        <v>209515.27377102556</v>
      </c>
      <c r="I65" s="37"/>
      <c r="J65" s="37"/>
    </row>
    <row r="66" spans="4:10">
      <c r="D66" s="60">
        <v>60</v>
      </c>
      <c r="E66" s="61">
        <f t="shared" si="0"/>
        <v>4445.195711616062</v>
      </c>
      <c r="F66" s="62">
        <f t="shared" si="1"/>
        <v>1830.0308162201866</v>
      </c>
      <c r="G66" s="62">
        <f t="shared" si="2"/>
        <v>2615.1648953958756</v>
      </c>
      <c r="H66" s="63">
        <f t="shared" si="3"/>
        <v>206900.1088756297</v>
      </c>
      <c r="I66" s="37">
        <f t="shared" si="5"/>
        <v>23412.605727868086</v>
      </c>
      <c r="J66" s="37">
        <f t="shared" si="4"/>
        <v>29929.742811524666</v>
      </c>
    </row>
    <row r="67" spans="4:10">
      <c r="D67">
        <v>61</v>
      </c>
      <c r="E67" s="59">
        <f t="shared" si="0"/>
        <v>4445.195711616062</v>
      </c>
      <c r="F67" s="19">
        <f t="shared" si="1"/>
        <v>1807.1884130772921</v>
      </c>
      <c r="G67" s="19">
        <f t="shared" si="2"/>
        <v>2638.0072985387696</v>
      </c>
      <c r="H67" s="37">
        <f t="shared" si="3"/>
        <v>204262.10157709091</v>
      </c>
      <c r="I67" s="37"/>
      <c r="J67" s="37"/>
    </row>
    <row r="68" spans="4:10">
      <c r="D68">
        <v>62</v>
      </c>
      <c r="E68" s="59">
        <f t="shared" si="0"/>
        <v>4445.195711616062</v>
      </c>
      <c r="F68" s="19">
        <f t="shared" si="1"/>
        <v>1784.1464908209903</v>
      </c>
      <c r="G68" s="19">
        <f t="shared" si="2"/>
        <v>2661.049220795072</v>
      </c>
      <c r="H68" s="37">
        <f t="shared" si="3"/>
        <v>201601.05235629584</v>
      </c>
      <c r="I68" s="37"/>
      <c r="J68" s="37"/>
    </row>
    <row r="69" spans="4:10">
      <c r="D69">
        <v>63</v>
      </c>
      <c r="E69" s="59">
        <f t="shared" si="0"/>
        <v>4445.195711616062</v>
      </c>
      <c r="F69" s="19">
        <f t="shared" si="1"/>
        <v>1760.903306732866</v>
      </c>
      <c r="G69" s="19">
        <f t="shared" si="2"/>
        <v>2684.292404883196</v>
      </c>
      <c r="H69" s="37">
        <f t="shared" si="3"/>
        <v>198916.75995141265</v>
      </c>
      <c r="I69" s="37"/>
      <c r="J69" s="37"/>
    </row>
    <row r="70" spans="4:10">
      <c r="D70">
        <v>64</v>
      </c>
      <c r="E70" s="59">
        <f t="shared" si="0"/>
        <v>4445.195711616062</v>
      </c>
      <c r="F70" s="19">
        <f t="shared" si="1"/>
        <v>1737.4571028725661</v>
      </c>
      <c r="G70" s="19">
        <f t="shared" si="2"/>
        <v>2707.7386087434961</v>
      </c>
      <c r="H70" s="37">
        <f t="shared" si="3"/>
        <v>196209.02134266915</v>
      </c>
      <c r="I70" s="37"/>
      <c r="J70" s="37"/>
    </row>
    <row r="71" spans="4:10">
      <c r="D71">
        <v>65</v>
      </c>
      <c r="E71" s="59">
        <f t="shared" si="0"/>
        <v>4445.195711616062</v>
      </c>
      <c r="F71" s="19">
        <f t="shared" si="1"/>
        <v>1713.8061059448421</v>
      </c>
      <c r="G71" s="19">
        <f t="shared" si="2"/>
        <v>2731.3896056712201</v>
      </c>
      <c r="H71" s="37">
        <f t="shared" si="3"/>
        <v>193477.63173699792</v>
      </c>
      <c r="I71" s="37"/>
      <c r="J71" s="37"/>
    </row>
    <row r="72" spans="4:10">
      <c r="D72">
        <v>66</v>
      </c>
      <c r="E72" s="59">
        <f t="shared" ref="E72:E126" si="6">+$B$12</f>
        <v>4445.195711616062</v>
      </c>
      <c r="F72" s="19">
        <f t="shared" ref="F72:F126" si="7">+H71*$B$11</f>
        <v>1689.9485271654323</v>
      </c>
      <c r="G72" s="19">
        <f t="shared" ref="G72:G126" si="8">+E72-F72</f>
        <v>2755.2471844506299</v>
      </c>
      <c r="H72" s="37">
        <f t="shared" ref="H72:H125" si="9">+H71-G72</f>
        <v>190722.3845525473</v>
      </c>
      <c r="I72" s="37"/>
      <c r="J72" s="37"/>
    </row>
    <row r="73" spans="4:10">
      <c r="D73">
        <v>67</v>
      </c>
      <c r="E73" s="59">
        <f t="shared" si="6"/>
        <v>4445.195711616062</v>
      </c>
      <c r="F73" s="19">
        <f t="shared" si="7"/>
        <v>1665.8825621257711</v>
      </c>
      <c r="G73" s="19">
        <f t="shared" si="8"/>
        <v>2779.3131494902909</v>
      </c>
      <c r="H73" s="37">
        <f t="shared" si="9"/>
        <v>187943.07140305702</v>
      </c>
      <c r="I73" s="37"/>
      <c r="J73" s="37"/>
    </row>
    <row r="74" spans="4:10">
      <c r="D74">
        <v>68</v>
      </c>
      <c r="E74" s="59">
        <f t="shared" si="6"/>
        <v>4445.195711616062</v>
      </c>
      <c r="F74" s="19">
        <f t="shared" si="7"/>
        <v>1641.6063906565169</v>
      </c>
      <c r="G74" s="19">
        <f t="shared" si="8"/>
        <v>2803.5893209595451</v>
      </c>
      <c r="H74" s="37">
        <f t="shared" si="9"/>
        <v>185139.48208209747</v>
      </c>
      <c r="I74" s="37"/>
      <c r="J74" s="37"/>
    </row>
    <row r="75" spans="4:10">
      <c r="D75">
        <v>69</v>
      </c>
      <c r="E75" s="59">
        <f t="shared" si="6"/>
        <v>4445.195711616062</v>
      </c>
      <c r="F75" s="19">
        <f t="shared" si="7"/>
        <v>1617.1181766898874</v>
      </c>
      <c r="G75" s="19">
        <f t="shared" si="8"/>
        <v>2828.0775349261748</v>
      </c>
      <c r="H75" s="37">
        <f t="shared" si="9"/>
        <v>182311.40454717129</v>
      </c>
      <c r="I75" s="37"/>
      <c r="J75" s="37"/>
    </row>
    <row r="76" spans="4:10">
      <c r="D76">
        <v>70</v>
      </c>
      <c r="E76" s="59">
        <f t="shared" si="6"/>
        <v>4445.195711616062</v>
      </c>
      <c r="F76" s="19">
        <f t="shared" si="7"/>
        <v>1592.4160681207952</v>
      </c>
      <c r="G76" s="19">
        <f t="shared" si="8"/>
        <v>2852.779643495267</v>
      </c>
      <c r="H76" s="37">
        <f t="shared" si="9"/>
        <v>179458.62490367601</v>
      </c>
      <c r="I76" s="37"/>
      <c r="J76" s="37"/>
    </row>
    <row r="77" spans="4:10">
      <c r="D77">
        <v>71</v>
      </c>
      <c r="E77" s="59">
        <f t="shared" si="6"/>
        <v>4445.195711616062</v>
      </c>
      <c r="F77" s="19">
        <f t="shared" si="7"/>
        <v>1567.4981966667667</v>
      </c>
      <c r="G77" s="19">
        <f t="shared" si="8"/>
        <v>2877.6975149492955</v>
      </c>
      <c r="H77" s="37">
        <f t="shared" si="9"/>
        <v>176580.9273887267</v>
      </c>
      <c r="I77" s="37"/>
      <c r="J77" s="37"/>
    </row>
    <row r="78" spans="4:10">
      <c r="D78" s="60">
        <v>72</v>
      </c>
      <c r="E78" s="61">
        <f t="shared" si="6"/>
        <v>4445.195711616062</v>
      </c>
      <c r="F78" s="62">
        <f t="shared" si="7"/>
        <v>1542.36267772664</v>
      </c>
      <c r="G78" s="62">
        <f t="shared" si="8"/>
        <v>2902.833033889422</v>
      </c>
      <c r="H78" s="63">
        <f t="shared" si="9"/>
        <v>173678.09435483729</v>
      </c>
      <c r="I78" s="37">
        <f t="shared" si="5"/>
        <v>20120.334018600366</v>
      </c>
      <c r="J78" s="37">
        <f t="shared" si="4"/>
        <v>33222.014520792378</v>
      </c>
    </row>
    <row r="79" spans="4:10">
      <c r="D79">
        <v>73</v>
      </c>
      <c r="E79" s="59">
        <f t="shared" si="6"/>
        <v>4445.195711616062</v>
      </c>
      <c r="F79" s="19">
        <f t="shared" si="7"/>
        <v>1517.0076102380269</v>
      </c>
      <c r="G79" s="19">
        <f t="shared" si="8"/>
        <v>2928.1881013780348</v>
      </c>
      <c r="H79" s="37">
        <f t="shared" si="9"/>
        <v>170749.90625345925</v>
      </c>
      <c r="I79" s="37"/>
      <c r="J79" s="37"/>
    </row>
    <row r="80" spans="4:10">
      <c r="D80">
        <v>74</v>
      </c>
      <c r="E80" s="59">
        <f t="shared" si="6"/>
        <v>4445.195711616062</v>
      </c>
      <c r="F80" s="19">
        <f t="shared" si="7"/>
        <v>1491.4310765335322</v>
      </c>
      <c r="G80" s="19">
        <f t="shared" si="8"/>
        <v>2953.7646350825298</v>
      </c>
      <c r="H80" s="37">
        <f t="shared" si="9"/>
        <v>167796.14161837671</v>
      </c>
      <c r="I80" s="37"/>
      <c r="J80" s="37"/>
    </row>
    <row r="81" spans="4:10">
      <c r="D81">
        <v>75</v>
      </c>
      <c r="E81" s="59">
        <f t="shared" si="6"/>
        <v>4445.195711616062</v>
      </c>
      <c r="F81" s="19">
        <f t="shared" si="7"/>
        <v>1465.6311421957141</v>
      </c>
      <c r="G81" s="19">
        <f t="shared" si="8"/>
        <v>2979.5645694203477</v>
      </c>
      <c r="H81" s="37">
        <f t="shared" si="9"/>
        <v>164816.57704895636</v>
      </c>
      <c r="I81" s="37"/>
      <c r="J81" s="37"/>
    </row>
    <row r="82" spans="4:10">
      <c r="D82">
        <v>76</v>
      </c>
      <c r="E82" s="59">
        <f t="shared" si="6"/>
        <v>4445.195711616062</v>
      </c>
      <c r="F82" s="19">
        <f t="shared" si="7"/>
        <v>1439.605855910781</v>
      </c>
      <c r="G82" s="19">
        <f t="shared" si="8"/>
        <v>3005.589855705281</v>
      </c>
      <c r="H82" s="37">
        <f t="shared" si="9"/>
        <v>161810.98719325109</v>
      </c>
      <c r="I82" s="37"/>
      <c r="J82" s="37"/>
    </row>
    <row r="83" spans="4:10">
      <c r="D83">
        <v>77</v>
      </c>
      <c r="E83" s="59">
        <f t="shared" si="6"/>
        <v>4445.195711616062</v>
      </c>
      <c r="F83" s="19">
        <f t="shared" si="7"/>
        <v>1413.3532493210075</v>
      </c>
      <c r="G83" s="19">
        <f t="shared" si="8"/>
        <v>3031.8424622950542</v>
      </c>
      <c r="H83" s="37">
        <f t="shared" si="9"/>
        <v>158779.14473095603</v>
      </c>
      <c r="I83" s="37"/>
      <c r="J83" s="37"/>
    </row>
    <row r="84" spans="4:10">
      <c r="D84">
        <v>78</v>
      </c>
      <c r="E84" s="59">
        <f t="shared" si="6"/>
        <v>4445.195711616062</v>
      </c>
      <c r="F84" s="19">
        <f t="shared" si="7"/>
        <v>1386.8713368758627</v>
      </c>
      <c r="G84" s="19">
        <f t="shared" si="8"/>
        <v>3058.3243747401993</v>
      </c>
      <c r="H84" s="37">
        <f t="shared" si="9"/>
        <v>155720.82035621585</v>
      </c>
      <c r="I84" s="37"/>
      <c r="J84" s="37"/>
    </row>
    <row r="85" spans="4:10">
      <c r="D85">
        <v>79</v>
      </c>
      <c r="E85" s="59">
        <f t="shared" si="6"/>
        <v>4445.195711616062</v>
      </c>
      <c r="F85" s="19">
        <f t="shared" si="7"/>
        <v>1360.1581156818388</v>
      </c>
      <c r="G85" s="19">
        <f t="shared" si="8"/>
        <v>3085.0375959342232</v>
      </c>
      <c r="H85" s="37">
        <f t="shared" si="9"/>
        <v>152635.78276028161</v>
      </c>
      <c r="I85" s="37"/>
      <c r="J85" s="37"/>
    </row>
    <row r="86" spans="4:10">
      <c r="D86">
        <v>80</v>
      </c>
      <c r="E86" s="59">
        <f t="shared" si="6"/>
        <v>4445.195711616062</v>
      </c>
      <c r="F86" s="19">
        <f t="shared" si="7"/>
        <v>1333.2115653509663</v>
      </c>
      <c r="G86" s="19">
        <f t="shared" si="8"/>
        <v>3111.9841462650957</v>
      </c>
      <c r="H86" s="37">
        <f t="shared" si="9"/>
        <v>149523.7986140165</v>
      </c>
      <c r="I86" s="37"/>
      <c r="J86" s="37"/>
    </row>
    <row r="87" spans="4:10">
      <c r="D87">
        <v>81</v>
      </c>
      <c r="E87" s="59">
        <f t="shared" si="6"/>
        <v>4445.195711616062</v>
      </c>
      <c r="F87" s="19">
        <f t="shared" si="7"/>
        <v>1306.0296478480075</v>
      </c>
      <c r="G87" s="19">
        <f t="shared" si="8"/>
        <v>3139.1660637680543</v>
      </c>
      <c r="H87" s="37">
        <f t="shared" si="9"/>
        <v>146384.63255024844</v>
      </c>
      <c r="I87" s="37"/>
      <c r="J87" s="37"/>
    </row>
    <row r="88" spans="4:10">
      <c r="D88">
        <v>82</v>
      </c>
      <c r="E88" s="59">
        <f t="shared" si="6"/>
        <v>4445.195711616062</v>
      </c>
      <c r="F88" s="19">
        <f t="shared" si="7"/>
        <v>1278.6103073363154</v>
      </c>
      <c r="G88" s="19">
        <f t="shared" si="8"/>
        <v>3166.5854042797464</v>
      </c>
      <c r="H88" s="37">
        <f t="shared" si="9"/>
        <v>143218.04714596868</v>
      </c>
      <c r="I88" s="37"/>
      <c r="J88" s="37"/>
    </row>
    <row r="89" spans="4:10">
      <c r="D89">
        <v>83</v>
      </c>
      <c r="E89" s="59">
        <f t="shared" si="6"/>
        <v>4445.195711616062</v>
      </c>
      <c r="F89" s="19">
        <f t="shared" si="7"/>
        <v>1250.9514700223438</v>
      </c>
      <c r="G89" s="19">
        <f t="shared" si="8"/>
        <v>3194.2442415937185</v>
      </c>
      <c r="H89" s="37">
        <f t="shared" si="9"/>
        <v>140023.80290437496</v>
      </c>
      <c r="I89" s="37"/>
      <c r="J89" s="37"/>
    </row>
    <row r="90" spans="4:10">
      <c r="D90" s="60">
        <v>84</v>
      </c>
      <c r="E90" s="61">
        <f t="shared" si="6"/>
        <v>4445.195711616062</v>
      </c>
      <c r="F90" s="62">
        <f t="shared" si="7"/>
        <v>1223.0510439988029</v>
      </c>
      <c r="G90" s="62">
        <f t="shared" si="8"/>
        <v>3222.1446676172591</v>
      </c>
      <c r="H90" s="63">
        <f t="shared" si="9"/>
        <v>136801.65823675771</v>
      </c>
      <c r="I90" s="37">
        <f t="shared" ref="I90:I126" si="10">+SUM(F79:F90)</f>
        <v>16465.912421313202</v>
      </c>
      <c r="J90" s="37">
        <f t="shared" ref="J90:J126" si="11">+SUM(G79:G90)</f>
        <v>36876.436118079539</v>
      </c>
    </row>
    <row r="91" spans="4:10">
      <c r="D91">
        <v>85</v>
      </c>
      <c r="E91" s="59">
        <f t="shared" si="6"/>
        <v>4445.195711616062</v>
      </c>
      <c r="F91" s="19">
        <f t="shared" si="7"/>
        <v>1194.9069190864427</v>
      </c>
      <c r="G91" s="19">
        <f t="shared" si="8"/>
        <v>3250.2887925296191</v>
      </c>
      <c r="H91" s="37">
        <f t="shared" si="9"/>
        <v>133551.3694442281</v>
      </c>
      <c r="I91" s="37"/>
      <c r="J91" s="37"/>
    </row>
    <row r="92" spans="4:10">
      <c r="D92">
        <v>86</v>
      </c>
      <c r="E92" s="59">
        <f t="shared" si="6"/>
        <v>4445.195711616062</v>
      </c>
      <c r="F92" s="19">
        <f t="shared" si="7"/>
        <v>1166.5169666744534</v>
      </c>
      <c r="G92" s="19">
        <f t="shared" si="8"/>
        <v>3278.6787449416088</v>
      </c>
      <c r="H92" s="37">
        <f t="shared" si="9"/>
        <v>130272.69069928648</v>
      </c>
      <c r="I92" s="37"/>
      <c r="J92" s="37"/>
    </row>
    <row r="93" spans="4:10">
      <c r="D93">
        <v>87</v>
      </c>
      <c r="E93" s="59">
        <f t="shared" si="6"/>
        <v>4445.195711616062</v>
      </c>
      <c r="F93" s="19">
        <f t="shared" si="7"/>
        <v>1137.8790395594756</v>
      </c>
      <c r="G93" s="19">
        <f t="shared" si="8"/>
        <v>3307.3166720565864</v>
      </c>
      <c r="H93" s="37">
        <f t="shared" si="9"/>
        <v>126965.37402722989</v>
      </c>
      <c r="I93" s="37"/>
      <c r="J93" s="37"/>
    </row>
    <row r="94" spans="4:10">
      <c r="D94">
        <v>88</v>
      </c>
      <c r="E94" s="59">
        <f t="shared" si="6"/>
        <v>4445.195711616062</v>
      </c>
      <c r="F94" s="19">
        <f t="shared" si="7"/>
        <v>1108.9909717831997</v>
      </c>
      <c r="G94" s="19">
        <f t="shared" si="8"/>
        <v>3336.2047398328623</v>
      </c>
      <c r="H94" s="37">
        <f t="shared" si="9"/>
        <v>123629.16928739703</v>
      </c>
      <c r="I94" s="37"/>
      <c r="J94" s="37"/>
    </row>
    <row r="95" spans="4:10">
      <c r="D95">
        <v>89</v>
      </c>
      <c r="E95" s="59">
        <f t="shared" si="6"/>
        <v>4445.195711616062</v>
      </c>
      <c r="F95" s="19">
        <f t="shared" si="7"/>
        <v>1079.850578468551</v>
      </c>
      <c r="G95" s="19">
        <f t="shared" si="8"/>
        <v>3365.3451331475108</v>
      </c>
      <c r="H95" s="37">
        <f t="shared" si="9"/>
        <v>120263.82415424952</v>
      </c>
      <c r="I95" s="37"/>
      <c r="J95" s="37"/>
    </row>
    <row r="96" spans="4:10">
      <c r="D96">
        <v>90</v>
      </c>
      <c r="E96" s="59">
        <f t="shared" si="6"/>
        <v>4445.195711616062</v>
      </c>
      <c r="F96" s="19">
        <f t="shared" si="7"/>
        <v>1050.4556556544403</v>
      </c>
      <c r="G96" s="19">
        <f t="shared" si="8"/>
        <v>3394.7400559616217</v>
      </c>
      <c r="H96" s="37">
        <f t="shared" si="9"/>
        <v>116869.0840982879</v>
      </c>
      <c r="I96" s="37"/>
      <c r="J96" s="37"/>
    </row>
    <row r="97" spans="4:10">
      <c r="D97">
        <v>91</v>
      </c>
      <c r="E97" s="59">
        <f t="shared" si="6"/>
        <v>4445.195711616062</v>
      </c>
      <c r="F97" s="19">
        <f t="shared" si="7"/>
        <v>1020.8039801290738</v>
      </c>
      <c r="G97" s="19">
        <f t="shared" si="8"/>
        <v>3424.3917314869882</v>
      </c>
      <c r="H97" s="37">
        <f t="shared" si="9"/>
        <v>113444.69236680091</v>
      </c>
      <c r="I97" s="37"/>
      <c r="J97" s="37"/>
    </row>
    <row r="98" spans="4:10">
      <c r="D98">
        <v>92</v>
      </c>
      <c r="E98" s="59">
        <f t="shared" si="6"/>
        <v>4445.195711616062</v>
      </c>
      <c r="F98" s="19">
        <f t="shared" si="7"/>
        <v>990.89330926180526</v>
      </c>
      <c r="G98" s="19">
        <f t="shared" si="8"/>
        <v>3454.3024023542566</v>
      </c>
      <c r="H98" s="37">
        <f t="shared" si="9"/>
        <v>109990.38996444666</v>
      </c>
      <c r="I98" s="37"/>
      <c r="J98" s="37"/>
    </row>
    <row r="99" spans="4:10">
      <c r="D99">
        <v>93</v>
      </c>
      <c r="E99" s="59">
        <f t="shared" si="6"/>
        <v>4445.195711616062</v>
      </c>
      <c r="F99" s="19">
        <f t="shared" si="7"/>
        <v>960.72138083352138</v>
      </c>
      <c r="G99" s="19">
        <f t="shared" si="8"/>
        <v>3484.4743307825406</v>
      </c>
      <c r="H99" s="37">
        <f t="shared" si="9"/>
        <v>106505.91563366412</v>
      </c>
      <c r="I99" s="37"/>
      <c r="J99" s="37"/>
    </row>
    <row r="100" spans="4:10">
      <c r="D100">
        <v>94</v>
      </c>
      <c r="E100" s="59">
        <f t="shared" si="6"/>
        <v>4445.195711616062</v>
      </c>
      <c r="F100" s="19">
        <f t="shared" si="7"/>
        <v>930.28591286554297</v>
      </c>
      <c r="G100" s="19">
        <f t="shared" si="8"/>
        <v>3514.9097987505193</v>
      </c>
      <c r="H100" s="37">
        <f t="shared" si="9"/>
        <v>102991.00583491359</v>
      </c>
      <c r="I100" s="37"/>
      <c r="J100" s="37"/>
    </row>
    <row r="101" spans="4:10">
      <c r="D101">
        <v>95</v>
      </c>
      <c r="E101" s="59">
        <f t="shared" si="6"/>
        <v>4445.195711616062</v>
      </c>
      <c r="F101" s="19">
        <f t="shared" si="7"/>
        <v>899.58460344703462</v>
      </c>
      <c r="G101" s="19">
        <f t="shared" si="8"/>
        <v>3545.6111081690274</v>
      </c>
      <c r="H101" s="37">
        <f t="shared" si="9"/>
        <v>99445.394726744562</v>
      </c>
      <c r="I101" s="37"/>
      <c r="J101" s="37"/>
    </row>
    <row r="102" spans="4:10">
      <c r="D102" s="60">
        <v>96</v>
      </c>
      <c r="E102" s="61">
        <f t="shared" si="6"/>
        <v>4445.195711616062</v>
      </c>
      <c r="F102" s="62">
        <f t="shared" si="7"/>
        <v>868.61513056090439</v>
      </c>
      <c r="G102" s="62">
        <f t="shared" si="8"/>
        <v>3576.5805810551574</v>
      </c>
      <c r="H102" s="63">
        <f t="shared" si="9"/>
        <v>95868.814145689408</v>
      </c>
      <c r="I102" s="37">
        <f t="shared" si="10"/>
        <v>12409.504448324444</v>
      </c>
      <c r="J102" s="37">
        <f t="shared" si="11"/>
        <v>40932.844091068298</v>
      </c>
    </row>
    <row r="103" spans="4:10">
      <c r="D103">
        <v>97</v>
      </c>
      <c r="E103" s="59">
        <f t="shared" si="6"/>
        <v>4445.195711616062</v>
      </c>
      <c r="F103" s="19">
        <f t="shared" si="7"/>
        <v>837.37515190818431</v>
      </c>
      <c r="G103" s="19">
        <f t="shared" si="8"/>
        <v>3607.8205597078777</v>
      </c>
      <c r="H103" s="37">
        <f t="shared" si="9"/>
        <v>92260.99358598153</v>
      </c>
      <c r="I103" s="37"/>
      <c r="J103" s="37"/>
    </row>
    <row r="104" spans="4:10">
      <c r="D104">
        <v>98</v>
      </c>
      <c r="E104" s="59">
        <f t="shared" si="6"/>
        <v>4445.195711616062</v>
      </c>
      <c r="F104" s="19">
        <f t="shared" si="7"/>
        <v>805.8623047308763</v>
      </c>
      <c r="G104" s="19">
        <f t="shared" si="8"/>
        <v>3639.3334068851855</v>
      </c>
      <c r="H104" s="37">
        <f t="shared" si="9"/>
        <v>88621.660179096347</v>
      </c>
      <c r="I104" s="37"/>
      <c r="J104" s="37"/>
    </row>
    <row r="105" spans="4:10">
      <c r="D105">
        <v>99</v>
      </c>
      <c r="E105" s="59">
        <f t="shared" si="6"/>
        <v>4445.195711616062</v>
      </c>
      <c r="F105" s="19">
        <f t="shared" si="7"/>
        <v>774.07420563325081</v>
      </c>
      <c r="G105" s="19">
        <f t="shared" si="8"/>
        <v>3671.121505982811</v>
      </c>
      <c r="H105" s="37">
        <f t="shared" si="9"/>
        <v>84950.538673113537</v>
      </c>
      <c r="I105" s="37"/>
      <c r="J105" s="37"/>
    </row>
    <row r="106" spans="4:10">
      <c r="D106">
        <v>100</v>
      </c>
      <c r="E106" s="59">
        <f t="shared" si="6"/>
        <v>4445.195711616062</v>
      </c>
      <c r="F106" s="19">
        <f t="shared" si="7"/>
        <v>742.00845040158481</v>
      </c>
      <c r="G106" s="19">
        <f t="shared" si="8"/>
        <v>3703.1872612144771</v>
      </c>
      <c r="H106" s="37">
        <f t="shared" si="9"/>
        <v>81247.351411899057</v>
      </c>
      <c r="I106" s="37"/>
      <c r="J106" s="37"/>
    </row>
    <row r="107" spans="4:10">
      <c r="D107">
        <v>101</v>
      </c>
      <c r="E107" s="59">
        <f t="shared" si="6"/>
        <v>4445.195711616062</v>
      </c>
      <c r="F107" s="19">
        <f t="shared" si="7"/>
        <v>709.66261382232472</v>
      </c>
      <c r="G107" s="19">
        <f t="shared" si="8"/>
        <v>3735.5330977937374</v>
      </c>
      <c r="H107" s="37">
        <f t="shared" si="9"/>
        <v>77511.818314105316</v>
      </c>
      <c r="I107" s="37"/>
      <c r="J107" s="37"/>
    </row>
    <row r="108" spans="4:10">
      <c r="D108">
        <v>102</v>
      </c>
      <c r="E108" s="59">
        <f t="shared" si="6"/>
        <v>4445.195711616062</v>
      </c>
      <c r="F108" s="19">
        <f t="shared" si="7"/>
        <v>677.03424949866178</v>
      </c>
      <c r="G108" s="19">
        <f t="shared" si="8"/>
        <v>3768.1614621174003</v>
      </c>
      <c r="H108" s="37">
        <f t="shared" si="9"/>
        <v>73743.656851987922</v>
      </c>
      <c r="I108" s="37"/>
      <c r="J108" s="37"/>
    </row>
    <row r="109" spans="4:10">
      <c r="D109">
        <v>103</v>
      </c>
      <c r="E109" s="59">
        <f t="shared" si="6"/>
        <v>4445.195711616062</v>
      </c>
      <c r="F109" s="19">
        <f t="shared" si="7"/>
        <v>644.12088966550493</v>
      </c>
      <c r="G109" s="19">
        <f t="shared" si="8"/>
        <v>3801.0748219505572</v>
      </c>
      <c r="H109" s="37">
        <f t="shared" si="9"/>
        <v>69942.58203003736</v>
      </c>
      <c r="I109" s="37"/>
      <c r="J109" s="37"/>
    </row>
    <row r="110" spans="4:10">
      <c r="D110">
        <v>104</v>
      </c>
      <c r="E110" s="59">
        <f t="shared" si="6"/>
        <v>4445.195711616062</v>
      </c>
      <c r="F110" s="19">
        <f t="shared" si="7"/>
        <v>610.9200450028369</v>
      </c>
      <c r="G110" s="19">
        <f t="shared" si="8"/>
        <v>3834.275666613225</v>
      </c>
      <c r="H110" s="37">
        <f t="shared" si="9"/>
        <v>66108.306363424141</v>
      </c>
      <c r="I110" s="37"/>
      <c r="J110" s="37"/>
    </row>
    <row r="111" spans="4:10">
      <c r="D111">
        <v>105</v>
      </c>
      <c r="E111" s="59">
        <f t="shared" si="6"/>
        <v>4445.195711616062</v>
      </c>
      <c r="F111" s="19">
        <f t="shared" si="7"/>
        <v>577.42920444744163</v>
      </c>
      <c r="G111" s="19">
        <f t="shared" si="8"/>
        <v>3867.7665071686206</v>
      </c>
      <c r="H111" s="37">
        <f t="shared" si="9"/>
        <v>62240.53985625552</v>
      </c>
      <c r="I111" s="37"/>
      <c r="J111" s="37"/>
    </row>
    <row r="112" spans="4:10">
      <c r="D112">
        <v>106</v>
      </c>
      <c r="E112" s="59">
        <f t="shared" si="6"/>
        <v>4445.195711616062</v>
      </c>
      <c r="F112" s="19">
        <f t="shared" si="7"/>
        <v>543.64583500298568</v>
      </c>
      <c r="G112" s="19">
        <f t="shared" si="8"/>
        <v>3901.5498766130763</v>
      </c>
      <c r="H112" s="37">
        <f t="shared" si="9"/>
        <v>58338.989979642443</v>
      </c>
      <c r="I112" s="37"/>
      <c r="J112" s="37"/>
    </row>
    <row r="113" spans="4:10">
      <c r="D113">
        <v>107</v>
      </c>
      <c r="E113" s="59">
        <f t="shared" si="6"/>
        <v>4445.195711616062</v>
      </c>
      <c r="F113" s="19">
        <f t="shared" si="7"/>
        <v>509.5673815484414</v>
      </c>
      <c r="G113" s="19">
        <f t="shared" si="8"/>
        <v>3935.6283300676205</v>
      </c>
      <c r="H113" s="37">
        <f t="shared" si="9"/>
        <v>54403.361649574821</v>
      </c>
      <c r="I113" s="37"/>
      <c r="J113" s="37"/>
    </row>
    <row r="114" spans="4:10">
      <c r="D114" s="60">
        <v>108</v>
      </c>
      <c r="E114" s="61">
        <f t="shared" si="6"/>
        <v>4445.195711616062</v>
      </c>
      <c r="F114" s="62">
        <f t="shared" si="7"/>
        <v>475.19126664483684</v>
      </c>
      <c r="G114" s="62">
        <f t="shared" si="8"/>
        <v>3970.004444971225</v>
      </c>
      <c r="H114" s="63">
        <f t="shared" si="9"/>
        <v>50433.357204603599</v>
      </c>
      <c r="I114" s="37">
        <f t="shared" si="10"/>
        <v>7906.8915983069301</v>
      </c>
      <c r="J114" s="37">
        <f t="shared" si="11"/>
        <v>45435.456941085817</v>
      </c>
    </row>
    <row r="115" spans="4:10">
      <c r="D115">
        <v>109</v>
      </c>
      <c r="E115" s="59">
        <f t="shared" si="6"/>
        <v>4445.195711616062</v>
      </c>
      <c r="F115" s="19">
        <f t="shared" si="7"/>
        <v>440.51489034031761</v>
      </c>
      <c r="G115" s="19">
        <f t="shared" si="8"/>
        <v>4004.6808212757442</v>
      </c>
      <c r="H115" s="37">
        <f t="shared" si="9"/>
        <v>46428.676383327853</v>
      </c>
      <c r="I115" s="37"/>
      <c r="J115" s="37"/>
    </row>
    <row r="116" spans="4:10">
      <c r="D116">
        <v>110</v>
      </c>
      <c r="E116" s="59">
        <f t="shared" si="6"/>
        <v>4445.195711616062</v>
      </c>
      <c r="F116" s="19">
        <f t="shared" si="7"/>
        <v>405.53562997350571</v>
      </c>
      <c r="G116" s="19">
        <f t="shared" si="8"/>
        <v>4039.6600816425562</v>
      </c>
      <c r="H116" s="37">
        <f t="shared" si="9"/>
        <v>42389.016301685297</v>
      </c>
      <c r="I116" s="37"/>
      <c r="J116" s="37"/>
    </row>
    <row r="117" spans="4:10">
      <c r="D117">
        <v>111</v>
      </c>
      <c r="E117" s="59">
        <f t="shared" si="6"/>
        <v>4445.195711616062</v>
      </c>
      <c r="F117" s="19">
        <f t="shared" si="7"/>
        <v>370.25083997514145</v>
      </c>
      <c r="G117" s="19">
        <f t="shared" si="8"/>
        <v>4074.9448716409206</v>
      </c>
      <c r="H117" s="37">
        <f t="shared" si="9"/>
        <v>38314.07143004438</v>
      </c>
      <c r="I117" s="37"/>
      <c r="J117" s="37"/>
    </row>
    <row r="118" spans="4:10">
      <c r="D118">
        <v>112</v>
      </c>
      <c r="E118" s="59">
        <f t="shared" si="6"/>
        <v>4445.195711616062</v>
      </c>
      <c r="F118" s="19">
        <f t="shared" si="7"/>
        <v>334.65785166799219</v>
      </c>
      <c r="G118" s="19">
        <f t="shared" si="8"/>
        <v>4110.53785994807</v>
      </c>
      <c r="H118" s="37">
        <f t="shared" si="9"/>
        <v>34203.533570096311</v>
      </c>
      <c r="I118" s="37"/>
      <c r="J118" s="37"/>
    </row>
    <row r="119" spans="4:10">
      <c r="D119">
        <v>113</v>
      </c>
      <c r="E119" s="59">
        <f t="shared" si="6"/>
        <v>4445.195711616062</v>
      </c>
      <c r="F119" s="19">
        <f t="shared" si="7"/>
        <v>298.7539730650135</v>
      </c>
      <c r="G119" s="19">
        <f t="shared" si="8"/>
        <v>4146.4417385510487</v>
      </c>
      <c r="H119" s="37">
        <f t="shared" si="9"/>
        <v>30057.091831545262</v>
      </c>
      <c r="I119" s="37"/>
      <c r="J119" s="37"/>
    </row>
    <row r="120" spans="4:10">
      <c r="D120">
        <v>114</v>
      </c>
      <c r="E120" s="59">
        <f t="shared" si="6"/>
        <v>4445.195711616062</v>
      </c>
      <c r="F120" s="19">
        <f t="shared" si="7"/>
        <v>262.5364886657477</v>
      </c>
      <c r="G120" s="19">
        <f t="shared" si="8"/>
        <v>4182.659222950314</v>
      </c>
      <c r="H120" s="37">
        <f t="shared" si="9"/>
        <v>25874.432608594947</v>
      </c>
      <c r="I120" s="37"/>
      <c r="J120" s="37"/>
    </row>
    <row r="121" spans="4:10">
      <c r="D121">
        <v>115</v>
      </c>
      <c r="E121" s="59">
        <f t="shared" si="6"/>
        <v>4445.195711616062</v>
      </c>
      <c r="F121" s="19">
        <f t="shared" si="7"/>
        <v>226.00265925094345</v>
      </c>
      <c r="G121" s="19">
        <f t="shared" si="8"/>
        <v>4219.193052365119</v>
      </c>
      <c r="H121" s="37">
        <f t="shared" si="9"/>
        <v>21655.239556229826</v>
      </c>
      <c r="I121" s="37"/>
      <c r="J121" s="37"/>
    </row>
    <row r="122" spans="4:10">
      <c r="D122">
        <v>116</v>
      </c>
      <c r="E122" s="59">
        <f t="shared" si="6"/>
        <v>4445.195711616062</v>
      </c>
      <c r="F122" s="19">
        <f t="shared" si="7"/>
        <v>189.14972167538195</v>
      </c>
      <c r="G122" s="19">
        <f t="shared" si="8"/>
        <v>4256.0459899406796</v>
      </c>
      <c r="H122" s="37">
        <f t="shared" si="9"/>
        <v>17399.193566289148</v>
      </c>
      <c r="I122" s="37"/>
      <c r="J122" s="37"/>
    </row>
    <row r="123" spans="4:10">
      <c r="D123">
        <v>117</v>
      </c>
      <c r="E123" s="59">
        <f t="shared" si="6"/>
        <v>4445.195711616062</v>
      </c>
      <c r="F123" s="19">
        <f t="shared" si="7"/>
        <v>151.97488865889326</v>
      </c>
      <c r="G123" s="19">
        <f t="shared" si="8"/>
        <v>4293.2208229571688</v>
      </c>
      <c r="H123" s="37">
        <f t="shared" si="9"/>
        <v>13105.972743331979</v>
      </c>
      <c r="I123" s="37"/>
      <c r="J123" s="37"/>
    </row>
    <row r="124" spans="4:10">
      <c r="D124">
        <v>118</v>
      </c>
      <c r="E124" s="59">
        <f t="shared" si="6"/>
        <v>4445.195711616062</v>
      </c>
      <c r="F124" s="19">
        <f t="shared" si="7"/>
        <v>114.47534857554713</v>
      </c>
      <c r="G124" s="19">
        <f t="shared" si="8"/>
        <v>4330.7203630405147</v>
      </c>
      <c r="H124" s="37">
        <f t="shared" si="9"/>
        <v>8775.2523802914639</v>
      </c>
      <c r="I124" s="37"/>
      <c r="J124" s="37"/>
    </row>
    <row r="125" spans="4:10">
      <c r="D125">
        <v>119</v>
      </c>
      <c r="E125" s="59">
        <f t="shared" si="6"/>
        <v>4445.195711616062</v>
      </c>
      <c r="F125" s="19">
        <f t="shared" si="7"/>
        <v>76.648265241002989</v>
      </c>
      <c r="G125" s="19">
        <f t="shared" si="8"/>
        <v>4368.5474463750588</v>
      </c>
      <c r="H125" s="37">
        <f t="shared" si="9"/>
        <v>4406.704933916405</v>
      </c>
      <c r="I125" s="37"/>
      <c r="J125" s="37"/>
    </row>
    <row r="126" spans="4:10">
      <c r="D126" s="60">
        <v>120</v>
      </c>
      <c r="E126" s="61">
        <f t="shared" si="6"/>
        <v>4445.195711616062</v>
      </c>
      <c r="F126" s="62">
        <f t="shared" si="7"/>
        <v>38.490777698001942</v>
      </c>
      <c r="G126" s="62">
        <f t="shared" si="8"/>
        <v>4406.7049339180603</v>
      </c>
      <c r="H126" s="63">
        <f>+H125-G126</f>
        <v>-1.6552803572267294E-9</v>
      </c>
      <c r="I126" s="37">
        <f t="shared" si="10"/>
        <v>2908.9913347874894</v>
      </c>
      <c r="J126" s="37">
        <f t="shared" si="11"/>
        <v>50433.35720460525</v>
      </c>
    </row>
  </sheetData>
  <mergeCells count="1">
    <mergeCell ref="A3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M7"/>
  <sheetViews>
    <sheetView workbookViewId="0">
      <selection activeCell="E17" sqref="E17"/>
    </sheetView>
  </sheetViews>
  <sheetFormatPr baseColWidth="10" defaultRowHeight="15"/>
  <cols>
    <col min="1" max="1" width="21.140625" customWidth="1"/>
    <col min="2" max="9" width="12" bestFit="1" customWidth="1"/>
    <col min="10" max="10" width="13.85546875" customWidth="1"/>
    <col min="11" max="11" width="12" bestFit="1" customWidth="1"/>
    <col min="12" max="12" width="13.85546875" customWidth="1"/>
    <col min="13" max="13" width="12.7109375" customWidth="1"/>
  </cols>
  <sheetData>
    <row r="2" spans="1:13">
      <c r="A2" s="42" t="s">
        <v>240</v>
      </c>
      <c r="B2" s="42" t="s">
        <v>113</v>
      </c>
      <c r="C2" s="42" t="s">
        <v>114</v>
      </c>
      <c r="D2" s="42" t="s">
        <v>115</v>
      </c>
      <c r="E2" s="42" t="s">
        <v>116</v>
      </c>
      <c r="F2" s="42" t="s">
        <v>117</v>
      </c>
      <c r="G2" s="42" t="s">
        <v>118</v>
      </c>
      <c r="H2" s="42" t="s">
        <v>119</v>
      </c>
      <c r="I2" s="42" t="s">
        <v>120</v>
      </c>
      <c r="J2" s="42" t="s">
        <v>121</v>
      </c>
      <c r="K2" s="42" t="s">
        <v>122</v>
      </c>
      <c r="L2" s="42" t="s">
        <v>123</v>
      </c>
      <c r="M2" s="42" t="s">
        <v>124</v>
      </c>
    </row>
    <row r="3" spans="1:13">
      <c r="A3" t="s">
        <v>125</v>
      </c>
      <c r="B3" s="37">
        <f>+C.O!B10/12</f>
        <v>2433.2190666666665</v>
      </c>
      <c r="C3" s="37">
        <f>+B3</f>
        <v>2433.2190666666665</v>
      </c>
      <c r="D3" s="37">
        <f t="shared" ref="D3:M3" si="0">+C3</f>
        <v>2433.2190666666665</v>
      </c>
      <c r="E3" s="37">
        <f t="shared" si="0"/>
        <v>2433.2190666666665</v>
      </c>
      <c r="F3" s="37">
        <f t="shared" si="0"/>
        <v>2433.2190666666665</v>
      </c>
      <c r="G3" s="37">
        <f t="shared" si="0"/>
        <v>2433.2190666666665</v>
      </c>
      <c r="H3" s="37">
        <f t="shared" si="0"/>
        <v>2433.2190666666665</v>
      </c>
      <c r="I3" s="37">
        <f t="shared" si="0"/>
        <v>2433.2190666666665</v>
      </c>
      <c r="J3" s="37">
        <f t="shared" si="0"/>
        <v>2433.2190666666665</v>
      </c>
      <c r="K3" s="37">
        <f t="shared" si="0"/>
        <v>2433.2190666666665</v>
      </c>
      <c r="L3" s="37">
        <f t="shared" si="0"/>
        <v>2433.2190666666665</v>
      </c>
      <c r="M3" s="37">
        <f t="shared" si="0"/>
        <v>2433.2190666666665</v>
      </c>
    </row>
    <row r="4" spans="1:13">
      <c r="A4" t="s">
        <v>126</v>
      </c>
      <c r="B4" s="19">
        <f>+C.N.O!B14/12</f>
        <v>7903.4141666666665</v>
      </c>
      <c r="C4" s="19">
        <f>+B4</f>
        <v>7903.4141666666665</v>
      </c>
      <c r="D4" s="19">
        <f t="shared" ref="D4:M4" si="1">+C4</f>
        <v>7903.4141666666665</v>
      </c>
      <c r="E4" s="19">
        <f t="shared" si="1"/>
        <v>7903.4141666666665</v>
      </c>
      <c r="F4" s="19">
        <f t="shared" si="1"/>
        <v>7903.4141666666665</v>
      </c>
      <c r="G4" s="19">
        <f t="shared" si="1"/>
        <v>7903.4141666666665</v>
      </c>
      <c r="H4" s="19">
        <f t="shared" si="1"/>
        <v>7903.4141666666665</v>
      </c>
      <c r="I4" s="19">
        <f t="shared" si="1"/>
        <v>7903.4141666666665</v>
      </c>
      <c r="J4" s="19">
        <f t="shared" si="1"/>
        <v>7903.4141666666665</v>
      </c>
      <c r="K4" s="19">
        <f t="shared" si="1"/>
        <v>7903.4141666666665</v>
      </c>
      <c r="L4" s="19">
        <f t="shared" si="1"/>
        <v>7903.4141666666665</v>
      </c>
      <c r="M4" s="19">
        <f t="shared" si="1"/>
        <v>7903.4141666666665</v>
      </c>
    </row>
    <row r="5" spans="1:13">
      <c r="A5" t="s">
        <v>48</v>
      </c>
      <c r="B5" s="39">
        <f>+B3+B4</f>
        <v>10336.633233333334</v>
      </c>
      <c r="C5" s="37">
        <f t="shared" ref="C5:M5" si="2">+C3+C4</f>
        <v>10336.633233333334</v>
      </c>
      <c r="D5" s="37">
        <f t="shared" si="2"/>
        <v>10336.633233333334</v>
      </c>
      <c r="E5" s="37">
        <f t="shared" si="2"/>
        <v>10336.633233333334</v>
      </c>
      <c r="F5" s="37">
        <f t="shared" si="2"/>
        <v>10336.633233333334</v>
      </c>
      <c r="G5" s="37">
        <f t="shared" si="2"/>
        <v>10336.633233333334</v>
      </c>
      <c r="H5" s="37">
        <f t="shared" si="2"/>
        <v>10336.633233333334</v>
      </c>
      <c r="I5" s="37">
        <f t="shared" si="2"/>
        <v>10336.633233333334</v>
      </c>
      <c r="J5" s="37">
        <f t="shared" si="2"/>
        <v>10336.633233333334</v>
      </c>
      <c r="K5" s="37">
        <f t="shared" si="2"/>
        <v>10336.633233333334</v>
      </c>
      <c r="L5" s="37">
        <f t="shared" si="2"/>
        <v>10336.633233333334</v>
      </c>
      <c r="M5" s="37">
        <f t="shared" si="2"/>
        <v>10336.633233333334</v>
      </c>
    </row>
    <row r="6" spans="1:13">
      <c r="C6" s="37">
        <f>+B7-B5</f>
        <v>19061.780282166663</v>
      </c>
      <c r="D6" s="37">
        <f t="shared" ref="D6:M6" si="3">+C7-C5</f>
        <v>19061.780282166663</v>
      </c>
      <c r="E6" s="37">
        <f t="shared" si="3"/>
        <v>19061.780282166663</v>
      </c>
      <c r="F6" s="37">
        <f t="shared" si="3"/>
        <v>19061.780282166663</v>
      </c>
      <c r="G6" s="37">
        <f t="shared" si="3"/>
        <v>19061.780282166663</v>
      </c>
      <c r="H6" s="37">
        <f t="shared" si="3"/>
        <v>19061.780282166663</v>
      </c>
      <c r="I6" s="37">
        <f t="shared" si="3"/>
        <v>19061.780282166663</v>
      </c>
      <c r="J6" s="37">
        <f t="shared" si="3"/>
        <v>19061.780282166663</v>
      </c>
      <c r="K6" s="37">
        <f t="shared" si="3"/>
        <v>19061.780282166663</v>
      </c>
      <c r="L6" s="37">
        <f t="shared" si="3"/>
        <v>19061.780282166663</v>
      </c>
      <c r="M6" s="37">
        <f t="shared" si="3"/>
        <v>19061.780282166663</v>
      </c>
    </row>
    <row r="7" spans="1:13">
      <c r="A7" t="s">
        <v>87</v>
      </c>
      <c r="B7" s="19">
        <f>+'Ingreso Esperado'!B54/12</f>
        <v>29398.413515499997</v>
      </c>
      <c r="C7" s="19">
        <f>+B7</f>
        <v>29398.413515499997</v>
      </c>
      <c r="D7" s="19">
        <f t="shared" ref="D7:M7" si="4">+C7</f>
        <v>29398.413515499997</v>
      </c>
      <c r="E7" s="19">
        <f t="shared" si="4"/>
        <v>29398.413515499997</v>
      </c>
      <c r="F7" s="19">
        <f t="shared" si="4"/>
        <v>29398.413515499997</v>
      </c>
      <c r="G7" s="19">
        <f t="shared" si="4"/>
        <v>29398.413515499997</v>
      </c>
      <c r="H7" s="19">
        <f t="shared" si="4"/>
        <v>29398.413515499997</v>
      </c>
      <c r="I7" s="19">
        <f t="shared" si="4"/>
        <v>29398.413515499997</v>
      </c>
      <c r="J7" s="19">
        <f t="shared" si="4"/>
        <v>29398.413515499997</v>
      </c>
      <c r="K7" s="19">
        <f t="shared" si="4"/>
        <v>29398.413515499997</v>
      </c>
      <c r="L7" s="19">
        <f t="shared" si="4"/>
        <v>29398.413515499997</v>
      </c>
      <c r="M7" s="19">
        <f t="shared" si="4"/>
        <v>29398.413515499997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Supuestos</vt:lpstr>
      <vt:lpstr>Flujo de Caja</vt:lpstr>
      <vt:lpstr>Ingreso Esperado</vt:lpstr>
      <vt:lpstr>ANALISIS DE SENSIBILIDAD</vt:lpstr>
      <vt:lpstr>Rol de Pago</vt:lpstr>
      <vt:lpstr>Depreciación</vt:lpstr>
      <vt:lpstr>Inversión Inicial</vt:lpstr>
      <vt:lpstr>Préstamo</vt:lpstr>
      <vt:lpstr>CAPITAL DE TRABAJO</vt:lpstr>
      <vt:lpstr>C.O</vt:lpstr>
      <vt:lpstr>C.N.O</vt:lpstr>
      <vt:lpstr>Costo de Capital</vt:lpstr>
      <vt:lpstr>ESTADO DE RESULTADO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Bazurto</dc:creator>
  <cp:lastModifiedBy>MI PC</cp:lastModifiedBy>
  <cp:lastPrinted>2010-01-16T22:21:09Z</cp:lastPrinted>
  <dcterms:created xsi:type="dcterms:W3CDTF">2010-01-11T03:38:51Z</dcterms:created>
  <dcterms:modified xsi:type="dcterms:W3CDTF">2010-03-01T02:45:58Z</dcterms:modified>
</cp:coreProperties>
</file>