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90" windowWidth="9555" windowHeight="8955" tabRatio="898" firstSheet="1" activeTab="7"/>
  </bookViews>
  <sheets>
    <sheet name="Activos" sheetId="1" r:id="rId1"/>
    <sheet name="inversion inicial" sheetId="2" r:id="rId2"/>
    <sheet name="Depreciacion &amp; Amortizacion" sheetId="3" r:id="rId3"/>
    <sheet name="RRHH" sheetId="4" r:id="rId4"/>
    <sheet name="Determ de los ingresos" sheetId="5" r:id="rId5"/>
    <sheet name="Determ de costo  y gastos" sheetId="6" r:id="rId6"/>
    <sheet name="capital de trabajo" sheetId="7" r:id="rId7"/>
    <sheet name="Estados Financieros" sheetId="8" r:id="rId8"/>
    <sheet name="Tablas de Anex" sheetId="9" r:id="rId9"/>
  </sheets>
  <definedNames/>
  <calcPr fullCalcOnLoad="1"/>
</workbook>
</file>

<file path=xl/sharedStrings.xml><?xml version="1.0" encoding="utf-8"?>
<sst xmlns="http://schemas.openxmlformats.org/spreadsheetml/2006/main" count="876" uniqueCount="284">
  <si>
    <t>Equipos</t>
  </si>
  <si>
    <t>Cantidad</t>
  </si>
  <si>
    <t>Costo 
Unitario</t>
  </si>
  <si>
    <t>Presidente</t>
  </si>
  <si>
    <t>Gerente General</t>
  </si>
  <si>
    <t>Ventas</t>
  </si>
  <si>
    <t>Logistica</t>
  </si>
  <si>
    <t>contabilidad</t>
  </si>
  <si>
    <t>Produccion</t>
  </si>
  <si>
    <t>Recursos Humanos</t>
  </si>
  <si>
    <t>Balance de Activos</t>
  </si>
  <si>
    <t>vendedores</t>
  </si>
  <si>
    <t>Personal</t>
  </si>
  <si>
    <t>Asistente de Gerencia</t>
  </si>
  <si>
    <t>Valor de 
desecho</t>
  </si>
  <si>
    <t>numero de 
puestos</t>
  </si>
  <si>
    <t>total</t>
  </si>
  <si>
    <t>TOTAL</t>
  </si>
  <si>
    <t>unitarios  $</t>
  </si>
  <si>
    <t>Años</t>
  </si>
  <si>
    <t>Calendario de reinversion</t>
  </si>
  <si>
    <t>Calendario de ingresos por valor de desecho</t>
  </si>
  <si>
    <t>Total</t>
  </si>
  <si>
    <t>porcentaje de ventas</t>
  </si>
  <si>
    <t>decimo tercer 
sueldo</t>
  </si>
  <si>
    <t>decimo cuarto 
sueldo</t>
  </si>
  <si>
    <t>ventas anuales</t>
  </si>
  <si>
    <t>Infraestructura</t>
  </si>
  <si>
    <t>lineas telefonicas</t>
  </si>
  <si>
    <t>valor unitario</t>
  </si>
  <si>
    <t>Internet</t>
  </si>
  <si>
    <t>cantidad</t>
  </si>
  <si>
    <t>valor total</t>
  </si>
  <si>
    <t>Equipos de Oficina</t>
  </si>
  <si>
    <t>Descripicion</t>
  </si>
  <si>
    <t>Valor Unitario</t>
  </si>
  <si>
    <t>Valor total</t>
  </si>
  <si>
    <t>Dispensador de Agua</t>
  </si>
  <si>
    <t>aire acondicionado</t>
  </si>
  <si>
    <t>telefonos e instalacion</t>
  </si>
  <si>
    <t>Descripcion</t>
  </si>
  <si>
    <t>Scanner</t>
  </si>
  <si>
    <t>Computadoras</t>
  </si>
  <si>
    <t>Impresora laser HP Deskject</t>
  </si>
  <si>
    <t>Muebles de oficina</t>
  </si>
  <si>
    <t>Pizarra</t>
  </si>
  <si>
    <t>Escritorios ejecutivos</t>
  </si>
  <si>
    <t>sillas ejecutivas</t>
  </si>
  <si>
    <t>silas de oficina</t>
  </si>
  <si>
    <t>archivadores</t>
  </si>
  <si>
    <t>mesa de juntas</t>
  </si>
  <si>
    <t>Suministros de oficina</t>
  </si>
  <si>
    <t>CD</t>
  </si>
  <si>
    <t>Resmas de hojas</t>
  </si>
  <si>
    <t>grapadoras</t>
  </si>
  <si>
    <t>marcadores de pizarra</t>
  </si>
  <si>
    <t>caja de grapas</t>
  </si>
  <si>
    <t>caja de clips</t>
  </si>
  <si>
    <t>plumas</t>
  </si>
  <si>
    <t>sellos</t>
  </si>
  <si>
    <t>Valor  Total</t>
  </si>
  <si>
    <t>Arriendo</t>
  </si>
  <si>
    <t>Inversion Inicial</t>
  </si>
  <si>
    <t>Local</t>
  </si>
  <si>
    <t>Bodega</t>
  </si>
  <si>
    <t>adelanto (meses)</t>
  </si>
  <si>
    <t>Vida Util</t>
  </si>
  <si>
    <t>Porcentaje fijo</t>
  </si>
  <si>
    <t>Valor</t>
  </si>
  <si>
    <t>Depreciacion de Equipos de computacion</t>
  </si>
  <si>
    <t>Depreciacion de Equipos de Oficina</t>
  </si>
  <si>
    <t>Depreciacion de Muebles de Oficina</t>
  </si>
  <si>
    <t>Depreciacion de Vehiculos</t>
  </si>
  <si>
    <t>Vehiculos</t>
  </si>
  <si>
    <t>Porcentaje Fijo</t>
  </si>
  <si>
    <t>Camioneta Dimax 2009</t>
  </si>
  <si>
    <t>5 años</t>
  </si>
  <si>
    <t>sistema de esterilizaciòn</t>
  </si>
  <si>
    <t>alcohol isopropilico tanque 55 galones</t>
  </si>
  <si>
    <t>Secador Indutrial</t>
  </si>
  <si>
    <t>INVERSION INICIAL</t>
  </si>
  <si>
    <t>Remodelacion</t>
  </si>
  <si>
    <t>Proyector</t>
  </si>
  <si>
    <t>Sueldo mensual</t>
  </si>
  <si>
    <t>total mensual</t>
  </si>
  <si>
    <t>SUELDOS</t>
  </si>
  <si>
    <t>TOTAL SUELDOS</t>
  </si>
  <si>
    <t>aporte al IESS</t>
  </si>
  <si>
    <t>aportes patronales</t>
  </si>
  <si>
    <t>bonos
Vendedores</t>
  </si>
  <si>
    <t>Aporte al IESS</t>
  </si>
  <si>
    <t>Aporte Patronales</t>
  </si>
  <si>
    <t>BENEFICIOS DE LEY</t>
  </si>
  <si>
    <t xml:space="preserve">Decimo tercer sueldo </t>
  </si>
  <si>
    <t>Decimo Cuarto sueldo</t>
  </si>
  <si>
    <t>TOTAL SUELDOS + BENEFICOS DE LEY</t>
  </si>
  <si>
    <t>TOTAL BENEFICIOS</t>
  </si>
  <si>
    <t>Total mensual</t>
  </si>
  <si>
    <t>Total anual</t>
  </si>
  <si>
    <t>drenador descartable</t>
  </si>
  <si>
    <t>cajas de carton</t>
  </si>
  <si>
    <t>diseño</t>
  </si>
  <si>
    <t>Año 1</t>
  </si>
  <si>
    <t>Demanda mensual</t>
  </si>
  <si>
    <t>Hospitales Guayaquil</t>
  </si>
  <si>
    <t>Hospitles Quito</t>
  </si>
  <si>
    <t>Centros medicos  Guayaquil</t>
  </si>
  <si>
    <t>Centros medicos Quito</t>
  </si>
  <si>
    <t>Incremento Demanda Guayaquil</t>
  </si>
  <si>
    <t>Incremento demanda Quito</t>
  </si>
  <si>
    <t>-</t>
  </si>
  <si>
    <t>Año 2</t>
  </si>
  <si>
    <t>Año 3</t>
  </si>
  <si>
    <t>Año 4</t>
  </si>
  <si>
    <t>Año 5</t>
  </si>
  <si>
    <t>cobertura de la demanda anual en %</t>
  </si>
  <si>
    <t>año 1</t>
  </si>
  <si>
    <t>año 2</t>
  </si>
  <si>
    <t>año 3</t>
  </si>
  <si>
    <t>año 4</t>
  </si>
  <si>
    <t>año 5</t>
  </si>
  <si>
    <t>Demanda Mensual</t>
  </si>
  <si>
    <t>demanda mensual estimada</t>
  </si>
  <si>
    <t>Demanda Anual</t>
  </si>
  <si>
    <t>Cobertura de Mercado</t>
  </si>
  <si>
    <t>Concepto</t>
  </si>
  <si>
    <t>Costo total 
anual</t>
  </si>
  <si>
    <t>año</t>
  </si>
  <si>
    <t>Demanda 
mercado
anual</t>
  </si>
  <si>
    <t>Precio</t>
  </si>
  <si>
    <t>alcohol isopropilico</t>
  </si>
  <si>
    <t>Costo Final Unitario</t>
  </si>
  <si>
    <t>Periodo</t>
  </si>
  <si>
    <t>Produccion 
anual</t>
  </si>
  <si>
    <t>Numero de obreros 
requeridos</t>
  </si>
  <si>
    <t>Costo MOD
Por Unidad</t>
  </si>
  <si>
    <t>Costo Total 
Anual</t>
  </si>
  <si>
    <t>Ingresos 
Proyectados</t>
  </si>
  <si>
    <t>secado</t>
  </si>
  <si>
    <t>Produccion 
Anual</t>
  </si>
  <si>
    <t>Es decir, al final del primer año habremos cubierto mas del 30% de la demanda total anual de mercado, y para diciembre de este año estaremos cubriendo cerca del 37% 
de la demanda mensual de mercado. Al final de los primeros 5 años se espera llegar a cubrir el 86% de la demanda anual del mercado.</t>
  </si>
  <si>
    <t>Obreros</t>
  </si>
  <si>
    <t>Costos Directos de Produccio</t>
  </si>
  <si>
    <t>Costo de mano de obra directa por unidad de producto</t>
  </si>
  <si>
    <t>Total Salario 
Obrero</t>
  </si>
  <si>
    <t>Calculo de los gastos generales de fabricacion por unidad</t>
  </si>
  <si>
    <t>Costo Total
Mensual</t>
  </si>
  <si>
    <t>Costo Total 
Anual 1</t>
  </si>
  <si>
    <t>Costo Total 
Anual 2</t>
  </si>
  <si>
    <t>Costo Total 
Anual 3</t>
  </si>
  <si>
    <t>Costo Total 
Anual 4</t>
  </si>
  <si>
    <t>Costo Total 
Anual 5</t>
  </si>
  <si>
    <t>Mano de Obra indirecta</t>
  </si>
  <si>
    <t>Gastos Generales</t>
  </si>
  <si>
    <t>Agua Potable</t>
  </si>
  <si>
    <t>Energia Electrica</t>
  </si>
  <si>
    <t>Servicio Telefonico</t>
  </si>
  <si>
    <t>Produccion
Anual</t>
  </si>
  <si>
    <t>TOTALES</t>
  </si>
  <si>
    <t>Gastos Administrativos</t>
  </si>
  <si>
    <t>Sueldos y Salarios</t>
  </si>
  <si>
    <t>Gastos de Ventas</t>
  </si>
  <si>
    <t>Publicidad</t>
  </si>
  <si>
    <t>Costo Total Anual
Gastos indirectos 
de Fabricacion</t>
  </si>
  <si>
    <t>Costo GGF
por Unidad</t>
  </si>
  <si>
    <t>Calculo del costo de produccion durante los primeros 5 años</t>
  </si>
  <si>
    <t>Materia Prima</t>
  </si>
  <si>
    <t>Mano de Obra Directa
Por unidad</t>
  </si>
  <si>
    <t>Gasto Generales 
de Fabricacion
 por unidad</t>
  </si>
  <si>
    <t>Costo Produccion 
por Unidad</t>
  </si>
  <si>
    <t>Costo Produccion 
Anual</t>
  </si>
  <si>
    <t>Costos 
Proyectados</t>
  </si>
  <si>
    <t>Produccion
Hospitalaria 
Anual</t>
  </si>
  <si>
    <t>Con el analisis de mercado, obtuvimos que, los hospitales y centros medicos de Quito y Guayaquil tienen una demanda  20000 unidades de drenadores de fluidos mensuales,  con una tasa de constante de crecimiento de 2,09% anual, de las 20000 unidades, el primer mes nuestra empresa abarcara el   casi el 37% de la demanda mensual en estas dos ciudades. el siguiente mes de haber iniciado la empresa se estimo un incremento en las ventas del 2% mensual y para el resto del año el 3% debido a las esrategias de mercados aplicadas, al principio del siguiente año la demanda del dreandor se reduce al 2%, y mantiene un crecimiento constante del 2%.</t>
  </si>
  <si>
    <t>En los Gastos Administrativos solo contamos con los salarios de los que estan encargados del manejo administrativo, incluyendo el del Presidente y gerente general. No contamos con el rubro de comisiones, pues ellos tiene una participacion de las ventas, fuera del precio del consumidor final, por lo tanto no lo contamos como gasto pues tampoco lo hemos cobrado como ingreso directo, sin embargo si contamos con el reubro de publicidad en la cuenta gasto de ventas</t>
  </si>
  <si>
    <t>Como Podemos Observar, los cotos de produccion estan directamente relacionados con el producto, y estan compuesto por la materia prima directa e indirecta, la mano de obra directa e indirecta, y los servicios basicos</t>
  </si>
  <si>
    <t>Costos De produccion</t>
  </si>
  <si>
    <t>Mano de Obra Directa</t>
  </si>
  <si>
    <t>Gastos Generales 
de Fabricacion</t>
  </si>
  <si>
    <t>Salario Mensual
por Obreo</t>
  </si>
  <si>
    <t>Columna1</t>
  </si>
  <si>
    <t>Columna2</t>
  </si>
  <si>
    <t>Columna3</t>
  </si>
  <si>
    <t>Columna4</t>
  </si>
  <si>
    <t>Columna5</t>
  </si>
  <si>
    <t>Columna6</t>
  </si>
  <si>
    <t>Metodo de Deficit acumulado maximo</t>
  </si>
  <si>
    <t>Politica de Cobro</t>
  </si>
  <si>
    <t>Efectivo</t>
  </si>
  <si>
    <t>Ene</t>
  </si>
  <si>
    <t>Feb</t>
  </si>
  <si>
    <t>Mar</t>
  </si>
  <si>
    <t>Abr</t>
  </si>
  <si>
    <t>May</t>
  </si>
  <si>
    <t>Jun</t>
  </si>
  <si>
    <t>Jul</t>
  </si>
  <si>
    <t>Ago</t>
  </si>
  <si>
    <t>Sep</t>
  </si>
  <si>
    <t>Oct</t>
  </si>
  <si>
    <t>Nov</t>
  </si>
  <si>
    <t>Dic</t>
  </si>
  <si>
    <t>Ventas (q)</t>
  </si>
  <si>
    <t>Ventas (S)</t>
  </si>
  <si>
    <t xml:space="preserve">Credito </t>
  </si>
  <si>
    <t>GGF</t>
  </si>
  <si>
    <t>Material Directo</t>
  </si>
  <si>
    <t>Es el mas exacto para calcular la inversion en capital de trabajo, al determinar el maximo deficit entre la ocurrencia de los ingresos y egresos</t>
  </si>
  <si>
    <t>Egreso mensual</t>
  </si>
  <si>
    <t>Gastos en Publicidad</t>
  </si>
  <si>
    <t>Compra de Premios</t>
  </si>
  <si>
    <t>mesitas de cirujia</t>
  </si>
  <si>
    <t>Total Publicidad</t>
  </si>
  <si>
    <t>Total Publicidad Anual</t>
  </si>
  <si>
    <t>Ingreso Mensual</t>
  </si>
  <si>
    <t>Egreso Mensual</t>
  </si>
  <si>
    <t>Saldo Mensual</t>
  </si>
  <si>
    <t>Saldo Acumulado</t>
  </si>
  <si>
    <t>Total Anual</t>
  </si>
  <si>
    <t>Equipos de computacion</t>
  </si>
  <si>
    <t>Escritorios de oficina</t>
  </si>
  <si>
    <t>Sistema contable</t>
  </si>
  <si>
    <t>Constitucion de la compañía</t>
  </si>
  <si>
    <t>Valor Total</t>
  </si>
  <si>
    <t>Patente de Drenador</t>
  </si>
  <si>
    <t>cobertura de la demanda mens mes  12</t>
  </si>
  <si>
    <t>Mano de Obra Indirecta</t>
  </si>
  <si>
    <t>Compresor de aire simplex 5 Hp</t>
  </si>
  <si>
    <t>camionetas Dmax 2010</t>
  </si>
  <si>
    <t>Sueldo anual
Sin Beneficios</t>
  </si>
  <si>
    <t>Sueldo Anual
Con Beneficios</t>
  </si>
  <si>
    <t>Gastos por sueldo y beneficio por ley</t>
  </si>
  <si>
    <t>Costo 
Total</t>
  </si>
  <si>
    <t>Vida 
Util</t>
  </si>
  <si>
    <t>Depreciacion de Infraestructura</t>
  </si>
  <si>
    <t>Depreciacion 
Anual</t>
  </si>
  <si>
    <t>Depreciacion 
Mensual</t>
  </si>
  <si>
    <t>Precio de 
Venta Total</t>
  </si>
  <si>
    <t>Alquiler de local</t>
  </si>
  <si>
    <t>maximo deficit</t>
  </si>
  <si>
    <t>En la infraestructura se detallan los bienes necesarios para el embalaje comercialización y distribución de nuestro producto</t>
  </si>
  <si>
    <t>En los suministros de oficina agregamos el supply necesario para que el área administrativa trabaje sin ningún contratiempo</t>
  </si>
  <si>
    <t>Los muebles de oficina también son para el área administrativa, en los cuales se incluye una mesa de juntas y una pizarra para la sala de ventas</t>
  </si>
  <si>
    <t>Los Equipos de computación, será de uso exclusivo del área administrativa, y abra 1 en cada departamento, el proyector será para el área de ventas, el scanner los tendrá la secretaria ejecutiva, y las impresoras estarán repartidas en los distintos departamentos.</t>
  </si>
  <si>
    <t>Los bienes inmuebles tienen un valor detallado según los siguientes cuadros, en los cuales también se detallan productos que se regalaran a hospitales y centros médicos por la compra de nuestro producto.</t>
  </si>
  <si>
    <t xml:space="preserve">La compañía se iniciara en un local Ubicado en las calles ··················· y se la alquilara por un valor de 600 dólares mensuales y habrá que realizar un deposito adelantado de un mes, la bodega estará Ubicada en ············ </t>
  </si>
  <si>
    <t>Dentro de los vehículos contemplamos la compra de dos camionetas Dmax del año, las cuales serán administradas por el departamento de logística y servirán para la distribución del producto</t>
  </si>
  <si>
    <t>Con la investigación de mercado que se realizo establecemos que es un mercado rentable para HOSPITALARIA ya que el drenador que comercializaremos es un producto nuevo que no se encuentra en el mercado, y los productos competidores son importados y caros  para los usuarios, siendo una oportunidad para que la empresa pueda comercializarlos</t>
  </si>
  <si>
    <t>Empleados</t>
  </si>
  <si>
    <t>tasa de inflacion.</t>
  </si>
  <si>
    <t>Cuenta de Resultados</t>
  </si>
  <si>
    <t>Ventas Brutas</t>
  </si>
  <si>
    <t>Ventas Netas</t>
  </si>
  <si>
    <t>Costos de Producción</t>
  </si>
  <si>
    <t>Materias Primas</t>
  </si>
  <si>
    <t>Costos indirectos de Fabricacion</t>
  </si>
  <si>
    <t>Margen Industrial</t>
  </si>
  <si>
    <t>Comision sobre Ventas</t>
  </si>
  <si>
    <t>Margen de Contribucion</t>
  </si>
  <si>
    <t>Gastos de internet</t>
  </si>
  <si>
    <t>mantenimiento de Vehiculo</t>
  </si>
  <si>
    <t>Sueldos y salarios</t>
  </si>
  <si>
    <t>Publicidad y marketing</t>
  </si>
  <si>
    <t>Margen Comercial</t>
  </si>
  <si>
    <t>Depreciacion</t>
  </si>
  <si>
    <t>Amortizacion</t>
  </si>
  <si>
    <t>U.A.I.I.</t>
  </si>
  <si>
    <t>Impuesto</t>
  </si>
  <si>
    <t>Utilidad Neta</t>
  </si>
  <si>
    <t>Prestamo</t>
  </si>
  <si>
    <t>Capital de Trabajo</t>
  </si>
  <si>
    <t>Valor de Desecho</t>
  </si>
  <si>
    <t>Flujo de Caja</t>
  </si>
  <si>
    <t>Cuadro de Amortizacion de Activos</t>
  </si>
  <si>
    <t>mantenimiento de Oficina</t>
  </si>
  <si>
    <t>º</t>
  </si>
  <si>
    <t>Aporte
Patronales</t>
  </si>
  <si>
    <t>Numero de 
puestos</t>
  </si>
  <si>
    <t>Salario
unitario</t>
  </si>
  <si>
    <t>Total
Mensual</t>
  </si>
  <si>
    <t>Sueldo Anual
Sin Beneficios</t>
  </si>
  <si>
    <t>El sueldo total anual de los empleados, es la suma del sueldo anual sin beneficios mas los beneficio por ley, que incluye decimo tercer y cuarto sueldo, aportes al IESS y los aportes patronales y para los vendedores que cumplan los objetivos de ventas para el final del primer perido,  se les dara un bono correspondiente al 4% de las ventas totales anuales de Hospitalaria</t>
  </si>
  <si>
    <t>Costo Variable Unitario</t>
  </si>
  <si>
    <t>Tir</t>
  </si>
  <si>
    <t>Tmar</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</si>
</sst>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quot;$&quot;\ * #,##0.000_);_(&quot;$&quot;\ * \(#,##0.000\);_(&quot;$&quot;\ * &quot;-&quot;??_);_(@_)"/>
    <numFmt numFmtId="174" formatCode="[$$-300A]\ #,##0.00"/>
    <numFmt numFmtId="175" formatCode="_(&quot;$&quot;\ * #,##0_);_(&quot;$&quot;\ * \(#,##0\);_(&quot;$&quot;\ * &quot;-&quot;??_);_(@_)"/>
    <numFmt numFmtId="176" formatCode="0.0%"/>
  </numFmts>
  <fonts count="31">
    <font>
      <sz val="11"/>
      <color indexed="8"/>
      <name val="Calibri"/>
      <family val="2"/>
    </font>
    <font>
      <b/>
      <sz val="11"/>
      <color indexed="8"/>
      <name val="Calibri"/>
      <family val="2"/>
    </font>
    <font>
      <u val="single"/>
      <sz val="11"/>
      <color indexed="8"/>
      <name val="Calibri"/>
      <family val="2"/>
    </font>
    <font>
      <b/>
      <i/>
      <sz val="12"/>
      <color indexed="8"/>
      <name val="Arial"/>
      <family val="2"/>
    </font>
    <font>
      <sz val="12"/>
      <color indexed="8"/>
      <name val="Arial"/>
      <family val="2"/>
    </font>
    <font>
      <b/>
      <sz val="12"/>
      <color indexed="9"/>
      <name val="Arial"/>
      <family val="2"/>
    </font>
    <font>
      <b/>
      <sz val="12"/>
      <color indexed="8"/>
      <name val="Arial"/>
      <family val="2"/>
    </font>
    <font>
      <b/>
      <u val="single"/>
      <sz val="11"/>
      <color indexed="8"/>
      <name val="Calibri"/>
      <family val="2"/>
    </font>
    <font>
      <sz val="11"/>
      <color indexed="62"/>
      <name val="Calibri"/>
      <family val="2"/>
    </font>
    <font>
      <b/>
      <sz val="11"/>
      <color indexed="62"/>
      <name val="Calibri"/>
      <family val="2"/>
    </font>
    <font>
      <sz val="8"/>
      <name val="Calibri"/>
      <family val="2"/>
    </font>
    <font>
      <sz val="11"/>
      <color indexed="9"/>
      <name val="Calibri"/>
      <family val="2"/>
    </font>
    <font>
      <sz val="12"/>
      <name val="Arial"/>
      <family val="2"/>
    </font>
    <font>
      <sz val="12"/>
      <color indexed="8"/>
      <name val="Symbol"/>
      <family val="1"/>
    </font>
    <font>
      <sz val="11"/>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indexed="8"/>
      <name val="Calibri"/>
      <family val="0"/>
    </font>
    <font>
      <b/>
      <sz val="18"/>
      <color indexed="8"/>
      <name val="Calibri"/>
      <family val="0"/>
    </font>
    <font>
      <b/>
      <sz val="10"/>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9"/>
        <bgColor indexed="64"/>
      </patternFill>
    </fill>
    <fill>
      <patternFill patternType="solid">
        <fgColor indexed="31"/>
        <bgColor indexed="64"/>
      </patternFill>
    </fill>
    <fill>
      <patternFill patternType="solid">
        <fgColor indexed="13"/>
        <bgColor indexed="64"/>
      </patternFill>
    </fill>
    <fill>
      <patternFill patternType="solid">
        <fgColor indexed="5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thin"/>
      <right style="thin"/>
      <top/>
      <bottom/>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right style="thin"/>
      <top style="thin"/>
      <bottom/>
    </border>
    <border>
      <left/>
      <right/>
      <top style="thin"/>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border>
    <border>
      <left/>
      <right style="thin"/>
      <top/>
      <bottom/>
    </border>
    <border>
      <left/>
      <right/>
      <top style="thin"/>
      <bottom style="thin"/>
    </border>
    <border>
      <left style="thin"/>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1" fillId="3" borderId="0" applyNumberFormat="0" applyBorder="0" applyAlignment="0" applyProtection="0"/>
    <xf numFmtId="0" fontId="24" fillId="20" borderId="1" applyNumberFormat="0" applyAlignment="0" applyProtection="0"/>
    <xf numFmtId="0" fontId="15" fillId="21" borderId="2" applyNumberFormat="0" applyAlignment="0" applyProtection="0"/>
    <xf numFmtId="0" fontId="27"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7" borderId="1" applyNumberFormat="0" applyAlignment="0" applyProtection="0"/>
    <xf numFmtId="0" fontId="25" fillId="0" borderId="6" applyNumberFormat="0" applyFill="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235">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170" fontId="0" fillId="0" borderId="0" xfId="0" applyNumberFormat="1" applyAlignment="1">
      <alignment/>
    </xf>
    <xf numFmtId="170" fontId="0" fillId="0" borderId="0" xfId="52" applyFont="1" applyAlignment="1">
      <alignment/>
    </xf>
    <xf numFmtId="9" fontId="0" fillId="0" borderId="0" xfId="0" applyNumberFormat="1" applyAlignment="1">
      <alignment/>
    </xf>
    <xf numFmtId="0" fontId="0" fillId="0" borderId="0" xfId="0" applyBorder="1" applyAlignment="1">
      <alignment/>
    </xf>
    <xf numFmtId="0" fontId="0" fillId="0" borderId="10" xfId="0" applyBorder="1" applyAlignment="1">
      <alignment/>
    </xf>
    <xf numFmtId="170" fontId="0" fillId="0" borderId="10" xfId="52" applyFont="1" applyBorder="1" applyAlignment="1">
      <alignment/>
    </xf>
    <xf numFmtId="0" fontId="0" fillId="0" borderId="10" xfId="0" applyBorder="1" applyAlignment="1">
      <alignment horizontal="center" vertical="center"/>
    </xf>
    <xf numFmtId="0" fontId="0" fillId="0" borderId="10" xfId="0" applyFill="1" applyBorder="1" applyAlignment="1">
      <alignment/>
    </xf>
    <xf numFmtId="170" fontId="0" fillId="0" borderId="10" xfId="0" applyNumberFormat="1" applyBorder="1" applyAlignment="1">
      <alignment/>
    </xf>
    <xf numFmtId="10" fontId="0" fillId="0" borderId="0" xfId="0" applyNumberFormat="1" applyAlignment="1">
      <alignment/>
    </xf>
    <xf numFmtId="0" fontId="0" fillId="0" borderId="10" xfId="0" applyBorder="1" applyAlignment="1">
      <alignment horizontal="center" vertical="center" wrapText="1"/>
    </xf>
    <xf numFmtId="170" fontId="0" fillId="0" borderId="10" xfId="52" applyFont="1" applyFill="1" applyBorder="1" applyAlignment="1">
      <alignment/>
    </xf>
    <xf numFmtId="170" fontId="0" fillId="0" borderId="0" xfId="0" applyNumberFormat="1" applyBorder="1" applyAlignment="1">
      <alignment/>
    </xf>
    <xf numFmtId="0" fontId="0" fillId="0" borderId="0" xfId="0" applyAlignment="1">
      <alignment horizontal="right"/>
    </xf>
    <xf numFmtId="0" fontId="3" fillId="0" borderId="0" xfId="0" applyFont="1" applyAlignment="1">
      <alignment/>
    </xf>
    <xf numFmtId="0" fontId="4" fillId="0" borderId="0" xfId="0" applyFont="1" applyAlignment="1">
      <alignment/>
    </xf>
    <xf numFmtId="0" fontId="5" fillId="24" borderId="10" xfId="0" applyFont="1" applyFill="1" applyBorder="1" applyAlignment="1">
      <alignment horizontal="center" vertical="center"/>
    </xf>
    <xf numFmtId="0" fontId="4" fillId="0" borderId="10" xfId="0" applyFont="1" applyBorder="1" applyAlignment="1">
      <alignment/>
    </xf>
    <xf numFmtId="170" fontId="4" fillId="0" borderId="10" xfId="52" applyFont="1" applyBorder="1" applyAlignment="1">
      <alignment/>
    </xf>
    <xf numFmtId="0" fontId="4" fillId="0" borderId="10" xfId="0" applyFont="1" applyFill="1" applyBorder="1" applyAlignment="1">
      <alignment/>
    </xf>
    <xf numFmtId="10" fontId="0" fillId="0" borderId="0" xfId="57" applyNumberFormat="1" applyFont="1" applyAlignment="1">
      <alignment/>
    </xf>
    <xf numFmtId="0" fontId="4" fillId="0" borderId="0" xfId="0" applyFont="1" applyBorder="1" applyAlignment="1">
      <alignment/>
    </xf>
    <xf numFmtId="0" fontId="6"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70" fontId="4" fillId="0" borderId="11" xfId="0" applyNumberFormat="1" applyFont="1" applyBorder="1" applyAlignment="1">
      <alignment/>
    </xf>
    <xf numFmtId="170" fontId="4" fillId="0" borderId="12" xfId="52" applyFont="1" applyBorder="1" applyAlignment="1">
      <alignment/>
    </xf>
    <xf numFmtId="170" fontId="4" fillId="0" borderId="12" xfId="0" applyNumberFormat="1" applyFont="1" applyBorder="1" applyAlignment="1">
      <alignment/>
    </xf>
    <xf numFmtId="170" fontId="4" fillId="0" borderId="13" xfId="0" applyNumberFormat="1" applyFont="1" applyBorder="1" applyAlignment="1">
      <alignment/>
    </xf>
    <xf numFmtId="0" fontId="5" fillId="25" borderId="14" xfId="0" applyFont="1" applyFill="1" applyBorder="1" applyAlignment="1">
      <alignment horizontal="center"/>
    </xf>
    <xf numFmtId="0" fontId="5" fillId="25" borderId="10" xfId="0" applyFont="1" applyFill="1" applyBorder="1" applyAlignment="1">
      <alignment horizontal="center"/>
    </xf>
    <xf numFmtId="0" fontId="5" fillId="25" borderId="13" xfId="0" applyFont="1" applyFill="1" applyBorder="1" applyAlignment="1">
      <alignment horizontal="center"/>
    </xf>
    <xf numFmtId="0" fontId="0" fillId="0" borderId="10" xfId="0" applyBorder="1" applyAlignment="1">
      <alignment horizontal="center"/>
    </xf>
    <xf numFmtId="1" fontId="0" fillId="0" borderId="10" xfId="0" applyNumberFormat="1" applyBorder="1" applyAlignment="1">
      <alignment/>
    </xf>
    <xf numFmtId="1" fontId="0" fillId="0" borderId="0" xfId="0" applyNumberFormat="1" applyAlignment="1">
      <alignment/>
    </xf>
    <xf numFmtId="170" fontId="0" fillId="0" borderId="0" xfId="52" applyFont="1" applyFill="1" applyBorder="1" applyAlignment="1">
      <alignment/>
    </xf>
    <xf numFmtId="1" fontId="0" fillId="0" borderId="10" xfId="0" applyNumberFormat="1" applyBorder="1" applyAlignment="1">
      <alignment horizontal="center"/>
    </xf>
    <xf numFmtId="0" fontId="1" fillId="0" borderId="10" xfId="0" applyFont="1" applyBorder="1" applyAlignment="1">
      <alignment/>
    </xf>
    <xf numFmtId="0" fontId="0" fillId="0" borderId="10" xfId="0" applyBorder="1" applyAlignment="1">
      <alignment horizontal="center" wrapText="1"/>
    </xf>
    <xf numFmtId="170" fontId="0" fillId="0" borderId="0" xfId="52" applyFont="1" applyBorder="1" applyAlignment="1">
      <alignment/>
    </xf>
    <xf numFmtId="0" fontId="0" fillId="0" borderId="10" xfId="0" applyFill="1" applyBorder="1" applyAlignment="1">
      <alignment horizontal="center"/>
    </xf>
    <xf numFmtId="170" fontId="0" fillId="0" borderId="10" xfId="0" applyNumberFormat="1" applyBorder="1" applyAlignment="1">
      <alignment horizontal="center"/>
    </xf>
    <xf numFmtId="1" fontId="0" fillId="0" borderId="10" xfId="0" applyNumberFormat="1" applyBorder="1" applyAlignment="1">
      <alignment horizontal="center" vertical="center"/>
    </xf>
    <xf numFmtId="170"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xf>
    <xf numFmtId="170" fontId="0" fillId="0" borderId="10" xfId="52" applyFont="1" applyBorder="1" applyAlignment="1">
      <alignment horizontal="center"/>
    </xf>
    <xf numFmtId="170" fontId="0" fillId="0" borderId="10" xfId="52" applyFont="1" applyBorder="1" applyAlignment="1">
      <alignment horizontal="center" vertical="center"/>
    </xf>
    <xf numFmtId="0" fontId="2" fillId="0" borderId="0" xfId="0" applyFont="1" applyAlignment="1">
      <alignment/>
    </xf>
    <xf numFmtId="170" fontId="0" fillId="0" borderId="10" xfId="0" applyNumberFormat="1" applyBorder="1" applyAlignment="1">
      <alignment horizontal="center" vertical="center" wrapText="1"/>
    </xf>
    <xf numFmtId="0" fontId="2" fillId="0" borderId="0" xfId="0" applyFont="1" applyBorder="1" applyAlignment="1">
      <alignment/>
    </xf>
    <xf numFmtId="0" fontId="0" fillId="0" borderId="10" xfId="0" applyFont="1" applyBorder="1" applyAlignment="1">
      <alignment horizontal="center" vertical="center"/>
    </xf>
    <xf numFmtId="170" fontId="1" fillId="0" borderId="10" xfId="0" applyNumberFormat="1" applyFont="1" applyBorder="1" applyAlignment="1">
      <alignment/>
    </xf>
    <xf numFmtId="170" fontId="1" fillId="0" borderId="10" xfId="52" applyFont="1" applyBorder="1" applyAlignment="1">
      <alignment/>
    </xf>
    <xf numFmtId="0" fontId="7" fillId="0" borderId="0" xfId="0" applyFont="1" applyAlignment="1">
      <alignment/>
    </xf>
    <xf numFmtId="10" fontId="0" fillId="0" borderId="10" xfId="57" applyNumberFormat="1" applyFont="1" applyBorder="1" applyAlignment="1">
      <alignment horizontal="left"/>
    </xf>
    <xf numFmtId="10" fontId="0" fillId="0" borderId="10" xfId="57" applyNumberFormat="1" applyFont="1" applyBorder="1" applyAlignment="1">
      <alignment horizontal="center" vertical="center"/>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horizontal="center" vertical="center"/>
    </xf>
    <xf numFmtId="170" fontId="0" fillId="0" borderId="14" xfId="0" applyNumberFormat="1" applyBorder="1" applyAlignment="1">
      <alignment horizontal="center" vertical="center"/>
    </xf>
    <xf numFmtId="170" fontId="0" fillId="0" borderId="18" xfId="0" applyNumberFormat="1" applyBorder="1" applyAlignment="1">
      <alignment horizontal="center" vertical="center"/>
    </xf>
    <xf numFmtId="170" fontId="0" fillId="0" borderId="19" xfId="0" applyNumberForma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20" xfId="0" applyBorder="1" applyAlignment="1">
      <alignment horizontal="left" vertical="center"/>
    </xf>
    <xf numFmtId="170" fontId="0" fillId="0" borderId="10" xfId="52" applyNumberFormat="1" applyFont="1" applyBorder="1" applyAlignment="1">
      <alignment/>
    </xf>
    <xf numFmtId="0" fontId="9" fillId="0" borderId="10" xfId="0" applyFont="1" applyBorder="1" applyAlignment="1">
      <alignment horizontal="center" vertical="center"/>
    </xf>
    <xf numFmtId="0" fontId="8" fillId="26" borderId="10" xfId="0" applyFont="1" applyFill="1" applyBorder="1" applyAlignment="1">
      <alignment horizontal="center" vertical="center"/>
    </xf>
    <xf numFmtId="170" fontId="1" fillId="0" borderId="10" xfId="52" applyFont="1" applyBorder="1" applyAlignment="1">
      <alignment/>
    </xf>
    <xf numFmtId="0" fontId="12" fillId="0" borderId="10" xfId="0" applyFont="1" applyBorder="1" applyAlignment="1">
      <alignment/>
    </xf>
    <xf numFmtId="0" fontId="4" fillId="0" borderId="0" xfId="0" applyFont="1" applyAlignment="1">
      <alignment/>
    </xf>
    <xf numFmtId="0" fontId="5" fillId="24" borderId="11" xfId="0" applyFont="1" applyFill="1" applyBorder="1" applyAlignment="1">
      <alignment horizontal="center" vertical="center"/>
    </xf>
    <xf numFmtId="0" fontId="4" fillId="0" borderId="10" xfId="0" applyFont="1" applyBorder="1" applyAlignment="1">
      <alignment/>
    </xf>
    <xf numFmtId="170" fontId="4" fillId="0" borderId="10" xfId="52" applyFont="1" applyBorder="1" applyAlignment="1">
      <alignment/>
    </xf>
    <xf numFmtId="170" fontId="4" fillId="0" borderId="10" xfId="0" applyNumberFormat="1" applyFont="1" applyBorder="1" applyAlignment="1">
      <alignment/>
    </xf>
    <xf numFmtId="0" fontId="4" fillId="0" borderId="0" xfId="0" applyFont="1" applyBorder="1" applyAlignment="1">
      <alignment/>
    </xf>
    <xf numFmtId="170" fontId="4" fillId="0" borderId="0" xfId="0" applyNumberFormat="1" applyFont="1" applyBorder="1" applyAlignment="1">
      <alignment/>
    </xf>
    <xf numFmtId="0" fontId="4" fillId="0" borderId="10" xfId="0" applyFont="1" applyFill="1" applyBorder="1" applyAlignment="1">
      <alignment/>
    </xf>
    <xf numFmtId="0" fontId="4" fillId="0" borderId="0" xfId="0"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xf>
    <xf numFmtId="3" fontId="1" fillId="0" borderId="0" xfId="0" applyNumberFormat="1" applyFont="1" applyAlignment="1">
      <alignment/>
    </xf>
    <xf numFmtId="3" fontId="0" fillId="0" borderId="10" xfId="0" applyNumberFormat="1" applyBorder="1" applyAlignment="1">
      <alignment horizontal="center"/>
    </xf>
    <xf numFmtId="0" fontId="11" fillId="24" borderId="10" xfId="0" applyFont="1" applyFill="1" applyBorder="1" applyAlignment="1">
      <alignment horizontal="center" vertical="center"/>
    </xf>
    <xf numFmtId="0" fontId="11" fillId="24" borderId="10" xfId="0" applyFont="1" applyFill="1" applyBorder="1" applyAlignment="1">
      <alignment horizontal="center" vertical="center" wrapText="1"/>
    </xf>
    <xf numFmtId="173" fontId="0" fillId="0" borderId="10" xfId="0" applyNumberFormat="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left" vertical="center"/>
    </xf>
    <xf numFmtId="2" fontId="0" fillId="0" borderId="0" xfId="0" applyNumberFormat="1" applyAlignment="1">
      <alignment/>
    </xf>
    <xf numFmtId="0" fontId="4" fillId="0" borderId="0" xfId="0" applyFont="1" applyAlignment="1">
      <alignment horizontal="justify"/>
    </xf>
    <xf numFmtId="170" fontId="4" fillId="0" borderId="0" xfId="52" applyFont="1" applyBorder="1" applyAlignment="1">
      <alignment/>
    </xf>
    <xf numFmtId="0" fontId="4" fillId="0" borderId="0" xfId="0" applyFont="1" applyFill="1" applyBorder="1" applyAlignment="1">
      <alignment/>
    </xf>
    <xf numFmtId="0" fontId="6" fillId="0" borderId="0" xfId="0" applyFont="1" applyAlignment="1">
      <alignment/>
    </xf>
    <xf numFmtId="0" fontId="13" fillId="0" borderId="0" xfId="0" applyFont="1" applyAlignment="1">
      <alignment horizontal="left" indent="5"/>
    </xf>
    <xf numFmtId="37" fontId="0" fillId="0" borderId="10" xfId="52" applyNumberFormat="1" applyFont="1" applyBorder="1" applyAlignment="1">
      <alignment/>
    </xf>
    <xf numFmtId="37" fontId="0" fillId="0" borderId="10" xfId="0" applyNumberForma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left"/>
    </xf>
    <xf numFmtId="175" fontId="4" fillId="0" borderId="10" xfId="0" applyNumberFormat="1" applyFont="1" applyBorder="1" applyAlignment="1">
      <alignment horizontal="center"/>
    </xf>
    <xf numFmtId="175" fontId="4" fillId="0" borderId="10" xfId="52" applyNumberFormat="1" applyFont="1" applyBorder="1" applyAlignment="1">
      <alignment horizontal="center"/>
    </xf>
    <xf numFmtId="0" fontId="1" fillId="0" borderId="0" xfId="0" applyFont="1" applyAlignment="1">
      <alignment/>
    </xf>
    <xf numFmtId="170" fontId="0" fillId="27" borderId="21" xfId="52" applyFont="1" applyFill="1" applyBorder="1" applyAlignment="1">
      <alignment/>
    </xf>
    <xf numFmtId="3" fontId="0" fillId="0" borderId="0" xfId="0" applyNumberFormat="1" applyAlignment="1">
      <alignment horizontal="center" vertical="center"/>
    </xf>
    <xf numFmtId="0" fontId="14" fillId="0" borderId="0" xfId="0" applyFont="1" applyAlignment="1">
      <alignment/>
    </xf>
    <xf numFmtId="4" fontId="4" fillId="0" borderId="10" xfId="0" applyNumberFormat="1"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xf>
    <xf numFmtId="0" fontId="4" fillId="0" borderId="27" xfId="0" applyFont="1" applyBorder="1" applyAlignment="1">
      <alignment/>
    </xf>
    <xf numFmtId="0" fontId="4" fillId="0" borderId="22" xfId="0" applyNumberFormat="1" applyFont="1" applyBorder="1" applyAlignment="1">
      <alignment/>
    </xf>
    <xf numFmtId="0" fontId="4" fillId="0" borderId="23" xfId="0" applyNumberFormat="1" applyFont="1" applyBorder="1" applyAlignment="1">
      <alignment/>
    </xf>
    <xf numFmtId="0" fontId="4" fillId="0" borderId="28" xfId="0" applyFont="1" applyBorder="1" applyAlignment="1">
      <alignment/>
    </xf>
    <xf numFmtId="0" fontId="4" fillId="0" borderId="25" xfId="0" applyNumberFormat="1" applyFont="1" applyBorder="1" applyAlignment="1">
      <alignment horizontal="center" vertical="center"/>
    </xf>
    <xf numFmtId="0" fontId="4" fillId="0" borderId="26" xfId="0" applyFont="1" applyBorder="1" applyAlignment="1">
      <alignment/>
    </xf>
    <xf numFmtId="172" fontId="0" fillId="0" borderId="0" xfId="50" applyFont="1" applyAlignment="1">
      <alignment/>
    </xf>
    <xf numFmtId="172" fontId="0" fillId="0" borderId="0" xfId="0" applyNumberFormat="1" applyAlignment="1">
      <alignment/>
    </xf>
    <xf numFmtId="170" fontId="4" fillId="0" borderId="0" xfId="0" applyNumberFormat="1" applyFont="1" applyAlignment="1">
      <alignment/>
    </xf>
    <xf numFmtId="4" fontId="4" fillId="0" borderId="0" xfId="0" applyNumberFormat="1" applyFont="1" applyAlignment="1">
      <alignment horizontal="center" vertical="center"/>
    </xf>
    <xf numFmtId="172" fontId="4" fillId="0" borderId="0" xfId="50" applyFont="1" applyAlignment="1">
      <alignment/>
    </xf>
    <xf numFmtId="170" fontId="4" fillId="0" borderId="10" xfId="52" applyFont="1" applyBorder="1" applyAlignment="1">
      <alignment horizontal="center" vertical="center"/>
    </xf>
    <xf numFmtId="170" fontId="4" fillId="0" borderId="24" xfId="52" applyFont="1" applyBorder="1" applyAlignment="1">
      <alignment horizontal="center" vertical="center"/>
    </xf>
    <xf numFmtId="170" fontId="4" fillId="0" borderId="27" xfId="52" applyFont="1" applyBorder="1" applyAlignment="1">
      <alignment horizontal="center" vertical="center"/>
    </xf>
    <xf numFmtId="170" fontId="4" fillId="0" borderId="28" xfId="52" applyFont="1" applyBorder="1" applyAlignment="1">
      <alignment horizontal="center" vertical="center"/>
    </xf>
    <xf numFmtId="3" fontId="4" fillId="0" borderId="10" xfId="0" applyNumberFormat="1" applyFont="1" applyBorder="1" applyAlignment="1">
      <alignment horizontal="center" vertical="center"/>
    </xf>
    <xf numFmtId="3" fontId="4" fillId="0" borderId="24" xfId="0" applyNumberFormat="1"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11" fillId="24" borderId="29" xfId="0" applyFont="1" applyFill="1" applyBorder="1" applyAlignment="1">
      <alignment horizontal="center" vertical="center"/>
    </xf>
    <xf numFmtId="0" fontId="11" fillId="24" borderId="30" xfId="0" applyFont="1" applyFill="1" applyBorder="1" applyAlignment="1">
      <alignment horizontal="center" vertical="center"/>
    </xf>
    <xf numFmtId="0" fontId="11" fillId="24" borderId="30" xfId="0" applyFont="1" applyFill="1" applyBorder="1" applyAlignment="1">
      <alignment horizontal="center" vertical="center" wrapText="1"/>
    </xf>
    <xf numFmtId="0" fontId="11" fillId="24" borderId="31" xfId="0" applyFont="1" applyFill="1" applyBorder="1" applyAlignment="1">
      <alignment horizontal="center" vertical="center" wrapText="1"/>
    </xf>
    <xf numFmtId="170" fontId="0" fillId="0" borderId="27" xfId="52" applyFont="1" applyBorder="1" applyAlignment="1">
      <alignment horizontal="center" vertical="center"/>
    </xf>
    <xf numFmtId="0" fontId="0" fillId="0" borderId="24" xfId="0" applyBorder="1" applyAlignment="1">
      <alignment horizontal="center" vertical="center"/>
    </xf>
    <xf numFmtId="170" fontId="0" fillId="0" borderId="24" xfId="52" applyFont="1" applyBorder="1" applyAlignment="1">
      <alignment horizontal="center" vertical="center"/>
    </xf>
    <xf numFmtId="170" fontId="0" fillId="0" borderId="28" xfId="52" applyFont="1" applyBorder="1" applyAlignment="1">
      <alignment horizontal="center" vertical="center"/>
    </xf>
    <xf numFmtId="0" fontId="11" fillId="24" borderId="10" xfId="0" applyFont="1" applyFill="1" applyBorder="1" applyAlignment="1">
      <alignment/>
    </xf>
    <xf numFmtId="0" fontId="11" fillId="24" borderId="10" xfId="0" applyFont="1" applyFill="1" applyBorder="1" applyAlignment="1">
      <alignment horizontal="center" vertical="center"/>
    </xf>
    <xf numFmtId="0" fontId="11" fillId="24" borderId="31" xfId="0" applyFont="1" applyFill="1" applyBorder="1" applyAlignment="1">
      <alignment horizontal="center" vertical="center"/>
    </xf>
    <xf numFmtId="0" fontId="4" fillId="0" borderId="10" xfId="0" applyFont="1" applyBorder="1" applyAlignment="1">
      <alignment horizontal="center" vertical="center"/>
    </xf>
    <xf numFmtId="170" fontId="11" fillId="24" borderId="10" xfId="52" applyFont="1" applyFill="1" applyBorder="1" applyAlignment="1">
      <alignment horizontal="center" vertical="center"/>
    </xf>
    <xf numFmtId="170" fontId="0" fillId="0" borderId="22" xfId="52" applyFont="1" applyBorder="1" applyAlignment="1">
      <alignment horizontal="left" vertical="center"/>
    </xf>
    <xf numFmtId="170" fontId="0" fillId="0" borderId="23" xfId="52" applyFont="1" applyBorder="1" applyAlignment="1">
      <alignment horizontal="left" vertical="center"/>
    </xf>
    <xf numFmtId="170" fontId="11" fillId="24" borderId="29" xfId="52" applyFont="1" applyFill="1" applyBorder="1" applyAlignment="1">
      <alignment horizontal="center" vertical="center"/>
    </xf>
    <xf numFmtId="170" fontId="11" fillId="24" borderId="30" xfId="52" applyFont="1" applyFill="1" applyBorder="1" applyAlignment="1">
      <alignment horizontal="center" vertical="center" wrapText="1"/>
    </xf>
    <xf numFmtId="170" fontId="11" fillId="24" borderId="30" xfId="52" applyFont="1" applyFill="1" applyBorder="1" applyAlignment="1">
      <alignment horizontal="center" vertical="center"/>
    </xf>
    <xf numFmtId="170" fontId="11" fillId="24" borderId="31" xfId="52" applyFont="1" applyFill="1" applyBorder="1" applyAlignment="1">
      <alignment horizontal="center" vertical="center" wrapText="1"/>
    </xf>
    <xf numFmtId="37" fontId="0" fillId="0" borderId="10" xfId="52" applyNumberFormat="1" applyFont="1" applyBorder="1" applyAlignment="1">
      <alignment horizontal="center" vertical="center"/>
    </xf>
    <xf numFmtId="37" fontId="0" fillId="0" borderId="24" xfId="52" applyNumberFormat="1" applyFon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xf>
    <xf numFmtId="0" fontId="0" fillId="0" borderId="0" xfId="0" applyFont="1" applyBorder="1" applyAlignment="1">
      <alignment/>
    </xf>
    <xf numFmtId="170" fontId="0" fillId="0" borderId="10" xfId="52" applyFont="1" applyBorder="1" applyAlignment="1">
      <alignment horizontal="left" vertical="center"/>
    </xf>
    <xf numFmtId="170" fontId="11" fillId="24" borderId="31" xfId="52" applyFont="1" applyFill="1" applyBorder="1" applyAlignment="1">
      <alignment horizontal="center" vertical="center"/>
    </xf>
    <xf numFmtId="0" fontId="11" fillId="24" borderId="10" xfId="0" applyFont="1" applyFill="1" applyBorder="1" applyAlignment="1">
      <alignment vertical="center"/>
    </xf>
    <xf numFmtId="170" fontId="0" fillId="0" borderId="22" xfId="52" applyFont="1" applyBorder="1" applyAlignment="1">
      <alignment horizontal="left" vertical="center" wrapText="1"/>
    </xf>
    <xf numFmtId="37" fontId="0" fillId="0" borderId="22" xfId="0" applyNumberFormat="1" applyBorder="1" applyAlignment="1">
      <alignment/>
    </xf>
    <xf numFmtId="37" fontId="0" fillId="0" borderId="27" xfId="0" applyNumberFormat="1" applyBorder="1" applyAlignment="1">
      <alignment/>
    </xf>
    <xf numFmtId="37" fontId="0" fillId="0" borderId="23" xfId="0" applyNumberFormat="1" applyBorder="1" applyAlignment="1">
      <alignment/>
    </xf>
    <xf numFmtId="37" fontId="0" fillId="0" borderId="24" xfId="0" applyNumberFormat="1" applyBorder="1" applyAlignment="1">
      <alignment/>
    </xf>
    <xf numFmtId="37" fontId="0" fillId="0" borderId="28" xfId="0" applyNumberFormat="1" applyBorder="1" applyAlignment="1">
      <alignment/>
    </xf>
    <xf numFmtId="37" fontId="11" fillId="24" borderId="29" xfId="52" applyNumberFormat="1" applyFont="1" applyFill="1" applyBorder="1" applyAlignment="1">
      <alignment/>
    </xf>
    <xf numFmtId="37" fontId="11" fillId="24" borderId="30" xfId="52" applyNumberFormat="1" applyFont="1" applyFill="1" applyBorder="1" applyAlignment="1">
      <alignment/>
    </xf>
    <xf numFmtId="37" fontId="11" fillId="24" borderId="31" xfId="52" applyNumberFormat="1" applyFont="1" applyFill="1" applyBorder="1" applyAlignment="1">
      <alignment/>
    </xf>
    <xf numFmtId="0" fontId="4" fillId="0" borderId="22" xfId="0" applyNumberFormat="1" applyFont="1" applyBorder="1" applyAlignment="1">
      <alignment horizontal="left" vertical="center"/>
    </xf>
    <xf numFmtId="0" fontId="4" fillId="0" borderId="16" xfId="0" applyFont="1" applyBorder="1" applyAlignment="1">
      <alignment horizontal="center" vertical="center"/>
    </xf>
    <xf numFmtId="0" fontId="1" fillId="0" borderId="0" xfId="0" applyFont="1" applyAlignment="1">
      <alignment/>
    </xf>
    <xf numFmtId="0" fontId="6" fillId="0" borderId="10" xfId="0" applyFont="1" applyBorder="1" applyAlignment="1">
      <alignment/>
    </xf>
    <xf numFmtId="170" fontId="6" fillId="0" borderId="10" xfId="0" applyNumberFormat="1" applyFont="1" applyBorder="1" applyAlignment="1">
      <alignment/>
    </xf>
    <xf numFmtId="0" fontId="5" fillId="28" borderId="10" xfId="0" applyFont="1" applyFill="1" applyBorder="1" applyAlignment="1">
      <alignment horizontal="center" vertical="center"/>
    </xf>
    <xf numFmtId="170" fontId="4" fillId="0" borderId="10" xfId="0" applyNumberFormat="1" applyFont="1" applyBorder="1" applyAlignment="1">
      <alignment horizontal="right"/>
    </xf>
    <xf numFmtId="174" fontId="4" fillId="0" borderId="10" xfId="0" applyNumberFormat="1" applyFont="1" applyBorder="1" applyAlignment="1">
      <alignment horizontal="right"/>
    </xf>
    <xf numFmtId="0" fontId="11" fillId="28" borderId="10" xfId="0" applyFont="1" applyFill="1" applyBorder="1" applyAlignment="1">
      <alignment horizontal="center" wrapText="1"/>
    </xf>
    <xf numFmtId="0" fontId="0" fillId="0" borderId="19" xfId="0" applyFont="1" applyBorder="1" applyAlignment="1">
      <alignment/>
    </xf>
    <xf numFmtId="170" fontId="0" fillId="0" borderId="32" xfId="0" applyNumberFormat="1" applyFont="1" applyBorder="1" applyAlignment="1">
      <alignment/>
    </xf>
    <xf numFmtId="170" fontId="0" fillId="0" borderId="32" xfId="52" applyFont="1" applyBorder="1" applyAlignment="1">
      <alignment/>
    </xf>
    <xf numFmtId="170" fontId="0" fillId="0" borderId="20" xfId="52" applyFont="1" applyBorder="1" applyAlignment="1">
      <alignment/>
    </xf>
    <xf numFmtId="0" fontId="0" fillId="0" borderId="11" xfId="0" applyBorder="1" applyAlignment="1">
      <alignment/>
    </xf>
    <xf numFmtId="170" fontId="0" fillId="0" borderId="33" xfId="52" applyFont="1" applyBorder="1" applyAlignment="1">
      <alignment/>
    </xf>
    <xf numFmtId="0" fontId="0" fillId="0" borderId="11" xfId="0" applyFont="1" applyBorder="1" applyAlignment="1">
      <alignment/>
    </xf>
    <xf numFmtId="170" fontId="0" fillId="0" borderId="0" xfId="0" applyNumberFormat="1" applyFont="1" applyBorder="1" applyAlignment="1">
      <alignment/>
    </xf>
    <xf numFmtId="0" fontId="0" fillId="0" borderId="33" xfId="0" applyBorder="1" applyAlignment="1">
      <alignment/>
    </xf>
    <xf numFmtId="0" fontId="1" fillId="0" borderId="17" xfId="0" applyFont="1" applyBorder="1" applyAlignment="1">
      <alignment/>
    </xf>
    <xf numFmtId="170" fontId="0" fillId="27" borderId="34" xfId="0" applyNumberFormat="1" applyFill="1" applyBorder="1" applyAlignment="1">
      <alignment/>
    </xf>
    <xf numFmtId="170" fontId="0" fillId="27" borderId="34" xfId="52" applyFont="1" applyFill="1" applyBorder="1" applyAlignment="1">
      <alignment/>
    </xf>
    <xf numFmtId="170" fontId="0" fillId="27" borderId="13" xfId="52" applyFont="1" applyFill="1" applyBorder="1" applyAlignment="1">
      <alignment/>
    </xf>
    <xf numFmtId="176" fontId="0" fillId="0" borderId="0" xfId="57" applyNumberFormat="1" applyFont="1" applyAlignment="1">
      <alignment/>
    </xf>
    <xf numFmtId="0" fontId="0" fillId="0" borderId="35" xfId="0" applyBorder="1" applyAlignment="1">
      <alignment horizontal="center" vertical="center"/>
    </xf>
    <xf numFmtId="170" fontId="0" fillId="0" borderId="35" xfId="0" applyNumberFormat="1" applyBorder="1" applyAlignment="1">
      <alignment horizontal="center" vertical="center"/>
    </xf>
    <xf numFmtId="1" fontId="0" fillId="0" borderId="35" xfId="0" applyNumberFormat="1" applyBorder="1" applyAlignment="1">
      <alignment horizontal="center" vertical="center"/>
    </xf>
    <xf numFmtId="170" fontId="0" fillId="0" borderId="35" xfId="52" applyFont="1" applyBorder="1" applyAlignment="1">
      <alignment/>
    </xf>
    <xf numFmtId="0" fontId="11" fillId="24" borderId="10" xfId="0" applyFont="1" applyFill="1" applyBorder="1" applyAlignment="1">
      <alignment horizontal="center" vertical="center" wrapText="1"/>
    </xf>
    <xf numFmtId="0" fontId="15" fillId="24" borderId="10" xfId="0" applyFont="1" applyFill="1" applyBorder="1" applyAlignment="1">
      <alignment horizontal="center" vertical="center" wrapText="1"/>
    </xf>
    <xf numFmtId="170" fontId="1" fillId="0" borderId="10" xfId="52" applyFont="1" applyBorder="1" applyAlignment="1">
      <alignment horizontal="center" vertical="center"/>
    </xf>
    <xf numFmtId="170" fontId="0" fillId="0" borderId="35" xfId="52" applyFont="1" applyBorder="1" applyAlignment="1">
      <alignment horizontal="center" vertical="center"/>
    </xf>
    <xf numFmtId="170" fontId="1" fillId="0" borderId="35" xfId="52" applyFont="1" applyBorder="1" applyAlignment="1">
      <alignment horizontal="center" vertical="center"/>
    </xf>
    <xf numFmtId="0" fontId="0" fillId="0" borderId="13" xfId="0" applyBorder="1" applyAlignment="1">
      <alignment horizontal="center" vertic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xf>
    <xf numFmtId="0" fontId="4" fillId="0" borderId="0" xfId="0" applyFont="1" applyAlignment="1">
      <alignment horizontal="center"/>
    </xf>
    <xf numFmtId="0" fontId="4" fillId="0" borderId="33" xfId="0" applyFont="1" applyBorder="1" applyAlignment="1">
      <alignment horizontal="center"/>
    </xf>
    <xf numFmtId="0" fontId="4" fillId="0" borderId="0" xfId="0" applyFont="1" applyAlignment="1">
      <alignment horizontal="left" wrapText="1"/>
    </xf>
    <xf numFmtId="0" fontId="4" fillId="0" borderId="33" xfId="0" applyFont="1" applyBorder="1" applyAlignment="1">
      <alignment horizontal="left" wrapText="1"/>
    </xf>
    <xf numFmtId="0" fontId="2" fillId="0" borderId="0" xfId="0" applyFont="1" applyAlignment="1">
      <alignment horizontal="center"/>
    </xf>
    <xf numFmtId="0" fontId="7" fillId="0" borderId="0" xfId="0" applyFont="1" applyBorder="1" applyAlignment="1">
      <alignment horizontal="center"/>
    </xf>
    <xf numFmtId="0" fontId="0" fillId="0" borderId="0" xfId="0" applyAlignment="1">
      <alignment horizontal="center" vertical="center"/>
    </xf>
    <xf numFmtId="0" fontId="4" fillId="0" borderId="14" xfId="0" applyFont="1" applyBorder="1" applyAlignment="1">
      <alignment horizontal="center"/>
    </xf>
    <xf numFmtId="0" fontId="4" fillId="0" borderId="34" xfId="0" applyFont="1" applyBorder="1" applyAlignment="1">
      <alignment horizontal="center"/>
    </xf>
    <xf numFmtId="0" fontId="11" fillId="24" borderId="10" xfId="0" applyFont="1" applyFill="1" applyBorder="1" applyAlignment="1">
      <alignment horizontal="center"/>
    </xf>
    <xf numFmtId="0" fontId="0" fillId="0" borderId="0" xfId="0" applyAlignment="1">
      <alignment horizontal="center"/>
    </xf>
    <xf numFmtId="0" fontId="0" fillId="0" borderId="0" xfId="0" applyAlignment="1">
      <alignment horizontal="left" vertical="top" wrapText="1"/>
    </xf>
    <xf numFmtId="10" fontId="0" fillId="0" borderId="0" xfId="57" applyNumberFormat="1" applyFont="1" applyAlignment="1">
      <alignment horizontal="left" vertical="top" wrapText="1"/>
    </xf>
    <xf numFmtId="10" fontId="0" fillId="0" borderId="0" xfId="57" applyNumberFormat="1" applyFont="1" applyAlignment="1">
      <alignment horizontal="left" vertical="top"/>
    </xf>
    <xf numFmtId="0" fontId="11" fillId="24" borderId="10" xfId="0" applyFont="1" applyFill="1" applyBorder="1" applyAlignment="1">
      <alignment horizontal="center" vertical="center"/>
    </xf>
    <xf numFmtId="0" fontId="11" fillId="24" borderId="14" xfId="0" applyFont="1" applyFill="1" applyBorder="1" applyAlignment="1">
      <alignment horizontal="center"/>
    </xf>
    <xf numFmtId="0" fontId="11" fillId="24" borderId="34" xfId="0" applyFont="1" applyFill="1" applyBorder="1" applyAlignment="1">
      <alignment horizontal="center"/>
    </xf>
    <xf numFmtId="0" fontId="11" fillId="24" borderId="13" xfId="0" applyFont="1" applyFill="1" applyBorder="1" applyAlignment="1">
      <alignment horizontal="center"/>
    </xf>
    <xf numFmtId="0" fontId="0" fillId="0" borderId="14" xfId="0" applyBorder="1" applyAlignment="1">
      <alignment horizontal="center" vertical="center"/>
    </xf>
    <xf numFmtId="0" fontId="0" fillId="0" borderId="34"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279"/>
          <c:w val="0.75125"/>
          <c:h val="0.7085"/>
        </c:manualLayout>
      </c:layout>
      <c:lineChart>
        <c:grouping val="standard"/>
        <c:varyColors val="0"/>
        <c:ser>
          <c:idx val="0"/>
          <c:order val="0"/>
          <c:tx>
            <c:strRef>
              <c:f>'Determ de los ingresos'!$Y$36</c:f>
              <c:strCache>
                <c:ptCount val="1"/>
                <c:pt idx="0">
                  <c:v>Ingresos 
Proyectados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'Determ de los ingresos'!$Y$37:$Y$41</c:f>
              <c:numCache>
                <c:ptCount val="5"/>
                <c:pt idx="0">
                  <c:v>0</c:v>
                </c:pt>
                <c:pt idx="1">
                  <c:v>0</c:v>
                </c:pt>
                <c:pt idx="2">
                  <c:v>0</c:v>
                </c:pt>
                <c:pt idx="3">
                  <c:v>0</c:v>
                </c:pt>
                <c:pt idx="4">
                  <c:v>0</c:v>
                </c:pt>
              </c:numCache>
            </c:numRef>
          </c:val>
          <c:smooth val="0"/>
        </c:ser>
        <c:marker val="1"/>
        <c:axId val="150611"/>
        <c:axId val="8584828"/>
      </c:lineChart>
      <c:catAx>
        <c:axId val="150611"/>
        <c:scaling>
          <c:orientation val="minMax"/>
        </c:scaling>
        <c:axPos val="b"/>
        <c:delete val="0"/>
        <c:numFmt formatCode="General" sourceLinked="1"/>
        <c:majorTickMark val="out"/>
        <c:minorTickMark val="none"/>
        <c:tickLblPos val="nextTo"/>
        <c:spPr>
          <a:ln w="3175">
            <a:solidFill>
              <a:srgbClr val="808080"/>
            </a:solidFill>
          </a:ln>
        </c:spPr>
        <c:crossAx val="8584828"/>
        <c:crosses val="autoZero"/>
        <c:auto val="1"/>
        <c:lblOffset val="100"/>
        <c:tickLblSkip val="1"/>
        <c:noMultiLvlLbl val="0"/>
      </c:catAx>
      <c:valAx>
        <c:axId val="85848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611"/>
        <c:crossesAt val="1"/>
        <c:crossBetween val="between"/>
        <c:dispUnits/>
      </c:valAx>
      <c:spPr>
        <a:solidFill>
          <a:srgbClr val="FFFFFF"/>
        </a:solidFill>
        <a:ln w="3175">
          <a:noFill/>
        </a:ln>
      </c:spPr>
    </c:plotArea>
    <c:legend>
      <c:legendPos val="r"/>
      <c:layout>
        <c:manualLayout>
          <c:xMode val="edge"/>
          <c:yMode val="edge"/>
          <c:x val="0.78175"/>
          <c:y val="0.5505"/>
          <c:w val="0.20825"/>
          <c:h val="0.12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94"/>
      <c:rotY val="20"/>
      <c:depthPercent val="100"/>
      <c:rAngAx val="1"/>
    </c:view3D>
    <c:plotArea>
      <c:layout>
        <c:manualLayout>
          <c:xMode val="edge"/>
          <c:yMode val="edge"/>
          <c:x val="0.0635"/>
          <c:y val="0.029"/>
          <c:w val="0.71025"/>
          <c:h val="0.877"/>
        </c:manualLayout>
      </c:layout>
      <c:bar3DChart>
        <c:barDir val="col"/>
        <c:grouping val="clustered"/>
        <c:varyColors val="0"/>
        <c:ser>
          <c:idx val="0"/>
          <c:order val="0"/>
          <c:tx>
            <c:strRef>
              <c:f>'Determ de los ingresos'!$P$8</c:f>
              <c:strCache>
                <c:ptCount val="1"/>
                <c:pt idx="0">
                  <c:v>Produccion
Hospitalaria 
Anual</c:v>
                </c:pt>
              </c:strCache>
            </c:strRef>
          </c:tx>
          <c:spPr>
            <a:solidFill>
              <a:srgbClr val="4572A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'Determ de los ingresos'!$P$9:$P$13</c:f>
              <c:numCache>
                <c:ptCount val="5"/>
                <c:pt idx="0">
                  <c:v>0</c:v>
                </c:pt>
                <c:pt idx="1">
                  <c:v>0</c:v>
                </c:pt>
                <c:pt idx="2">
                  <c:v>0</c:v>
                </c:pt>
                <c:pt idx="3">
                  <c:v>0</c:v>
                </c:pt>
                <c:pt idx="4">
                  <c:v>0</c:v>
                </c:pt>
              </c:numCache>
            </c:numRef>
          </c:val>
          <c:shape val="box"/>
        </c:ser>
        <c:ser>
          <c:idx val="1"/>
          <c:order val="1"/>
          <c:tx>
            <c:strRef>
              <c:f>'Determ de los ingresos'!$O$8</c:f>
              <c:strCache>
                <c:ptCount val="1"/>
                <c:pt idx="0">
                  <c:v>Demanda 
mercado
anual</c:v>
                </c:pt>
              </c:strCache>
            </c:strRef>
          </c:tx>
          <c:spPr>
            <a:solidFill>
              <a:srgbClr val="93A9C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'Determ de los ingresos'!$O$9:$O$13</c:f>
              <c:numCache>
                <c:ptCount val="5"/>
                <c:pt idx="0">
                  <c:v>0</c:v>
                </c:pt>
                <c:pt idx="1">
                  <c:v>0</c:v>
                </c:pt>
                <c:pt idx="2">
                  <c:v>0</c:v>
                </c:pt>
                <c:pt idx="3">
                  <c:v>0</c:v>
                </c:pt>
                <c:pt idx="4">
                  <c:v>0</c:v>
                </c:pt>
              </c:numCache>
            </c:numRef>
          </c:val>
          <c:shape val="box"/>
        </c:ser>
        <c:shape val="box"/>
        <c:axId val="19573149"/>
        <c:axId val="41927670"/>
      </c:bar3DChart>
      <c:catAx>
        <c:axId val="195731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Años</a:t>
                </a:r>
              </a:p>
            </c:rich>
          </c:tx>
          <c:layout>
            <c:manualLayout>
              <c:xMode val="factor"/>
              <c:yMode val="factor"/>
              <c:x val="-0.02125"/>
              <c:y val="0.0722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41927670"/>
        <c:crosses val="autoZero"/>
        <c:auto val="1"/>
        <c:lblOffset val="100"/>
        <c:tickLblSkip val="1"/>
        <c:noMultiLvlLbl val="0"/>
      </c:catAx>
      <c:valAx>
        <c:axId val="419276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Unidades</a:t>
                </a:r>
              </a:p>
            </c:rich>
          </c:tx>
          <c:layout>
            <c:manualLayout>
              <c:xMode val="factor"/>
              <c:yMode val="factor"/>
              <c:x val="-0.051"/>
              <c:y val="0.024"/>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73149"/>
        <c:crossesAt val="1"/>
        <c:crossBetween val="between"/>
        <c:dispUnits/>
      </c:valAx>
      <c:spPr>
        <a:noFill/>
        <a:ln>
          <a:noFill/>
        </a:ln>
      </c:spPr>
    </c:plotArea>
    <c:legend>
      <c:legendPos val="r"/>
      <c:layout>
        <c:manualLayout>
          <c:xMode val="edge"/>
          <c:yMode val="edge"/>
          <c:x val="0.80475"/>
          <c:y val="0.32825"/>
          <c:w val="0.18475"/>
          <c:h val="0.33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90"/>
      <c:rotY val="20"/>
      <c:depthPercent val="100"/>
      <c:rAngAx val="1"/>
    </c:view3D>
    <c:plotArea>
      <c:layout>
        <c:manualLayout>
          <c:xMode val="edge"/>
          <c:yMode val="edge"/>
          <c:x val="0.0205"/>
          <c:y val="0.0345"/>
          <c:w val="0.7495"/>
          <c:h val="0.927"/>
        </c:manualLayout>
      </c:layout>
      <c:bar3DChart>
        <c:barDir val="col"/>
        <c:grouping val="clustered"/>
        <c:varyColors val="0"/>
        <c:ser>
          <c:idx val="0"/>
          <c:order val="0"/>
          <c:tx>
            <c:strRef>
              <c:f>'Determ de los ingresos'!$Y$36</c:f>
              <c:strCache>
                <c:ptCount val="1"/>
                <c:pt idx="0">
                  <c:v>Ingresos 
Proyectados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'Determ de los ingresos'!$Y$37:$Y$41</c:f>
              <c:numCache>
                <c:ptCount val="5"/>
                <c:pt idx="0">
                  <c:v>0</c:v>
                </c:pt>
                <c:pt idx="1">
                  <c:v>0</c:v>
                </c:pt>
                <c:pt idx="2">
                  <c:v>0</c:v>
                </c:pt>
                <c:pt idx="3">
                  <c:v>0</c:v>
                </c:pt>
                <c:pt idx="4">
                  <c:v>0</c:v>
                </c:pt>
              </c:numCache>
            </c:numRef>
          </c:val>
          <c:shape val="cylinder"/>
        </c:ser>
        <c:ser>
          <c:idx val="1"/>
          <c:order val="1"/>
          <c:tx>
            <c:strRef>
              <c:f>'Determ de los ingresos'!$Z$36</c:f>
              <c:strCache>
                <c:ptCount val="1"/>
                <c:pt idx="0">
                  <c:v>Costos 
Proyectados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'Determ de los ingresos'!$Z$37:$Z$41</c:f>
              <c:numCache>
                <c:ptCount val="5"/>
                <c:pt idx="0">
                  <c:v>0</c:v>
                </c:pt>
                <c:pt idx="1">
                  <c:v>0</c:v>
                </c:pt>
                <c:pt idx="2">
                  <c:v>0</c:v>
                </c:pt>
                <c:pt idx="3">
                  <c:v>0</c:v>
                </c:pt>
                <c:pt idx="4">
                  <c:v>0</c:v>
                </c:pt>
              </c:numCache>
            </c:numRef>
          </c:val>
          <c:shape val="cylinder"/>
        </c:ser>
        <c:shape val="cylinder"/>
        <c:axId val="41066951"/>
        <c:axId val="59114832"/>
      </c:bar3DChart>
      <c:catAx>
        <c:axId val="41066951"/>
        <c:scaling>
          <c:orientation val="minMax"/>
        </c:scaling>
        <c:axPos val="b"/>
        <c:delete val="0"/>
        <c:numFmt formatCode="General" sourceLinked="1"/>
        <c:majorTickMark val="out"/>
        <c:minorTickMark val="none"/>
        <c:tickLblPos val="nextTo"/>
        <c:spPr>
          <a:ln w="3175">
            <a:solidFill>
              <a:srgbClr val="808080"/>
            </a:solidFill>
          </a:ln>
        </c:spPr>
        <c:crossAx val="59114832"/>
        <c:crosses val="autoZero"/>
        <c:auto val="1"/>
        <c:lblOffset val="100"/>
        <c:tickLblSkip val="1"/>
        <c:noMultiLvlLbl val="0"/>
      </c:catAx>
      <c:valAx>
        <c:axId val="591148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66951"/>
        <c:crossesAt val="1"/>
        <c:crossBetween val="between"/>
        <c:dispUnits/>
      </c:valAx>
      <c:spPr>
        <a:noFill/>
        <a:ln>
          <a:noFill/>
        </a:ln>
      </c:spPr>
    </c:plotArea>
    <c:legend>
      <c:legendPos val="r"/>
      <c:layout>
        <c:manualLayout>
          <c:xMode val="edge"/>
          <c:yMode val="edge"/>
          <c:x val="0.8005"/>
          <c:y val="0.35125"/>
          <c:w val="0.189"/>
          <c:h val="0.283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34</xdr:row>
      <xdr:rowOff>66675</xdr:rowOff>
    </xdr:from>
    <xdr:to>
      <xdr:col>21</xdr:col>
      <xdr:colOff>552450</xdr:colOff>
      <xdr:row>48</xdr:row>
      <xdr:rowOff>28575</xdr:rowOff>
    </xdr:to>
    <xdr:graphicFrame>
      <xdr:nvGraphicFramePr>
        <xdr:cNvPr id="1" name="3 Gráfico"/>
        <xdr:cNvGraphicFramePr/>
      </xdr:nvGraphicFramePr>
      <xdr:xfrm>
        <a:off x="9029700" y="7277100"/>
        <a:ext cx="4886325" cy="2819400"/>
      </xdr:xfrm>
      <a:graphic>
        <a:graphicData uri="http://schemas.openxmlformats.org/drawingml/2006/chart">
          <c:chart xmlns:c="http://schemas.openxmlformats.org/drawingml/2006/chart" r:id="rId1"/>
        </a:graphicData>
      </a:graphic>
    </xdr:graphicFrame>
    <xdr:clientData/>
  </xdr:twoCellAnchor>
  <xdr:twoCellAnchor>
    <xdr:from>
      <xdr:col>17</xdr:col>
      <xdr:colOff>609600</xdr:colOff>
      <xdr:row>2</xdr:row>
      <xdr:rowOff>76200</xdr:rowOff>
    </xdr:from>
    <xdr:to>
      <xdr:col>23</xdr:col>
      <xdr:colOff>609600</xdr:colOff>
      <xdr:row>15</xdr:row>
      <xdr:rowOff>114300</xdr:rowOff>
    </xdr:to>
    <xdr:graphicFrame>
      <xdr:nvGraphicFramePr>
        <xdr:cNvPr id="2" name="6 Gráfico"/>
        <xdr:cNvGraphicFramePr/>
      </xdr:nvGraphicFramePr>
      <xdr:xfrm>
        <a:off x="10925175" y="457200"/>
        <a:ext cx="4572000" cy="3248025"/>
      </xdr:xfrm>
      <a:graphic>
        <a:graphicData uri="http://schemas.openxmlformats.org/drawingml/2006/chart">
          <c:chart xmlns:c="http://schemas.openxmlformats.org/drawingml/2006/chart" r:id="rId2"/>
        </a:graphicData>
      </a:graphic>
    </xdr:graphicFrame>
    <xdr:clientData/>
  </xdr:twoCellAnchor>
  <xdr:twoCellAnchor>
    <xdr:from>
      <xdr:col>17</xdr:col>
      <xdr:colOff>447675</xdr:colOff>
      <xdr:row>17</xdr:row>
      <xdr:rowOff>28575</xdr:rowOff>
    </xdr:from>
    <xdr:to>
      <xdr:col>23</xdr:col>
      <xdr:colOff>447675</xdr:colOff>
      <xdr:row>31</xdr:row>
      <xdr:rowOff>104775</xdr:rowOff>
    </xdr:to>
    <xdr:graphicFrame>
      <xdr:nvGraphicFramePr>
        <xdr:cNvPr id="3" name="5 Gráfico"/>
        <xdr:cNvGraphicFramePr/>
      </xdr:nvGraphicFramePr>
      <xdr:xfrm>
        <a:off x="10763250" y="4000500"/>
        <a:ext cx="4572000" cy="2743200"/>
      </xdr:xfrm>
      <a:graphic>
        <a:graphicData uri="http://schemas.openxmlformats.org/drawingml/2006/chart">
          <c:chart xmlns:c="http://schemas.openxmlformats.org/drawingml/2006/chart" r:id="rId3"/>
        </a:graphicData>
      </a:graphic>
    </xdr:graphicFrame>
    <xdr:clientData/>
  </xdr:twoCellAnchor>
</xdr:wsDr>
</file>

<file path=xl/tables/table1.xml><?xml version="1.0" encoding="utf-8"?>
<table xmlns="http://schemas.openxmlformats.org/spreadsheetml/2006/main" id="6" name="Tabla6" displayName="Tabla6" ref="G20:L25" totalsRowShown="0">
  <autoFilter ref="G20:L25"/>
  <tableColumns count="6">
    <tableColumn id="1" name="Columna1"/>
    <tableColumn id="2" name="Columna2"/>
    <tableColumn id="3" name="Columna3"/>
    <tableColumn id="4" name="Columna4"/>
    <tableColumn id="5" name="Columna5"/>
    <tableColumn id="6" name="Columna6"/>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3"/>
  <sheetViews>
    <sheetView zoomScalePageLayoutView="0" workbookViewId="0" topLeftCell="A16">
      <selection activeCell="A42" sqref="A42"/>
    </sheetView>
  </sheetViews>
  <sheetFormatPr defaultColWidth="11.421875" defaultRowHeight="15"/>
  <cols>
    <col min="1" max="1" width="34.140625" style="77" bestFit="1" customWidth="1"/>
    <col min="2" max="2" width="10.421875" style="77" bestFit="1" customWidth="1"/>
    <col min="3" max="4" width="14.7109375" style="77" bestFit="1" customWidth="1"/>
    <col min="5" max="5" width="6.00390625" style="77" bestFit="1" customWidth="1"/>
    <col min="6" max="7" width="14.7109375" style="77" bestFit="1" customWidth="1"/>
    <col min="8" max="8" width="2.57421875" style="77" bestFit="1" customWidth="1"/>
    <col min="9" max="9" width="14.7109375" style="77" bestFit="1" customWidth="1"/>
    <col min="10" max="10" width="2.57421875" style="77" bestFit="1" customWidth="1"/>
    <col min="11" max="11" width="14.7109375" style="77" bestFit="1" customWidth="1"/>
    <col min="12" max="16384" width="11.421875" style="77" customWidth="1"/>
  </cols>
  <sheetData>
    <row r="1" spans="1:7" ht="15.75" thickBot="1">
      <c r="A1" s="209" t="s">
        <v>10</v>
      </c>
      <c r="B1" s="210"/>
      <c r="C1" s="210"/>
      <c r="D1" s="210"/>
      <c r="E1" s="210"/>
      <c r="F1" s="210"/>
      <c r="G1" s="211"/>
    </row>
    <row r="2" spans="1:7" ht="30">
      <c r="A2" s="116" t="s">
        <v>0</v>
      </c>
      <c r="B2" s="177" t="s">
        <v>1</v>
      </c>
      <c r="C2" s="118" t="s">
        <v>2</v>
      </c>
      <c r="D2" s="118" t="s">
        <v>231</v>
      </c>
      <c r="E2" s="118" t="s">
        <v>232</v>
      </c>
      <c r="F2" s="118" t="s">
        <v>14</v>
      </c>
      <c r="G2" s="119" t="s">
        <v>236</v>
      </c>
    </row>
    <row r="3" spans="1:7" ht="15">
      <c r="A3" s="176" t="str">
        <f>+'inversion inicial'!A52</f>
        <v>Impresora laser HP Deskject</v>
      </c>
      <c r="B3" s="104">
        <f>+'inversion inicial'!C15</f>
        <v>1</v>
      </c>
      <c r="C3" s="132">
        <f>+'inversion inicial'!B15</f>
        <v>22500</v>
      </c>
      <c r="D3" s="132">
        <f aca="true" t="shared" si="0" ref="D3:D20">B3*C3</f>
        <v>22500</v>
      </c>
      <c r="E3" s="136">
        <v>5</v>
      </c>
      <c r="F3" s="132">
        <f>E3*'Depreciacion &amp; Amortizacion'!C8</f>
        <v>11250</v>
      </c>
      <c r="G3" s="134">
        <f aca="true" t="shared" si="1" ref="G3:G20">D3-F3*B3</f>
        <v>11250</v>
      </c>
    </row>
    <row r="4" spans="1:7" ht="15">
      <c r="A4" s="113" t="str">
        <f>+'inversion inicial'!A16</f>
        <v>sistema de esterilizaciòn</v>
      </c>
      <c r="B4" s="104">
        <f>+'inversion inicial'!C16</f>
        <v>1</v>
      </c>
      <c r="C4" s="132">
        <f>+'inversion inicial'!B16</f>
        <v>50000</v>
      </c>
      <c r="D4" s="132">
        <f t="shared" si="0"/>
        <v>50000</v>
      </c>
      <c r="E4" s="136">
        <v>5</v>
      </c>
      <c r="F4" s="132">
        <f>E4*'Depreciacion &amp; Amortizacion'!C9</f>
        <v>25000</v>
      </c>
      <c r="G4" s="134">
        <f t="shared" si="1"/>
        <v>25000</v>
      </c>
    </row>
    <row r="5" spans="1:7" ht="15">
      <c r="A5" s="113" t="str">
        <f>+'inversion inicial'!A17</f>
        <v>Secador Indutrial</v>
      </c>
      <c r="B5" s="104">
        <f>+'inversion inicial'!C17</f>
        <v>1</v>
      </c>
      <c r="C5" s="132">
        <f>+'inversion inicial'!B17</f>
        <v>12000</v>
      </c>
      <c r="D5" s="132">
        <f t="shared" si="0"/>
        <v>12000</v>
      </c>
      <c r="E5" s="136">
        <v>5</v>
      </c>
      <c r="F5" s="132">
        <f>E5*'Depreciacion &amp; Amortizacion'!C10</f>
        <v>6000</v>
      </c>
      <c r="G5" s="134">
        <f t="shared" si="1"/>
        <v>6000</v>
      </c>
    </row>
    <row r="6" spans="1:7" ht="15">
      <c r="A6" s="113" t="str">
        <f>+'inversion inicial'!A25</f>
        <v>camionetas Dmax 2010</v>
      </c>
      <c r="B6" s="104">
        <f>+'inversion inicial'!C25</f>
        <v>2</v>
      </c>
      <c r="C6" s="132">
        <f>+'inversion inicial'!B25</f>
        <v>19000</v>
      </c>
      <c r="D6" s="132">
        <f t="shared" si="0"/>
        <v>38000</v>
      </c>
      <c r="E6" s="136">
        <v>5</v>
      </c>
      <c r="F6" s="132">
        <f>+E6*'Depreciacion &amp; Amortizacion'!C19</f>
        <v>9500</v>
      </c>
      <c r="G6" s="134">
        <f t="shared" si="1"/>
        <v>19000</v>
      </c>
    </row>
    <row r="7" spans="1:7" ht="15">
      <c r="A7" s="113" t="str">
        <f>+'inversion inicial'!A40</f>
        <v>Dispensador de Agua</v>
      </c>
      <c r="B7" s="104">
        <f>+'inversion inicial'!C40</f>
        <v>1</v>
      </c>
      <c r="C7" s="132">
        <f>+'inversion inicial'!B40</f>
        <v>50</v>
      </c>
      <c r="D7" s="132">
        <f t="shared" si="0"/>
        <v>50</v>
      </c>
      <c r="E7" s="136">
        <v>5</v>
      </c>
      <c r="F7" s="132">
        <f>+E7*'Depreciacion &amp; Amortizacion'!C41</f>
        <v>25</v>
      </c>
      <c r="G7" s="134">
        <f t="shared" si="1"/>
        <v>25</v>
      </c>
    </row>
    <row r="8" spans="1:7" ht="15">
      <c r="A8" s="113" t="str">
        <f>+'inversion inicial'!A41</f>
        <v>aire acondicionado</v>
      </c>
      <c r="B8" s="104">
        <f>+'inversion inicial'!C41</f>
        <v>2</v>
      </c>
      <c r="C8" s="132">
        <f>+'inversion inicial'!B41</f>
        <v>600</v>
      </c>
      <c r="D8" s="132">
        <f t="shared" si="0"/>
        <v>1200</v>
      </c>
      <c r="E8" s="136">
        <v>5</v>
      </c>
      <c r="F8" s="132">
        <f>+E8*'Depreciacion &amp; Amortizacion'!C42</f>
        <v>300</v>
      </c>
      <c r="G8" s="134">
        <f t="shared" si="1"/>
        <v>600</v>
      </c>
    </row>
    <row r="9" spans="1:7" ht="15">
      <c r="A9" s="113" t="str">
        <f>+'inversion inicial'!A52</f>
        <v>Impresora laser HP Deskject</v>
      </c>
      <c r="B9" s="104">
        <f>+'inversion inicial'!C52</f>
        <v>4</v>
      </c>
      <c r="C9" s="132">
        <f>+'inversion inicial'!B52</f>
        <v>130</v>
      </c>
      <c r="D9" s="132">
        <f t="shared" si="0"/>
        <v>520</v>
      </c>
      <c r="E9" s="136">
        <v>3</v>
      </c>
      <c r="F9" s="132">
        <f>E9*'Depreciacion &amp; Amortizacion'!C28</f>
        <v>93.6</v>
      </c>
      <c r="G9" s="134">
        <f t="shared" si="1"/>
        <v>145.60000000000002</v>
      </c>
    </row>
    <row r="10" spans="1:7" ht="15">
      <c r="A10" s="113" t="str">
        <f>+'inversion inicial'!A53</f>
        <v>Proyector</v>
      </c>
      <c r="B10" s="104">
        <f>+'inversion inicial'!C53</f>
        <v>1</v>
      </c>
      <c r="C10" s="132">
        <f>+'inversion inicial'!B53</f>
        <v>1000</v>
      </c>
      <c r="D10" s="132">
        <f t="shared" si="0"/>
        <v>1000</v>
      </c>
      <c r="E10" s="136">
        <v>3</v>
      </c>
      <c r="F10" s="132">
        <f>+E10*'Depreciacion &amp; Amortizacion'!C29</f>
        <v>720</v>
      </c>
      <c r="G10" s="134">
        <f t="shared" si="1"/>
        <v>280</v>
      </c>
    </row>
    <row r="11" spans="1:7" ht="15">
      <c r="A11" s="113" t="str">
        <f>+'inversion inicial'!A54</f>
        <v>Scanner</v>
      </c>
      <c r="B11" s="104">
        <f>+'inversion inicial'!C54</f>
        <v>1</v>
      </c>
      <c r="C11" s="132">
        <v>60</v>
      </c>
      <c r="D11" s="132">
        <f t="shared" si="0"/>
        <v>60</v>
      </c>
      <c r="E11" s="136">
        <v>3</v>
      </c>
      <c r="F11" s="132">
        <f>+E11*'Depreciacion &amp; Amortizacion'!C30</f>
        <v>28.799999999999997</v>
      </c>
      <c r="G11" s="134">
        <f t="shared" si="1"/>
        <v>31.200000000000003</v>
      </c>
    </row>
    <row r="12" spans="1:7" ht="15">
      <c r="A12" s="113" t="str">
        <f>+'inversion inicial'!A55</f>
        <v>Computadoras</v>
      </c>
      <c r="B12" s="104">
        <f>+'inversion inicial'!C55</f>
        <v>7</v>
      </c>
      <c r="C12" s="132">
        <f>+'inversion inicial'!B55</f>
        <v>700</v>
      </c>
      <c r="D12" s="132">
        <f t="shared" si="0"/>
        <v>4900</v>
      </c>
      <c r="E12" s="136">
        <v>3</v>
      </c>
      <c r="F12" s="132">
        <f>+E12*'Depreciacion &amp; Amortizacion'!C31</f>
        <v>504</v>
      </c>
      <c r="G12" s="134">
        <f t="shared" si="1"/>
        <v>1372</v>
      </c>
    </row>
    <row r="13" spans="1:7" ht="15">
      <c r="A13" s="113" t="str">
        <f>+'inversion inicial'!A62</f>
        <v>Muebles de oficina</v>
      </c>
      <c r="B13" s="104">
        <f>+'inversion inicial'!C62</f>
        <v>1</v>
      </c>
      <c r="C13" s="132">
        <f>+'inversion inicial'!B62</f>
        <v>600</v>
      </c>
      <c r="D13" s="132">
        <f t="shared" si="0"/>
        <v>600</v>
      </c>
      <c r="E13" s="136">
        <v>5</v>
      </c>
      <c r="F13" s="132">
        <f>+E13*'Depreciacion &amp; Amortizacion'!C53</f>
        <v>300</v>
      </c>
      <c r="G13" s="134">
        <f t="shared" si="1"/>
        <v>300</v>
      </c>
    </row>
    <row r="14" spans="1:7" ht="15">
      <c r="A14" s="113" t="str">
        <f>+'inversion inicial'!A63</f>
        <v>Pizarra</v>
      </c>
      <c r="B14" s="104">
        <f>+'inversion inicial'!C63</f>
        <v>1</v>
      </c>
      <c r="C14" s="132">
        <f>+'inversion inicial'!B63</f>
        <v>60</v>
      </c>
      <c r="D14" s="132">
        <f t="shared" si="0"/>
        <v>60</v>
      </c>
      <c r="E14" s="136">
        <v>5</v>
      </c>
      <c r="F14" s="132">
        <f>+E14*'Depreciacion &amp; Amortizacion'!C54</f>
        <v>30</v>
      </c>
      <c r="G14" s="134">
        <f t="shared" si="1"/>
        <v>30</v>
      </c>
    </row>
    <row r="15" spans="1:7" ht="15">
      <c r="A15" s="113" t="str">
        <f>+'inversion inicial'!A64</f>
        <v>Escritorios ejecutivos</v>
      </c>
      <c r="B15" s="104">
        <f>+'inversion inicial'!C64</f>
        <v>2</v>
      </c>
      <c r="C15" s="132">
        <f>+'inversion inicial'!B64</f>
        <v>350</v>
      </c>
      <c r="D15" s="132">
        <f t="shared" si="0"/>
        <v>700</v>
      </c>
      <c r="E15" s="136">
        <v>5</v>
      </c>
      <c r="F15" s="132">
        <f>+E15*'Depreciacion &amp; Amortizacion'!C55</f>
        <v>175</v>
      </c>
      <c r="G15" s="134">
        <f t="shared" si="1"/>
        <v>350</v>
      </c>
    </row>
    <row r="16" spans="1:7" ht="15">
      <c r="A16" s="113" t="str">
        <f>+'inversion inicial'!A65</f>
        <v>Escritorios de oficina</v>
      </c>
      <c r="B16" s="104">
        <f>+'inversion inicial'!C65</f>
        <v>5</v>
      </c>
      <c r="C16" s="132">
        <f>+'inversion inicial'!B65</f>
        <v>150</v>
      </c>
      <c r="D16" s="132">
        <f t="shared" si="0"/>
        <v>750</v>
      </c>
      <c r="E16" s="136">
        <v>5</v>
      </c>
      <c r="F16" s="132">
        <f>+E16*'Depreciacion &amp; Amortizacion'!C56</f>
        <v>75</v>
      </c>
      <c r="G16" s="134">
        <f t="shared" si="1"/>
        <v>375</v>
      </c>
    </row>
    <row r="17" spans="1:7" ht="15">
      <c r="A17" s="113" t="str">
        <f>+'inversion inicial'!A66</f>
        <v>sillas ejecutivas</v>
      </c>
      <c r="B17" s="104">
        <f>+'inversion inicial'!C66</f>
        <v>2</v>
      </c>
      <c r="C17" s="132">
        <f>+'inversion inicial'!B66</f>
        <v>150</v>
      </c>
      <c r="D17" s="132">
        <f t="shared" si="0"/>
        <v>300</v>
      </c>
      <c r="E17" s="136">
        <v>5</v>
      </c>
      <c r="F17" s="132">
        <f>+E17*'Depreciacion &amp; Amortizacion'!C57</f>
        <v>75</v>
      </c>
      <c r="G17" s="134">
        <f t="shared" si="1"/>
        <v>150</v>
      </c>
    </row>
    <row r="18" spans="1:7" ht="15">
      <c r="A18" s="113" t="str">
        <f>+'inversion inicial'!A67</f>
        <v>silas de oficina</v>
      </c>
      <c r="B18" s="104">
        <f>+'inversion inicial'!C67</f>
        <v>5</v>
      </c>
      <c r="C18" s="132">
        <f>+'inversion inicial'!B67</f>
        <v>90</v>
      </c>
      <c r="D18" s="132">
        <f t="shared" si="0"/>
        <v>450</v>
      </c>
      <c r="E18" s="136">
        <v>5</v>
      </c>
      <c r="F18" s="132">
        <f>+E18*'Depreciacion &amp; Amortizacion'!C58</f>
        <v>45</v>
      </c>
      <c r="G18" s="134">
        <f t="shared" si="1"/>
        <v>225</v>
      </c>
    </row>
    <row r="19" spans="1:7" ht="15">
      <c r="A19" s="113" t="str">
        <f>+'inversion inicial'!A68</f>
        <v>archivadores</v>
      </c>
      <c r="B19" s="104">
        <f>+'inversion inicial'!C68</f>
        <v>1</v>
      </c>
      <c r="C19" s="132">
        <f>+'inversion inicial'!B68</f>
        <v>200</v>
      </c>
      <c r="D19" s="132">
        <f t="shared" si="0"/>
        <v>200</v>
      </c>
      <c r="E19" s="136">
        <v>5</v>
      </c>
      <c r="F19" s="132">
        <f>+E19*'Depreciacion &amp; Amortizacion'!C59</f>
        <v>100</v>
      </c>
      <c r="G19" s="134">
        <f t="shared" si="1"/>
        <v>100</v>
      </c>
    </row>
    <row r="20" spans="1:7" ht="15.75" thickBot="1">
      <c r="A20" s="114" t="str">
        <f>+'inversion inicial'!A69</f>
        <v>mesa de juntas</v>
      </c>
      <c r="B20" s="115">
        <f>+'inversion inicial'!C69</f>
        <v>1</v>
      </c>
      <c r="C20" s="133">
        <f>+'inversion inicial'!B69</f>
        <v>750</v>
      </c>
      <c r="D20" s="133">
        <f t="shared" si="0"/>
        <v>750</v>
      </c>
      <c r="E20" s="137">
        <v>5</v>
      </c>
      <c r="F20" s="133">
        <f>+E20*'Depreciacion &amp; Amortizacion'!C60</f>
        <v>375</v>
      </c>
      <c r="G20" s="135">
        <f t="shared" si="1"/>
        <v>375</v>
      </c>
    </row>
    <row r="21" ht="15.75" thickBot="1"/>
    <row r="22" spans="1:11" ht="15.75" thickBot="1">
      <c r="A22" s="209" t="s">
        <v>20</v>
      </c>
      <c r="B22" s="210"/>
      <c r="C22" s="210"/>
      <c r="D22" s="210"/>
      <c r="E22" s="210"/>
      <c r="F22" s="210"/>
      <c r="G22" s="211"/>
      <c r="H22" s="120"/>
      <c r="I22" s="120"/>
      <c r="J22" s="120"/>
      <c r="K22" s="120"/>
    </row>
    <row r="23" spans="1:7" ht="15">
      <c r="A23" s="125"/>
      <c r="B23" s="117">
        <v>1</v>
      </c>
      <c r="C23" s="117">
        <v>2</v>
      </c>
      <c r="D23" s="117">
        <v>3</v>
      </c>
      <c r="E23" s="117">
        <v>4</v>
      </c>
      <c r="F23" s="117">
        <v>5</v>
      </c>
      <c r="G23" s="126"/>
    </row>
    <row r="24" spans="1:7" ht="15">
      <c r="A24" s="122" t="str">
        <f aca="true" t="shared" si="2" ref="A24:A41">+A3</f>
        <v>Impresora laser HP Deskject</v>
      </c>
      <c r="B24" s="104" t="s">
        <v>110</v>
      </c>
      <c r="C24" s="104" t="s">
        <v>110</v>
      </c>
      <c r="D24" s="104" t="s">
        <v>110</v>
      </c>
      <c r="E24" s="104" t="s">
        <v>110</v>
      </c>
      <c r="F24" s="112">
        <f>+D3</f>
        <v>22500</v>
      </c>
      <c r="G24" s="121"/>
    </row>
    <row r="25" spans="1:7" ht="15">
      <c r="A25" s="122" t="str">
        <f t="shared" si="2"/>
        <v>sistema de esterilizaciòn</v>
      </c>
      <c r="B25" s="104" t="s">
        <v>110</v>
      </c>
      <c r="C25" s="104" t="s">
        <v>110</v>
      </c>
      <c r="D25" s="104" t="s">
        <v>110</v>
      </c>
      <c r="E25" s="104" t="s">
        <v>110</v>
      </c>
      <c r="F25" s="112">
        <f aca="true" t="shared" si="3" ref="F25:F41">+D4</f>
        <v>50000</v>
      </c>
      <c r="G25" s="121"/>
    </row>
    <row r="26" spans="1:7" ht="15">
      <c r="A26" s="122" t="str">
        <f t="shared" si="2"/>
        <v>Secador Indutrial</v>
      </c>
      <c r="B26" s="104" t="s">
        <v>110</v>
      </c>
      <c r="C26" s="104" t="s">
        <v>110</v>
      </c>
      <c r="D26" s="104" t="s">
        <v>110</v>
      </c>
      <c r="E26" s="104" t="s">
        <v>110</v>
      </c>
      <c r="F26" s="112">
        <f t="shared" si="3"/>
        <v>12000</v>
      </c>
      <c r="G26" s="121"/>
    </row>
    <row r="27" spans="1:7" ht="15">
      <c r="A27" s="122" t="str">
        <f t="shared" si="2"/>
        <v>camionetas Dmax 2010</v>
      </c>
      <c r="B27" s="104" t="s">
        <v>110</v>
      </c>
      <c r="C27" s="104" t="s">
        <v>110</v>
      </c>
      <c r="D27" s="104" t="s">
        <v>110</v>
      </c>
      <c r="E27" s="104" t="s">
        <v>110</v>
      </c>
      <c r="F27" s="112">
        <f t="shared" si="3"/>
        <v>38000</v>
      </c>
      <c r="G27" s="121"/>
    </row>
    <row r="28" spans="1:7" ht="15">
      <c r="A28" s="122" t="str">
        <f t="shared" si="2"/>
        <v>Dispensador de Agua</v>
      </c>
      <c r="B28" s="104" t="s">
        <v>110</v>
      </c>
      <c r="C28" s="104" t="s">
        <v>110</v>
      </c>
      <c r="D28" s="104" t="s">
        <v>110</v>
      </c>
      <c r="E28" s="104" t="s">
        <v>110</v>
      </c>
      <c r="F28" s="112">
        <f t="shared" si="3"/>
        <v>50</v>
      </c>
      <c r="G28" s="121"/>
    </row>
    <row r="29" spans="1:7" ht="15">
      <c r="A29" s="122" t="str">
        <f t="shared" si="2"/>
        <v>aire acondicionado</v>
      </c>
      <c r="B29" s="104" t="s">
        <v>110</v>
      </c>
      <c r="C29" s="104" t="s">
        <v>110</v>
      </c>
      <c r="D29" s="104" t="s">
        <v>110</v>
      </c>
      <c r="E29" s="104" t="s">
        <v>110</v>
      </c>
      <c r="F29" s="112">
        <f t="shared" si="3"/>
        <v>1200</v>
      </c>
      <c r="G29" s="121"/>
    </row>
    <row r="30" spans="1:13" ht="15">
      <c r="A30" s="122" t="str">
        <f t="shared" si="2"/>
        <v>Impresora laser HP Deskject</v>
      </c>
      <c r="B30" s="104" t="s">
        <v>110</v>
      </c>
      <c r="C30" s="104" t="s">
        <v>110</v>
      </c>
      <c r="D30" s="112">
        <f>+D9</f>
        <v>520</v>
      </c>
      <c r="E30" s="104" t="s">
        <v>110</v>
      </c>
      <c r="F30" s="129"/>
      <c r="G30" s="121"/>
      <c r="M30" s="77">
        <f>+Activos!$D30/3</f>
        <v>173.33333333333334</v>
      </c>
    </row>
    <row r="31" spans="1:13" ht="15">
      <c r="A31" s="122" t="str">
        <f t="shared" si="2"/>
        <v>Proyector</v>
      </c>
      <c r="B31" s="104" t="s">
        <v>110</v>
      </c>
      <c r="C31" s="104" t="s">
        <v>110</v>
      </c>
      <c r="D31" s="112">
        <f>+D10</f>
        <v>1000</v>
      </c>
      <c r="E31" s="104" t="s">
        <v>110</v>
      </c>
      <c r="F31" s="129"/>
      <c r="G31" s="121"/>
      <c r="M31" s="77">
        <f>+Activos!$D31/3</f>
        <v>333.3333333333333</v>
      </c>
    </row>
    <row r="32" spans="1:13" ht="15">
      <c r="A32" s="122" t="str">
        <f t="shared" si="2"/>
        <v>Scanner</v>
      </c>
      <c r="B32" s="104" t="s">
        <v>110</v>
      </c>
      <c r="C32" s="104" t="s">
        <v>110</v>
      </c>
      <c r="D32" s="112">
        <f>+D11</f>
        <v>60</v>
      </c>
      <c r="E32" s="104" t="s">
        <v>110</v>
      </c>
      <c r="F32" s="129"/>
      <c r="G32" s="121"/>
      <c r="M32" s="77">
        <f>+Activos!$D32/3</f>
        <v>20</v>
      </c>
    </row>
    <row r="33" spans="1:13" ht="15">
      <c r="A33" s="122" t="str">
        <f t="shared" si="2"/>
        <v>Computadoras</v>
      </c>
      <c r="B33" s="104" t="s">
        <v>110</v>
      </c>
      <c r="C33" s="104" t="s">
        <v>110</v>
      </c>
      <c r="D33" s="112">
        <f>+D12</f>
        <v>4900</v>
      </c>
      <c r="E33" s="104" t="s">
        <v>110</v>
      </c>
      <c r="F33" s="129"/>
      <c r="G33" s="121"/>
      <c r="M33" s="77">
        <f>+Activos!$D33/3</f>
        <v>1633.3333333333333</v>
      </c>
    </row>
    <row r="34" spans="1:7" ht="15">
      <c r="A34" s="122" t="str">
        <f t="shared" si="2"/>
        <v>Muebles de oficina</v>
      </c>
      <c r="B34" s="104" t="s">
        <v>110</v>
      </c>
      <c r="C34" s="104" t="s">
        <v>110</v>
      </c>
      <c r="D34" s="104" t="s">
        <v>110</v>
      </c>
      <c r="E34" s="104" t="s">
        <v>110</v>
      </c>
      <c r="F34" s="112">
        <f t="shared" si="3"/>
        <v>600</v>
      </c>
      <c r="G34" s="121"/>
    </row>
    <row r="35" spans="1:7" ht="15">
      <c r="A35" s="122" t="str">
        <f t="shared" si="2"/>
        <v>Pizarra</v>
      </c>
      <c r="B35" s="104" t="s">
        <v>110</v>
      </c>
      <c r="C35" s="104" t="s">
        <v>110</v>
      </c>
      <c r="D35" s="104" t="s">
        <v>110</v>
      </c>
      <c r="E35" s="104" t="s">
        <v>110</v>
      </c>
      <c r="F35" s="112">
        <f t="shared" si="3"/>
        <v>60</v>
      </c>
      <c r="G35" s="121"/>
    </row>
    <row r="36" spans="1:7" ht="15">
      <c r="A36" s="122" t="str">
        <f t="shared" si="2"/>
        <v>Escritorios ejecutivos</v>
      </c>
      <c r="B36" s="104" t="s">
        <v>110</v>
      </c>
      <c r="C36" s="104" t="s">
        <v>110</v>
      </c>
      <c r="D36" s="104" t="s">
        <v>110</v>
      </c>
      <c r="E36" s="104" t="s">
        <v>110</v>
      </c>
      <c r="F36" s="112">
        <f t="shared" si="3"/>
        <v>700</v>
      </c>
      <c r="G36" s="121"/>
    </row>
    <row r="37" spans="1:7" ht="15">
      <c r="A37" s="122" t="str">
        <f t="shared" si="2"/>
        <v>Escritorios de oficina</v>
      </c>
      <c r="B37" s="104" t="s">
        <v>110</v>
      </c>
      <c r="C37" s="104" t="s">
        <v>110</v>
      </c>
      <c r="D37" s="104" t="s">
        <v>110</v>
      </c>
      <c r="E37" s="104" t="s">
        <v>110</v>
      </c>
      <c r="F37" s="112">
        <f t="shared" si="3"/>
        <v>750</v>
      </c>
      <c r="G37" s="121"/>
    </row>
    <row r="38" spans="1:7" ht="15">
      <c r="A38" s="122" t="str">
        <f t="shared" si="2"/>
        <v>sillas ejecutivas</v>
      </c>
      <c r="B38" s="104" t="s">
        <v>110</v>
      </c>
      <c r="C38" s="104" t="s">
        <v>110</v>
      </c>
      <c r="D38" s="104" t="s">
        <v>110</v>
      </c>
      <c r="E38" s="104" t="s">
        <v>110</v>
      </c>
      <c r="F38" s="112">
        <f t="shared" si="3"/>
        <v>300</v>
      </c>
      <c r="G38" s="121"/>
    </row>
    <row r="39" spans="1:7" ht="15">
      <c r="A39" s="122" t="str">
        <f t="shared" si="2"/>
        <v>silas de oficina</v>
      </c>
      <c r="B39" s="104" t="s">
        <v>110</v>
      </c>
      <c r="C39" s="104" t="s">
        <v>110</v>
      </c>
      <c r="D39" s="104" t="s">
        <v>110</v>
      </c>
      <c r="E39" s="104" t="s">
        <v>110</v>
      </c>
      <c r="F39" s="112">
        <f t="shared" si="3"/>
        <v>450</v>
      </c>
      <c r="G39" s="121"/>
    </row>
    <row r="40" spans="1:7" ht="15">
      <c r="A40" s="122" t="str">
        <f t="shared" si="2"/>
        <v>archivadores</v>
      </c>
      <c r="B40" s="104" t="s">
        <v>110</v>
      </c>
      <c r="C40" s="104" t="s">
        <v>110</v>
      </c>
      <c r="D40" s="104" t="s">
        <v>110</v>
      </c>
      <c r="E40" s="104" t="s">
        <v>110</v>
      </c>
      <c r="F40" s="112">
        <f t="shared" si="3"/>
        <v>200</v>
      </c>
      <c r="G40" s="121"/>
    </row>
    <row r="41" spans="1:7" ht="15.75" thickBot="1">
      <c r="A41" s="123" t="str">
        <f t="shared" si="2"/>
        <v>mesa de juntas</v>
      </c>
      <c r="B41" s="115" t="s">
        <v>110</v>
      </c>
      <c r="C41" s="115" t="s">
        <v>110</v>
      </c>
      <c r="D41" s="115" t="s">
        <v>110</v>
      </c>
      <c r="E41" s="115" t="s">
        <v>110</v>
      </c>
      <c r="F41" s="112">
        <f t="shared" si="3"/>
        <v>750</v>
      </c>
      <c r="G41" s="124"/>
    </row>
    <row r="44" spans="1:11" ht="15">
      <c r="A44" s="212" t="s">
        <v>21</v>
      </c>
      <c r="B44" s="213"/>
      <c r="C44" s="213"/>
      <c r="D44" s="213"/>
      <c r="E44" s="213"/>
      <c r="F44" s="213"/>
      <c r="G44" s="213"/>
      <c r="H44" s="213"/>
      <c r="I44" s="213"/>
      <c r="J44" s="213"/>
      <c r="K44" s="213"/>
    </row>
    <row r="45" spans="1:6" ht="15">
      <c r="A45" s="86" t="s">
        <v>19</v>
      </c>
      <c r="B45" s="85">
        <v>1</v>
      </c>
      <c r="C45" s="85">
        <v>2</v>
      </c>
      <c r="D45" s="85">
        <v>3</v>
      </c>
      <c r="E45" s="85">
        <v>4</v>
      </c>
      <c r="F45" s="85">
        <v>5</v>
      </c>
    </row>
    <row r="46" spans="1:6" ht="15">
      <c r="A46" s="86" t="str">
        <f>+A3</f>
        <v>Impresora laser HP Deskject</v>
      </c>
      <c r="B46" s="85"/>
      <c r="C46" s="85" t="str">
        <f>+D27</f>
        <v>-</v>
      </c>
      <c r="D46" s="85"/>
      <c r="E46" s="85" t="str">
        <f>+D27</f>
        <v>-</v>
      </c>
      <c r="F46" s="130">
        <f>+G3</f>
        <v>11250</v>
      </c>
    </row>
    <row r="47" spans="1:6" ht="15">
      <c r="A47" s="87" t="str">
        <f aca="true" t="shared" si="4" ref="A47:A63">+A25</f>
        <v>sistema de esterilizaciòn</v>
      </c>
      <c r="B47" s="85" t="s">
        <v>110</v>
      </c>
      <c r="C47" s="85" t="s">
        <v>110</v>
      </c>
      <c r="D47" s="85" t="s">
        <v>110</v>
      </c>
      <c r="E47" s="85" t="s">
        <v>110</v>
      </c>
      <c r="F47" s="130">
        <f aca="true" t="shared" si="5" ref="F47:F63">+G4</f>
        <v>25000</v>
      </c>
    </row>
    <row r="48" spans="1:6" ht="15">
      <c r="A48" s="87" t="str">
        <f t="shared" si="4"/>
        <v>Secador Indutrial</v>
      </c>
      <c r="B48" s="85" t="s">
        <v>110</v>
      </c>
      <c r="C48" s="85" t="s">
        <v>110</v>
      </c>
      <c r="D48" s="85" t="s">
        <v>110</v>
      </c>
      <c r="E48" s="85" t="s">
        <v>110</v>
      </c>
      <c r="F48" s="130">
        <f t="shared" si="5"/>
        <v>6000</v>
      </c>
    </row>
    <row r="49" spans="1:6" ht="15">
      <c r="A49" s="87" t="str">
        <f t="shared" si="4"/>
        <v>camionetas Dmax 2010</v>
      </c>
      <c r="B49" s="85" t="s">
        <v>110</v>
      </c>
      <c r="C49" s="85" t="s">
        <v>110</v>
      </c>
      <c r="D49" s="85" t="s">
        <v>110</v>
      </c>
      <c r="E49" s="85" t="s">
        <v>110</v>
      </c>
      <c r="F49" s="130">
        <f t="shared" si="5"/>
        <v>19000</v>
      </c>
    </row>
    <row r="50" spans="1:6" ht="15">
      <c r="A50" s="87" t="str">
        <f t="shared" si="4"/>
        <v>Dispensador de Agua</v>
      </c>
      <c r="B50" s="85" t="s">
        <v>110</v>
      </c>
      <c r="C50" s="85" t="s">
        <v>110</v>
      </c>
      <c r="D50" s="85" t="s">
        <v>110</v>
      </c>
      <c r="E50" s="85" t="s">
        <v>110</v>
      </c>
      <c r="F50" s="130">
        <f t="shared" si="5"/>
        <v>25</v>
      </c>
    </row>
    <row r="51" spans="1:6" ht="15">
      <c r="A51" s="87" t="str">
        <f t="shared" si="4"/>
        <v>aire acondicionado</v>
      </c>
      <c r="B51" s="85" t="s">
        <v>110</v>
      </c>
      <c r="C51" s="85" t="s">
        <v>110</v>
      </c>
      <c r="D51" s="85" t="s">
        <v>110</v>
      </c>
      <c r="E51" s="85" t="s">
        <v>110</v>
      </c>
      <c r="F51" s="130">
        <f t="shared" si="5"/>
        <v>600</v>
      </c>
    </row>
    <row r="52" spans="1:6" ht="15">
      <c r="A52" s="87" t="str">
        <f t="shared" si="4"/>
        <v>Impresora laser HP Deskject</v>
      </c>
      <c r="B52" s="85" t="s">
        <v>110</v>
      </c>
      <c r="C52" s="85" t="s">
        <v>110</v>
      </c>
      <c r="D52" s="130">
        <v>0</v>
      </c>
      <c r="E52" s="85" t="s">
        <v>110</v>
      </c>
      <c r="F52" s="131">
        <f>D30-M30*2</f>
        <v>173.33333333333331</v>
      </c>
    </row>
    <row r="53" spans="1:6" ht="15">
      <c r="A53" s="87" t="str">
        <f t="shared" si="4"/>
        <v>Proyector</v>
      </c>
      <c r="B53" s="85" t="s">
        <v>110</v>
      </c>
      <c r="C53" s="85" t="s">
        <v>110</v>
      </c>
      <c r="D53" s="130">
        <v>0</v>
      </c>
      <c r="E53" s="85" t="s">
        <v>110</v>
      </c>
      <c r="F53" s="131">
        <f>D31-M31*2</f>
        <v>333.33333333333337</v>
      </c>
    </row>
    <row r="54" spans="1:6" ht="15">
      <c r="A54" s="87" t="str">
        <f t="shared" si="4"/>
        <v>Scanner</v>
      </c>
      <c r="B54" s="85" t="s">
        <v>110</v>
      </c>
      <c r="C54" s="85" t="s">
        <v>110</v>
      </c>
      <c r="D54" s="130">
        <v>0</v>
      </c>
      <c r="E54" s="85" t="s">
        <v>110</v>
      </c>
      <c r="F54" s="131">
        <f>D32-M32*2</f>
        <v>20</v>
      </c>
    </row>
    <row r="55" spans="1:6" ht="15">
      <c r="A55" s="87" t="str">
        <f t="shared" si="4"/>
        <v>Computadoras</v>
      </c>
      <c r="B55" s="85" t="s">
        <v>110</v>
      </c>
      <c r="C55" s="85" t="s">
        <v>110</v>
      </c>
      <c r="D55" s="130">
        <v>0</v>
      </c>
      <c r="E55" s="85" t="s">
        <v>110</v>
      </c>
      <c r="F55" s="131">
        <f>D33-M33*2</f>
        <v>1633.3333333333335</v>
      </c>
    </row>
    <row r="56" spans="1:6" ht="15">
      <c r="A56" s="87" t="str">
        <f t="shared" si="4"/>
        <v>Muebles de oficina</v>
      </c>
      <c r="B56" s="85" t="s">
        <v>110</v>
      </c>
      <c r="C56" s="85" t="s">
        <v>110</v>
      </c>
      <c r="D56" s="85" t="s">
        <v>110</v>
      </c>
      <c r="E56" s="85" t="s">
        <v>110</v>
      </c>
      <c r="F56" s="130">
        <f t="shared" si="5"/>
        <v>300</v>
      </c>
    </row>
    <row r="57" spans="1:6" ht="15">
      <c r="A57" s="87" t="str">
        <f t="shared" si="4"/>
        <v>Pizarra</v>
      </c>
      <c r="B57" s="85" t="s">
        <v>110</v>
      </c>
      <c r="C57" s="85" t="s">
        <v>110</v>
      </c>
      <c r="D57" s="85" t="s">
        <v>110</v>
      </c>
      <c r="E57" s="85" t="s">
        <v>110</v>
      </c>
      <c r="F57" s="130">
        <f t="shared" si="5"/>
        <v>30</v>
      </c>
    </row>
    <row r="58" spans="1:6" ht="15">
      <c r="A58" s="87" t="str">
        <f t="shared" si="4"/>
        <v>Escritorios ejecutivos</v>
      </c>
      <c r="B58" s="85" t="s">
        <v>110</v>
      </c>
      <c r="C58" s="85" t="s">
        <v>110</v>
      </c>
      <c r="D58" s="85" t="s">
        <v>110</v>
      </c>
      <c r="E58" s="85" t="s">
        <v>110</v>
      </c>
      <c r="F58" s="130">
        <f t="shared" si="5"/>
        <v>350</v>
      </c>
    </row>
    <row r="59" spans="1:6" ht="15">
      <c r="A59" s="87" t="str">
        <f t="shared" si="4"/>
        <v>Escritorios de oficina</v>
      </c>
      <c r="B59" s="85" t="s">
        <v>110</v>
      </c>
      <c r="C59" s="85" t="s">
        <v>110</v>
      </c>
      <c r="D59" s="85" t="s">
        <v>110</v>
      </c>
      <c r="E59" s="85" t="s">
        <v>110</v>
      </c>
      <c r="F59" s="130">
        <f t="shared" si="5"/>
        <v>375</v>
      </c>
    </row>
    <row r="60" spans="1:6" ht="15">
      <c r="A60" s="87" t="str">
        <f t="shared" si="4"/>
        <v>sillas ejecutivas</v>
      </c>
      <c r="B60" s="85" t="s">
        <v>110</v>
      </c>
      <c r="C60" s="85" t="s">
        <v>110</v>
      </c>
      <c r="D60" s="85" t="s">
        <v>110</v>
      </c>
      <c r="E60" s="85" t="s">
        <v>110</v>
      </c>
      <c r="F60" s="130">
        <f t="shared" si="5"/>
        <v>150</v>
      </c>
    </row>
    <row r="61" spans="1:6" ht="15">
      <c r="A61" s="87" t="str">
        <f t="shared" si="4"/>
        <v>silas de oficina</v>
      </c>
      <c r="B61" s="85" t="s">
        <v>110</v>
      </c>
      <c r="C61" s="85" t="s">
        <v>110</v>
      </c>
      <c r="D61" s="85" t="s">
        <v>110</v>
      </c>
      <c r="E61" s="85" t="s">
        <v>110</v>
      </c>
      <c r="F61" s="130">
        <f t="shared" si="5"/>
        <v>225</v>
      </c>
    </row>
    <row r="62" spans="1:6" ht="15">
      <c r="A62" s="87" t="str">
        <f t="shared" si="4"/>
        <v>archivadores</v>
      </c>
      <c r="B62" s="85" t="s">
        <v>110</v>
      </c>
      <c r="C62" s="85" t="s">
        <v>110</v>
      </c>
      <c r="D62" s="85" t="s">
        <v>110</v>
      </c>
      <c r="E62" s="85" t="s">
        <v>110</v>
      </c>
      <c r="F62" s="130">
        <f t="shared" si="5"/>
        <v>100</v>
      </c>
    </row>
    <row r="63" spans="1:6" ht="15">
      <c r="A63" s="87" t="str">
        <f t="shared" si="4"/>
        <v>mesa de juntas</v>
      </c>
      <c r="B63" s="85" t="s">
        <v>110</v>
      </c>
      <c r="C63" s="85" t="s">
        <v>110</v>
      </c>
      <c r="D63" s="85" t="s">
        <v>110</v>
      </c>
      <c r="E63" s="85" t="s">
        <v>110</v>
      </c>
      <c r="F63" s="130">
        <f t="shared" si="5"/>
        <v>375</v>
      </c>
    </row>
  </sheetData>
  <sheetProtection/>
  <mergeCells count="3">
    <mergeCell ref="A1:G1"/>
    <mergeCell ref="A44:K44"/>
    <mergeCell ref="A22:G22"/>
  </mergeCells>
  <printOptions/>
  <pageMargins left="0.7" right="0.7" top="0.75" bottom="0.75" header="0.3" footer="0.3"/>
  <pageSetup horizontalDpi="600" verticalDpi="600" orientation="portrait" paperSize="9" r:id="rId1"/>
  <ignoredErrors>
    <ignoredError sqref="D2"/>
  </ignoredErrors>
</worksheet>
</file>

<file path=xl/worksheets/sheet2.xml><?xml version="1.0" encoding="utf-8"?>
<worksheet xmlns="http://schemas.openxmlformats.org/spreadsheetml/2006/main" xmlns:r="http://schemas.openxmlformats.org/officeDocument/2006/relationships">
  <dimension ref="A1:J103"/>
  <sheetViews>
    <sheetView zoomScalePageLayoutView="0" workbookViewId="0" topLeftCell="D1">
      <selection activeCell="D18" sqref="D18"/>
    </sheetView>
  </sheetViews>
  <sheetFormatPr defaultColWidth="11.421875" defaultRowHeight="15"/>
  <cols>
    <col min="1" max="1" width="40.00390625" style="77" bestFit="1" customWidth="1"/>
    <col min="2" max="2" width="16.140625" style="77" bestFit="1" customWidth="1"/>
    <col min="3" max="3" width="11.140625" style="77" bestFit="1" customWidth="1"/>
    <col min="4" max="4" width="20.00390625" style="77" bestFit="1" customWidth="1"/>
    <col min="5" max="5" width="24.421875" style="77" customWidth="1"/>
    <col min="6" max="6" width="29.7109375" style="77" bestFit="1" customWidth="1"/>
    <col min="7" max="7" width="16.00390625" style="77" bestFit="1" customWidth="1"/>
    <col min="8" max="8" width="4.00390625" style="77" customWidth="1"/>
    <col min="9" max="9" width="26.00390625" style="77" bestFit="1" customWidth="1"/>
    <col min="10" max="16384" width="11.421875" style="77" customWidth="1"/>
  </cols>
  <sheetData>
    <row r="1" spans="1:7" ht="15">
      <c r="A1" s="77" t="s">
        <v>80</v>
      </c>
      <c r="F1" s="214" t="s">
        <v>62</v>
      </c>
      <c r="G1" s="214"/>
    </row>
    <row r="2" spans="1:7" ht="15.75">
      <c r="A2" s="215" t="s">
        <v>246</v>
      </c>
      <c r="B2" s="215"/>
      <c r="C2" s="215"/>
      <c r="D2" s="215"/>
      <c r="E2" s="215"/>
      <c r="F2" s="181" t="s">
        <v>40</v>
      </c>
      <c r="G2" s="181" t="s">
        <v>60</v>
      </c>
    </row>
    <row r="3" spans="1:7" ht="15">
      <c r="A3" s="215" t="s">
        <v>239</v>
      </c>
      <c r="B3" s="215"/>
      <c r="C3" s="215"/>
      <c r="D3" s="215"/>
      <c r="E3" s="216"/>
      <c r="F3" s="79" t="str">
        <f>+A12</f>
        <v>Infraestructura</v>
      </c>
      <c r="G3" s="182">
        <f>+D21</f>
        <v>85178</v>
      </c>
    </row>
    <row r="4" spans="1:7" ht="15">
      <c r="A4" s="77" t="s">
        <v>221</v>
      </c>
      <c r="F4" s="79" t="str">
        <f>+A4</f>
        <v>Constitucion de la compañía</v>
      </c>
      <c r="G4" s="183">
        <f>+B8</f>
        <v>1100</v>
      </c>
    </row>
    <row r="5" spans="1:7" ht="15.75">
      <c r="A5" s="78" t="s">
        <v>40</v>
      </c>
      <c r="B5" s="78" t="s">
        <v>222</v>
      </c>
      <c r="F5" s="79" t="s">
        <v>73</v>
      </c>
      <c r="G5" s="182">
        <f>+D26</f>
        <v>38000</v>
      </c>
    </row>
    <row r="6" spans="1:7" ht="15">
      <c r="A6" s="79" t="s">
        <v>221</v>
      </c>
      <c r="B6" s="80">
        <v>800</v>
      </c>
      <c r="F6" s="79" t="s">
        <v>61</v>
      </c>
      <c r="G6" s="182">
        <f>+E34</f>
        <v>3000</v>
      </c>
    </row>
    <row r="7" spans="1:7" ht="15">
      <c r="A7" s="79" t="s">
        <v>223</v>
      </c>
      <c r="B7" s="80">
        <v>300</v>
      </c>
      <c r="F7" s="79" t="str">
        <f>+A38</f>
        <v>Equipos de Oficina</v>
      </c>
      <c r="G7" s="182">
        <f>+D46</f>
        <v>2390</v>
      </c>
    </row>
    <row r="8" spans="1:7" ht="15">
      <c r="A8" s="79" t="s">
        <v>22</v>
      </c>
      <c r="B8" s="80">
        <f>+SUM(B6:B7)</f>
        <v>1100</v>
      </c>
      <c r="F8" s="79" t="str">
        <f>+A50</f>
        <v>Equipos de computacion</v>
      </c>
      <c r="G8" s="182">
        <f>+D56</f>
        <v>6460</v>
      </c>
    </row>
    <row r="9" spans="6:7" ht="15">
      <c r="F9" s="79" t="str">
        <f>+A60</f>
        <v>Muebles de oficina</v>
      </c>
      <c r="G9" s="182">
        <f>+D70</f>
        <v>3810</v>
      </c>
    </row>
    <row r="10" spans="1:7" ht="15">
      <c r="A10" s="77" t="s">
        <v>245</v>
      </c>
      <c r="F10" s="79" t="str">
        <f>+A74</f>
        <v>Suministros de oficina</v>
      </c>
      <c r="G10" s="182">
        <f>D84</f>
        <v>52.95</v>
      </c>
    </row>
    <row r="11" spans="1:7" ht="15.75">
      <c r="A11" s="217"/>
      <c r="B11" s="217"/>
      <c r="C11" s="217"/>
      <c r="D11" s="217"/>
      <c r="E11" s="218"/>
      <c r="F11" s="179" t="s">
        <v>62</v>
      </c>
      <c r="G11" s="180">
        <f>+SUM(G3:G10)</f>
        <v>139990.95</v>
      </c>
    </row>
    <row r="12" ht="15">
      <c r="A12" s="17" t="s">
        <v>27</v>
      </c>
    </row>
    <row r="13" spans="1:4" ht="15.75">
      <c r="A13" s="19" t="s">
        <v>40</v>
      </c>
      <c r="B13" s="19" t="s">
        <v>29</v>
      </c>
      <c r="C13" s="19" t="s">
        <v>31</v>
      </c>
      <c r="D13" s="19" t="s">
        <v>32</v>
      </c>
    </row>
    <row r="14" spans="1:4" ht="15">
      <c r="A14" s="79" t="s">
        <v>81</v>
      </c>
      <c r="B14" s="80">
        <v>600</v>
      </c>
      <c r="C14" s="79">
        <v>1</v>
      </c>
      <c r="D14" s="80">
        <f aca="true" t="shared" si="0" ref="D14:D20">+B14*C14</f>
        <v>600</v>
      </c>
    </row>
    <row r="15" spans="1:4" ht="15">
      <c r="A15" s="76" t="s">
        <v>226</v>
      </c>
      <c r="B15" s="80">
        <v>22500</v>
      </c>
      <c r="C15" s="79">
        <v>1</v>
      </c>
      <c r="D15" s="80">
        <f t="shared" si="0"/>
        <v>22500</v>
      </c>
    </row>
    <row r="16" spans="1:4" ht="15">
      <c r="A16" s="76" t="s">
        <v>77</v>
      </c>
      <c r="B16" s="80">
        <v>50000</v>
      </c>
      <c r="C16" s="79">
        <v>1</v>
      </c>
      <c r="D16" s="80">
        <f t="shared" si="0"/>
        <v>50000</v>
      </c>
    </row>
    <row r="17" spans="1:6" ht="15">
      <c r="A17" s="76" t="s">
        <v>79</v>
      </c>
      <c r="B17" s="80">
        <v>12000</v>
      </c>
      <c r="C17" s="79">
        <v>1</v>
      </c>
      <c r="D17" s="80">
        <f t="shared" si="0"/>
        <v>12000</v>
      </c>
      <c r="F17" s="97"/>
    </row>
    <row r="18" spans="1:6" ht="15">
      <c r="A18" s="76" t="s">
        <v>78</v>
      </c>
      <c r="B18" s="80">
        <v>80</v>
      </c>
      <c r="C18" s="79">
        <v>6</v>
      </c>
      <c r="D18" s="80">
        <f t="shared" si="0"/>
        <v>480</v>
      </c>
      <c r="F18" s="97"/>
    </row>
    <row r="19" spans="1:6" ht="15">
      <c r="A19" s="79" t="s">
        <v>28</v>
      </c>
      <c r="B19" s="80">
        <v>98</v>
      </c>
      <c r="C19" s="79">
        <v>1</v>
      </c>
      <c r="D19" s="80">
        <f t="shared" si="0"/>
        <v>98</v>
      </c>
      <c r="F19" s="97"/>
    </row>
    <row r="20" spans="1:4" ht="15">
      <c r="A20" s="79" t="s">
        <v>30</v>
      </c>
      <c r="B20" s="80">
        <v>100</v>
      </c>
      <c r="C20" s="79">
        <v>1</v>
      </c>
      <c r="D20" s="80">
        <f t="shared" si="0"/>
        <v>100</v>
      </c>
    </row>
    <row r="21" spans="1:4" ht="15">
      <c r="A21" s="79" t="s">
        <v>22</v>
      </c>
      <c r="B21" s="79"/>
      <c r="C21" s="79"/>
      <c r="D21" s="80">
        <f>+SUM(D15:D20)</f>
        <v>85178</v>
      </c>
    </row>
    <row r="23" ht="15">
      <c r="A23" s="17" t="s">
        <v>73</v>
      </c>
    </row>
    <row r="24" spans="1:4" ht="15.75">
      <c r="A24" s="19" t="s">
        <v>40</v>
      </c>
      <c r="B24" s="19" t="s">
        <v>29</v>
      </c>
      <c r="C24" s="19" t="s">
        <v>31</v>
      </c>
      <c r="D24" s="19" t="s">
        <v>32</v>
      </c>
    </row>
    <row r="25" spans="1:7" ht="15">
      <c r="A25" s="79" t="s">
        <v>227</v>
      </c>
      <c r="B25" s="80">
        <v>19000</v>
      </c>
      <c r="C25" s="79">
        <v>2</v>
      </c>
      <c r="D25" s="80">
        <f>+B25*C25</f>
        <v>38000</v>
      </c>
      <c r="F25" s="82"/>
      <c r="G25" s="83"/>
    </row>
    <row r="26" spans="1:7" ht="15">
      <c r="A26" s="84" t="s">
        <v>16</v>
      </c>
      <c r="B26" s="80"/>
      <c r="C26" s="79"/>
      <c r="D26" s="80">
        <f>+SUM(D25)</f>
        <v>38000</v>
      </c>
      <c r="F26" s="82"/>
      <c r="G26" s="83"/>
    </row>
    <row r="27" spans="1:7" ht="15">
      <c r="A27" s="99"/>
      <c r="B27" s="98"/>
      <c r="C27" s="82"/>
      <c r="D27" s="98"/>
      <c r="F27" s="82"/>
      <c r="G27" s="83"/>
    </row>
    <row r="28" spans="1:7" ht="15">
      <c r="A28" s="215" t="s">
        <v>244</v>
      </c>
      <c r="B28" s="215"/>
      <c r="C28" s="215"/>
      <c r="D28" s="215"/>
      <c r="E28" s="215"/>
      <c r="F28" s="215"/>
      <c r="G28" s="215"/>
    </row>
    <row r="29" spans="6:7" ht="15">
      <c r="F29" s="82"/>
      <c r="G29" s="83"/>
    </row>
    <row r="30" ht="15">
      <c r="A30" s="17" t="s">
        <v>61</v>
      </c>
    </row>
    <row r="31" spans="1:5" ht="15.75">
      <c r="A31" s="19" t="s">
        <v>34</v>
      </c>
      <c r="B31" s="19" t="s">
        <v>35</v>
      </c>
      <c r="C31" s="19" t="s">
        <v>1</v>
      </c>
      <c r="D31" s="19" t="s">
        <v>65</v>
      </c>
      <c r="E31" s="19" t="s">
        <v>36</v>
      </c>
    </row>
    <row r="32" spans="1:5" ht="15">
      <c r="A32" s="79" t="s">
        <v>63</v>
      </c>
      <c r="B32" s="80">
        <v>1200</v>
      </c>
      <c r="C32" s="79">
        <v>1</v>
      </c>
      <c r="D32" s="79">
        <v>2</v>
      </c>
      <c r="E32" s="80">
        <f>+B32*D32</f>
        <v>2400</v>
      </c>
    </row>
    <row r="33" spans="1:5" ht="15">
      <c r="A33" s="79" t="s">
        <v>64</v>
      </c>
      <c r="B33" s="80">
        <v>600</v>
      </c>
      <c r="C33" s="79">
        <v>1</v>
      </c>
      <c r="D33" s="79">
        <v>1</v>
      </c>
      <c r="E33" s="80">
        <f>+B33*C33</f>
        <v>600</v>
      </c>
    </row>
    <row r="34" spans="1:5" ht="15">
      <c r="A34" s="79" t="s">
        <v>22</v>
      </c>
      <c r="B34" s="81">
        <f>+SUM(B32:B33)</f>
        <v>1800</v>
      </c>
      <c r="C34" s="79"/>
      <c r="D34" s="79"/>
      <c r="E34" s="80">
        <f>+SUM(E32:E33)</f>
        <v>3000</v>
      </c>
    </row>
    <row r="35" spans="1:5" ht="15">
      <c r="A35" s="82"/>
      <c r="B35" s="82"/>
      <c r="C35" s="82"/>
      <c r="D35" s="82"/>
      <c r="E35" s="98"/>
    </row>
    <row r="36" spans="1:10" ht="15">
      <c r="A36" s="215" t="s">
        <v>243</v>
      </c>
      <c r="B36" s="215"/>
      <c r="C36" s="215"/>
      <c r="D36" s="215"/>
      <c r="E36" s="215"/>
      <c r="F36" s="215"/>
      <c r="G36" s="215"/>
      <c r="H36" s="215"/>
      <c r="I36" s="215"/>
      <c r="J36" s="215"/>
    </row>
    <row r="38" ht="15">
      <c r="A38" s="17" t="s">
        <v>33</v>
      </c>
    </row>
    <row r="39" spans="1:4" ht="15.75">
      <c r="A39" s="19" t="s">
        <v>34</v>
      </c>
      <c r="B39" s="19" t="s">
        <v>35</v>
      </c>
      <c r="C39" s="19" t="s">
        <v>1</v>
      </c>
      <c r="D39" s="19" t="s">
        <v>36</v>
      </c>
    </row>
    <row r="40" spans="1:4" ht="15">
      <c r="A40" s="79" t="s">
        <v>37</v>
      </c>
      <c r="B40" s="80">
        <v>50</v>
      </c>
      <c r="C40" s="79">
        <v>1</v>
      </c>
      <c r="D40" s="80">
        <f aca="true" t="shared" si="1" ref="D40:D45">+B40*C40</f>
        <v>50</v>
      </c>
    </row>
    <row r="41" spans="1:4" ht="15">
      <c r="A41" s="79" t="s">
        <v>38</v>
      </c>
      <c r="B41" s="80">
        <v>600</v>
      </c>
      <c r="C41" s="79">
        <v>2</v>
      </c>
      <c r="D41" s="80">
        <f t="shared" si="1"/>
        <v>1200</v>
      </c>
    </row>
    <row r="42" spans="1:4" ht="15">
      <c r="A42" s="79" t="s">
        <v>220</v>
      </c>
      <c r="B42" s="80">
        <v>500</v>
      </c>
      <c r="C42" s="79">
        <v>1</v>
      </c>
      <c r="D42" s="80">
        <f t="shared" si="1"/>
        <v>500</v>
      </c>
    </row>
    <row r="43" spans="1:4" ht="15">
      <c r="A43" s="79" t="s">
        <v>39</v>
      </c>
      <c r="B43" s="80">
        <v>30</v>
      </c>
      <c r="C43" s="79">
        <v>8</v>
      </c>
      <c r="D43" s="80">
        <f t="shared" si="1"/>
        <v>240</v>
      </c>
    </row>
    <row r="44" spans="1:4" ht="15">
      <c r="A44" s="79" t="s">
        <v>210</v>
      </c>
      <c r="B44" s="80">
        <v>40</v>
      </c>
      <c r="C44" s="79">
        <v>10</v>
      </c>
      <c r="D44" s="80">
        <f t="shared" si="1"/>
        <v>400</v>
      </c>
    </row>
    <row r="45" spans="1:4" ht="15">
      <c r="A45" s="79"/>
      <c r="B45" s="80"/>
      <c r="C45" s="79"/>
      <c r="D45" s="80">
        <f t="shared" si="1"/>
        <v>0</v>
      </c>
    </row>
    <row r="46" spans="1:4" ht="15">
      <c r="A46" s="79" t="s">
        <v>22</v>
      </c>
      <c r="B46" s="79"/>
      <c r="C46" s="79"/>
      <c r="D46" s="80">
        <f>+SUM(D40:D45)</f>
        <v>2390</v>
      </c>
    </row>
    <row r="47" spans="1:4" ht="15">
      <c r="A47" s="82"/>
      <c r="B47" s="82"/>
      <c r="C47" s="82"/>
      <c r="D47" s="98"/>
    </row>
    <row r="48" spans="1:7" ht="15">
      <c r="A48" s="215" t="s">
        <v>242</v>
      </c>
      <c r="B48" s="215"/>
      <c r="C48" s="215"/>
      <c r="D48" s="215"/>
      <c r="E48" s="215"/>
      <c r="F48" s="215"/>
      <c r="G48" s="215"/>
    </row>
    <row r="50" spans="1:4" ht="15">
      <c r="A50" s="17" t="s">
        <v>218</v>
      </c>
      <c r="B50" s="18"/>
      <c r="C50" s="18"/>
      <c r="D50" s="18"/>
    </row>
    <row r="51" spans="1:4" ht="15.75">
      <c r="A51" s="19" t="s">
        <v>34</v>
      </c>
      <c r="B51" s="19" t="s">
        <v>35</v>
      </c>
      <c r="C51" s="19" t="s">
        <v>1</v>
      </c>
      <c r="D51" s="19" t="s">
        <v>36</v>
      </c>
    </row>
    <row r="52" spans="1:4" ht="15">
      <c r="A52" s="20" t="s">
        <v>43</v>
      </c>
      <c r="B52" s="21">
        <v>130</v>
      </c>
      <c r="C52" s="20">
        <v>4</v>
      </c>
      <c r="D52" s="21">
        <f>+B52*C52</f>
        <v>520</v>
      </c>
    </row>
    <row r="53" spans="1:4" ht="15">
      <c r="A53" s="20" t="s">
        <v>82</v>
      </c>
      <c r="B53" s="21">
        <v>1000</v>
      </c>
      <c r="C53" s="20">
        <v>1</v>
      </c>
      <c r="D53" s="21">
        <f>+B53*C53</f>
        <v>1000</v>
      </c>
    </row>
    <row r="54" spans="1:4" ht="15">
      <c r="A54" s="20" t="s">
        <v>41</v>
      </c>
      <c r="B54" s="21">
        <v>40</v>
      </c>
      <c r="C54" s="20">
        <v>1</v>
      </c>
      <c r="D54" s="21">
        <f>+B54*C54</f>
        <v>40</v>
      </c>
    </row>
    <row r="55" spans="1:4" ht="15">
      <c r="A55" s="20" t="s">
        <v>42</v>
      </c>
      <c r="B55" s="21">
        <v>700</v>
      </c>
      <c r="C55" s="20">
        <v>7</v>
      </c>
      <c r="D55" s="21">
        <f>+B55*C55</f>
        <v>4900</v>
      </c>
    </row>
    <row r="56" spans="1:4" ht="15">
      <c r="A56" s="22" t="s">
        <v>22</v>
      </c>
      <c r="B56" s="20"/>
      <c r="C56" s="20"/>
      <c r="D56" s="21">
        <f>+SUM(D52:D55)</f>
        <v>6460</v>
      </c>
    </row>
    <row r="57" spans="1:4" ht="15">
      <c r="A57" s="82"/>
      <c r="B57" s="82"/>
      <c r="C57" s="82"/>
      <c r="D57" s="82"/>
    </row>
    <row r="58" spans="1:4" ht="15">
      <c r="A58" s="77" t="s">
        <v>241</v>
      </c>
      <c r="B58" s="82"/>
      <c r="C58" s="82"/>
      <c r="D58" s="82"/>
    </row>
    <row r="60" ht="15">
      <c r="A60" s="17" t="s">
        <v>44</v>
      </c>
    </row>
    <row r="61" spans="1:4" ht="15.75">
      <c r="A61" s="19" t="s">
        <v>34</v>
      </c>
      <c r="B61" s="19" t="s">
        <v>35</v>
      </c>
      <c r="C61" s="19" t="s">
        <v>1</v>
      </c>
      <c r="D61" s="19" t="s">
        <v>36</v>
      </c>
    </row>
    <row r="62" spans="1:4" ht="15">
      <c r="A62" s="79" t="s">
        <v>44</v>
      </c>
      <c r="B62" s="80">
        <v>600</v>
      </c>
      <c r="C62" s="79">
        <v>1</v>
      </c>
      <c r="D62" s="80">
        <f>+B62*C62</f>
        <v>600</v>
      </c>
    </row>
    <row r="63" spans="1:4" ht="15">
      <c r="A63" s="79" t="s">
        <v>45</v>
      </c>
      <c r="B63" s="80">
        <v>60</v>
      </c>
      <c r="C63" s="79">
        <v>1</v>
      </c>
      <c r="D63" s="80">
        <f aca="true" t="shared" si="2" ref="D63:D69">+B63*C63</f>
        <v>60</v>
      </c>
    </row>
    <row r="64" spans="1:4" ht="15">
      <c r="A64" s="79" t="s">
        <v>46</v>
      </c>
      <c r="B64" s="80">
        <v>350</v>
      </c>
      <c r="C64" s="79">
        <v>2</v>
      </c>
      <c r="D64" s="80">
        <f t="shared" si="2"/>
        <v>700</v>
      </c>
    </row>
    <row r="65" spans="1:4" ht="15">
      <c r="A65" s="79" t="s">
        <v>219</v>
      </c>
      <c r="B65" s="80">
        <v>150</v>
      </c>
      <c r="C65" s="79">
        <v>5</v>
      </c>
      <c r="D65" s="80">
        <f t="shared" si="2"/>
        <v>750</v>
      </c>
    </row>
    <row r="66" spans="1:4" ht="15">
      <c r="A66" s="79" t="s">
        <v>47</v>
      </c>
      <c r="B66" s="80">
        <v>150</v>
      </c>
      <c r="C66" s="79">
        <v>2</v>
      </c>
      <c r="D66" s="80">
        <f t="shared" si="2"/>
        <v>300</v>
      </c>
    </row>
    <row r="67" spans="1:4" ht="15">
      <c r="A67" s="79" t="s">
        <v>48</v>
      </c>
      <c r="B67" s="80">
        <v>90</v>
      </c>
      <c r="C67" s="79">
        <v>5</v>
      </c>
      <c r="D67" s="80">
        <f t="shared" si="2"/>
        <v>450</v>
      </c>
    </row>
    <row r="68" spans="1:4" ht="15">
      <c r="A68" s="79" t="s">
        <v>49</v>
      </c>
      <c r="B68" s="80">
        <v>200</v>
      </c>
      <c r="C68" s="79">
        <v>1</v>
      </c>
      <c r="D68" s="80">
        <f t="shared" si="2"/>
        <v>200</v>
      </c>
    </row>
    <row r="69" spans="1:4" ht="15">
      <c r="A69" s="79" t="s">
        <v>50</v>
      </c>
      <c r="B69" s="80">
        <v>750</v>
      </c>
      <c r="C69" s="79">
        <v>1</v>
      </c>
      <c r="D69" s="80">
        <f t="shared" si="2"/>
        <v>750</v>
      </c>
    </row>
    <row r="70" spans="1:4" ht="15">
      <c r="A70" s="79" t="s">
        <v>22</v>
      </c>
      <c r="B70" s="79"/>
      <c r="C70" s="79"/>
      <c r="D70" s="80">
        <f>+SUM(D62:D69)</f>
        <v>3810</v>
      </c>
    </row>
    <row r="71" spans="1:4" ht="15">
      <c r="A71" s="82"/>
      <c r="B71" s="82"/>
      <c r="C71" s="82"/>
      <c r="D71" s="98"/>
    </row>
    <row r="72" spans="1:4" ht="15">
      <c r="A72" s="77" t="s">
        <v>240</v>
      </c>
      <c r="B72" s="82"/>
      <c r="C72" s="82"/>
      <c r="D72" s="98"/>
    </row>
    <row r="74" ht="15">
      <c r="A74" s="17" t="s">
        <v>51</v>
      </c>
    </row>
    <row r="75" spans="1:4" ht="15.75">
      <c r="A75" s="19" t="s">
        <v>34</v>
      </c>
      <c r="B75" s="19" t="s">
        <v>35</v>
      </c>
      <c r="C75" s="19" t="s">
        <v>1</v>
      </c>
      <c r="D75" s="19" t="s">
        <v>36</v>
      </c>
    </row>
    <row r="76" spans="1:4" ht="15">
      <c r="A76" s="79" t="s">
        <v>52</v>
      </c>
      <c r="B76" s="80">
        <v>0.2</v>
      </c>
      <c r="C76" s="79">
        <v>150</v>
      </c>
      <c r="D76" s="80">
        <f aca="true" t="shared" si="3" ref="D76:D83">+B76*C76</f>
        <v>30</v>
      </c>
    </row>
    <row r="77" spans="1:4" ht="15">
      <c r="A77" s="79" t="s">
        <v>53</v>
      </c>
      <c r="B77" s="80">
        <v>2.5</v>
      </c>
      <c r="C77" s="79">
        <v>2</v>
      </c>
      <c r="D77" s="80">
        <f t="shared" si="3"/>
        <v>5</v>
      </c>
    </row>
    <row r="78" spans="1:4" ht="15">
      <c r="A78" s="79" t="s">
        <v>54</v>
      </c>
      <c r="B78" s="80">
        <v>1</v>
      </c>
      <c r="C78" s="79">
        <v>7</v>
      </c>
      <c r="D78" s="80">
        <f t="shared" si="3"/>
        <v>7</v>
      </c>
    </row>
    <row r="79" spans="1:4" ht="15">
      <c r="A79" s="79" t="s">
        <v>55</v>
      </c>
      <c r="B79" s="80">
        <v>0.7</v>
      </c>
      <c r="C79" s="79">
        <v>3</v>
      </c>
      <c r="D79" s="80">
        <f t="shared" si="3"/>
        <v>2.0999999999999996</v>
      </c>
    </row>
    <row r="80" spans="1:4" ht="15">
      <c r="A80" s="79" t="s">
        <v>56</v>
      </c>
      <c r="B80" s="80">
        <v>0.85</v>
      </c>
      <c r="C80" s="79">
        <v>1</v>
      </c>
      <c r="D80" s="80">
        <f t="shared" si="3"/>
        <v>0.85</v>
      </c>
    </row>
    <row r="81" spans="1:4" ht="15">
      <c r="A81" s="79" t="s">
        <v>57</v>
      </c>
      <c r="B81" s="80">
        <v>0.5</v>
      </c>
      <c r="C81" s="79">
        <v>1</v>
      </c>
      <c r="D81" s="80">
        <f t="shared" si="3"/>
        <v>0.5</v>
      </c>
    </row>
    <row r="82" spans="1:4" ht="15">
      <c r="A82" s="79" t="s">
        <v>58</v>
      </c>
      <c r="B82" s="80">
        <v>0.1</v>
      </c>
      <c r="C82" s="79">
        <v>15</v>
      </c>
      <c r="D82" s="80">
        <f t="shared" si="3"/>
        <v>1.5</v>
      </c>
    </row>
    <row r="83" spans="1:4" ht="15">
      <c r="A83" s="79" t="s">
        <v>59</v>
      </c>
      <c r="B83" s="80">
        <v>3</v>
      </c>
      <c r="C83" s="79">
        <v>2</v>
      </c>
      <c r="D83" s="80">
        <f t="shared" si="3"/>
        <v>6</v>
      </c>
    </row>
    <row r="84" spans="1:5" ht="15">
      <c r="A84" s="79" t="s">
        <v>22</v>
      </c>
      <c r="B84" s="79"/>
      <c r="C84" s="79"/>
      <c r="D84" s="80">
        <f>+SUM(D76:D83)</f>
        <v>52.95</v>
      </c>
      <c r="E84" s="77">
        <f>+D84*6</f>
        <v>317.70000000000005</v>
      </c>
    </row>
    <row r="91" ht="15.75">
      <c r="A91" s="100"/>
    </row>
    <row r="94" ht="15.75">
      <c r="A94" s="100"/>
    </row>
    <row r="96" ht="15.75">
      <c r="A96" s="100"/>
    </row>
    <row r="98" ht="15.75">
      <c r="A98" s="101"/>
    </row>
    <row r="99" ht="15.75">
      <c r="A99" s="101"/>
    </row>
    <row r="100" ht="15.75">
      <c r="A100" s="101"/>
    </row>
    <row r="101" ht="15.75">
      <c r="A101" s="101"/>
    </row>
    <row r="103" ht="15.75">
      <c r="A103" s="100"/>
    </row>
  </sheetData>
  <sheetProtection/>
  <mergeCells count="7">
    <mergeCell ref="A48:G48"/>
    <mergeCell ref="A36:J36"/>
    <mergeCell ref="A28:G28"/>
    <mergeCell ref="F1:G1"/>
    <mergeCell ref="A2:E2"/>
    <mergeCell ref="A3:E3"/>
    <mergeCell ref="A11:E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L66"/>
  <sheetViews>
    <sheetView zoomScalePageLayoutView="0" workbookViewId="0" topLeftCell="A1">
      <selection activeCell="F8" sqref="F8"/>
    </sheetView>
  </sheetViews>
  <sheetFormatPr defaultColWidth="11.421875" defaultRowHeight="15"/>
  <cols>
    <col min="1" max="1" width="37.8515625" style="0" bestFit="1" customWidth="1"/>
    <col min="2" max="3" width="12.57421875" style="0" bestFit="1" customWidth="1"/>
    <col min="4" max="4" width="12.57421875" style="0" customWidth="1"/>
    <col min="6" max="6" width="26.00390625" style="0" bestFit="1" customWidth="1"/>
  </cols>
  <sheetData>
    <row r="2" spans="1:12" ht="15">
      <c r="A2" s="219" t="s">
        <v>233</v>
      </c>
      <c r="B2" s="219"/>
      <c r="C2" s="219"/>
      <c r="D2" s="219"/>
      <c r="F2" s="220" t="s">
        <v>272</v>
      </c>
      <c r="G2" s="220"/>
      <c r="H2" s="220"/>
      <c r="I2" s="220"/>
      <c r="J2" s="220"/>
      <c r="K2" s="220"/>
      <c r="L2" s="220"/>
    </row>
    <row r="3" spans="7:12" ht="15">
      <c r="G3" s="7"/>
      <c r="H3" s="7" t="s">
        <v>102</v>
      </c>
      <c r="I3" s="7" t="s">
        <v>111</v>
      </c>
      <c r="J3" s="7" t="s">
        <v>112</v>
      </c>
      <c r="K3" s="7" t="s">
        <v>113</v>
      </c>
      <c r="L3" s="7" t="s">
        <v>114</v>
      </c>
    </row>
    <row r="4" spans="1:12" ht="15">
      <c r="A4" t="s">
        <v>66</v>
      </c>
      <c r="B4" s="16">
        <v>5</v>
      </c>
      <c r="F4" s="7" t="str">
        <f>+'inversion inicial'!F4</f>
        <v>Constitucion de la compañía</v>
      </c>
      <c r="G4" s="8">
        <f>+'inversion inicial'!G4</f>
        <v>1100</v>
      </c>
      <c r="H4" s="8">
        <f>+$G$4/5</f>
        <v>220</v>
      </c>
      <c r="I4" s="8">
        <f>+$G$4/5</f>
        <v>220</v>
      </c>
      <c r="J4" s="8">
        <f>+$G$4/5</f>
        <v>220</v>
      </c>
      <c r="K4" s="8">
        <f>+$G$4/5</f>
        <v>220</v>
      </c>
      <c r="L4" s="8">
        <f>+$G$4/5</f>
        <v>220</v>
      </c>
    </row>
    <row r="5" spans="1:12" ht="15">
      <c r="A5" t="s">
        <v>74</v>
      </c>
      <c r="B5" s="5">
        <v>0.1</v>
      </c>
      <c r="F5" s="7" t="str">
        <f>+'inversion inicial'!A14</f>
        <v>Remodelacion</v>
      </c>
      <c r="G5" s="11">
        <f>+'inversion inicial'!D14</f>
        <v>600</v>
      </c>
      <c r="H5" s="8">
        <f>+$G$5/5</f>
        <v>120</v>
      </c>
      <c r="I5" s="8">
        <f>+$G$5/5</f>
        <v>120</v>
      </c>
      <c r="J5" s="8">
        <f>+$G$5/5</f>
        <v>120</v>
      </c>
      <c r="K5" s="8">
        <f>+$G$5/5</f>
        <v>120</v>
      </c>
      <c r="L5" s="8">
        <f>+$G$5/5</f>
        <v>120</v>
      </c>
    </row>
    <row r="6" spans="6:12" ht="15">
      <c r="F6" t="s">
        <v>22</v>
      </c>
      <c r="H6" s="4">
        <f>+SUM(H4:H5)</f>
        <v>340</v>
      </c>
      <c r="I6" s="4">
        <f>+SUM(I4:I5)</f>
        <v>340</v>
      </c>
      <c r="J6" s="4">
        <f>+SUM(J4:J5)</f>
        <v>340</v>
      </c>
      <c r="K6" s="4">
        <f>+SUM(K4:K5)</f>
        <v>340</v>
      </c>
      <c r="L6" s="4">
        <f>+SUM(L4:L5)</f>
        <v>340</v>
      </c>
    </row>
    <row r="7" spans="1:4" ht="30">
      <c r="A7" s="9" t="s">
        <v>40</v>
      </c>
      <c r="B7" s="9" t="s">
        <v>68</v>
      </c>
      <c r="C7" s="13" t="s">
        <v>234</v>
      </c>
      <c r="D7" s="13" t="s">
        <v>235</v>
      </c>
    </row>
    <row r="8" spans="1:4" ht="15">
      <c r="A8" s="7" t="str">
        <f>+'inversion inicial'!A15</f>
        <v>Compresor de aire simplex 5 Hp</v>
      </c>
      <c r="B8" s="11">
        <f>+'inversion inicial'!B15</f>
        <v>22500</v>
      </c>
      <c r="C8" s="8">
        <f>+B8*$B$5</f>
        <v>2250</v>
      </c>
      <c r="D8" s="8">
        <f>+C8/12</f>
        <v>187.5</v>
      </c>
    </row>
    <row r="9" spans="1:4" ht="15">
      <c r="A9" s="7" t="str">
        <f>+'inversion inicial'!A16</f>
        <v>sistema de esterilizaciòn</v>
      </c>
      <c r="B9" s="11">
        <f>+'inversion inicial'!B16</f>
        <v>50000</v>
      </c>
      <c r="C9" s="8">
        <f>+B9*$B$5</f>
        <v>5000</v>
      </c>
      <c r="D9" s="8">
        <f>+C9/12</f>
        <v>416.6666666666667</v>
      </c>
    </row>
    <row r="10" spans="1:4" ht="15">
      <c r="A10" s="7" t="str">
        <f>+'inversion inicial'!A17</f>
        <v>Secador Indutrial</v>
      </c>
      <c r="B10" s="11">
        <f>+'inversion inicial'!B17</f>
        <v>12000</v>
      </c>
      <c r="C10" s="8">
        <f>+B10*$B$5</f>
        <v>1200</v>
      </c>
      <c r="D10" s="8">
        <f>+C10/12</f>
        <v>100</v>
      </c>
    </row>
    <row r="11" spans="1:4" ht="15">
      <c r="A11" s="7" t="s">
        <v>22</v>
      </c>
      <c r="B11" s="7"/>
      <c r="C11" s="8">
        <f>+SUM(C8:C10)</f>
        <v>8450</v>
      </c>
      <c r="D11" s="8">
        <f>+SUM(D8:D10)</f>
        <v>704.1666666666667</v>
      </c>
    </row>
    <row r="13" spans="1:4" ht="15">
      <c r="A13" s="219" t="s">
        <v>72</v>
      </c>
      <c r="B13" s="219"/>
      <c r="C13" s="219"/>
      <c r="D13" s="219"/>
    </row>
    <row r="15" spans="1:2" ht="15">
      <c r="A15" t="s">
        <v>66</v>
      </c>
      <c r="B15" s="16" t="s">
        <v>76</v>
      </c>
    </row>
    <row r="16" spans="1:2" ht="15">
      <c r="A16" t="s">
        <v>74</v>
      </c>
      <c r="B16" s="5">
        <v>0.1</v>
      </c>
    </row>
    <row r="18" spans="1:4" ht="30">
      <c r="A18" s="9" t="s">
        <v>40</v>
      </c>
      <c r="B18" s="9" t="s">
        <v>68</v>
      </c>
      <c r="C18" s="13" t="s">
        <v>234</v>
      </c>
      <c r="D18" s="13" t="s">
        <v>235</v>
      </c>
    </row>
    <row r="19" spans="1:6" ht="15">
      <c r="A19" s="7" t="s">
        <v>75</v>
      </c>
      <c r="B19" s="11">
        <f>+'inversion inicial'!B25</f>
        <v>19000</v>
      </c>
      <c r="C19" s="8">
        <f>+B19*B16</f>
        <v>1900</v>
      </c>
      <c r="D19" s="8">
        <f>+C19/12</f>
        <v>158.33333333333334</v>
      </c>
      <c r="F19" s="3"/>
    </row>
    <row r="20" spans="1:4" ht="15">
      <c r="A20" s="7" t="s">
        <v>22</v>
      </c>
      <c r="B20" s="7"/>
      <c r="C20" s="8">
        <f>+SUM(C19)</f>
        <v>1900</v>
      </c>
      <c r="D20" s="8">
        <f>+SUM(D19)</f>
        <v>158.33333333333334</v>
      </c>
    </row>
    <row r="22" spans="1:4" ht="15">
      <c r="A22" s="219" t="s">
        <v>69</v>
      </c>
      <c r="B22" s="219"/>
      <c r="C22" s="219"/>
      <c r="D22" s="219"/>
    </row>
    <row r="24" spans="1:2" ht="15">
      <c r="A24" t="s">
        <v>66</v>
      </c>
      <c r="B24" s="16">
        <v>3</v>
      </c>
    </row>
    <row r="25" spans="1:2" ht="15">
      <c r="A25" t="s">
        <v>67</v>
      </c>
      <c r="B25" s="12">
        <v>0.24</v>
      </c>
    </row>
    <row r="27" spans="1:4" ht="30">
      <c r="A27" s="9" t="s">
        <v>40</v>
      </c>
      <c r="B27" s="9" t="s">
        <v>68</v>
      </c>
      <c r="C27" s="13" t="s">
        <v>234</v>
      </c>
      <c r="D27" s="13" t="s">
        <v>235</v>
      </c>
    </row>
    <row r="28" spans="1:4" ht="15">
      <c r="A28" s="7" t="str">
        <f>+'inversion inicial'!A52</f>
        <v>Impresora laser HP Deskject</v>
      </c>
      <c r="B28" s="11">
        <f>+'inversion inicial'!B52</f>
        <v>130</v>
      </c>
      <c r="C28" s="8">
        <f>+B28*$B$25</f>
        <v>31.2</v>
      </c>
      <c r="D28" s="8">
        <f>+C28/12</f>
        <v>2.6</v>
      </c>
    </row>
    <row r="29" spans="1:4" ht="15">
      <c r="A29" s="7" t="str">
        <f>+'inversion inicial'!A53</f>
        <v>Proyector</v>
      </c>
      <c r="B29" s="11">
        <f>+'inversion inicial'!B53</f>
        <v>1000</v>
      </c>
      <c r="C29" s="8">
        <f>+B29*$B$25</f>
        <v>240</v>
      </c>
      <c r="D29" s="8">
        <f>+C29/12</f>
        <v>20</v>
      </c>
    </row>
    <row r="30" spans="1:4" ht="15">
      <c r="A30" s="7" t="str">
        <f>+'inversion inicial'!A54</f>
        <v>Scanner</v>
      </c>
      <c r="B30" s="11">
        <f>+'inversion inicial'!B54</f>
        <v>40</v>
      </c>
      <c r="C30" s="8">
        <f>+B30*$B$25</f>
        <v>9.6</v>
      </c>
      <c r="D30" s="8">
        <f>+C30/12</f>
        <v>0.7999999999999999</v>
      </c>
    </row>
    <row r="31" spans="1:4" ht="15">
      <c r="A31" s="7" t="str">
        <f>+'inversion inicial'!A55</f>
        <v>Computadoras</v>
      </c>
      <c r="B31" s="11">
        <f>+'inversion inicial'!B55</f>
        <v>700</v>
      </c>
      <c r="C31" s="8">
        <f>+B31*$B$25</f>
        <v>168</v>
      </c>
      <c r="D31" s="8">
        <f>+C31/12</f>
        <v>14</v>
      </c>
    </row>
    <row r="32" spans="1:4" ht="15">
      <c r="A32" s="7" t="s">
        <v>22</v>
      </c>
      <c r="B32" s="7"/>
      <c r="C32" s="11">
        <f>+SUM(C28:C31)</f>
        <v>448.8</v>
      </c>
      <c r="D32" s="11">
        <f>+SUM(D28:D31)</f>
        <v>37.400000000000006</v>
      </c>
    </row>
    <row r="35" spans="1:4" ht="15">
      <c r="A35" s="219" t="s">
        <v>70</v>
      </c>
      <c r="B35" s="219"/>
      <c r="C35" s="219"/>
      <c r="D35" s="219"/>
    </row>
    <row r="37" spans="1:2" ht="15">
      <c r="A37" t="s">
        <v>66</v>
      </c>
      <c r="B37">
        <v>5</v>
      </c>
    </row>
    <row r="38" spans="1:2" ht="15">
      <c r="A38" t="s">
        <v>67</v>
      </c>
      <c r="B38" s="12">
        <v>0.1</v>
      </c>
    </row>
    <row r="40" spans="1:4" ht="30">
      <c r="A40" s="9" t="s">
        <v>40</v>
      </c>
      <c r="B40" s="9" t="s">
        <v>68</v>
      </c>
      <c r="C40" s="13" t="s">
        <v>234</v>
      </c>
      <c r="D40" s="13" t="s">
        <v>235</v>
      </c>
    </row>
    <row r="41" spans="1:4" ht="15">
      <c r="A41" s="7" t="str">
        <f>+'inversion inicial'!A40</f>
        <v>Dispensador de Agua</v>
      </c>
      <c r="B41" s="8">
        <f>+'inversion inicial'!B40</f>
        <v>50</v>
      </c>
      <c r="C41" s="8">
        <f>+B41*$B$38</f>
        <v>5</v>
      </c>
      <c r="D41" s="8">
        <f>+C41/12</f>
        <v>0.4166666666666667</v>
      </c>
    </row>
    <row r="42" spans="1:4" ht="15">
      <c r="A42" s="7" t="str">
        <f>+'inversion inicial'!A41</f>
        <v>aire acondicionado</v>
      </c>
      <c r="B42" s="8">
        <f>+'inversion inicial'!B41</f>
        <v>600</v>
      </c>
      <c r="C42" s="8">
        <f>+B42*$B$38</f>
        <v>60</v>
      </c>
      <c r="D42" s="8">
        <f>+C42/12</f>
        <v>5</v>
      </c>
    </row>
    <row r="43" spans="1:4" ht="15">
      <c r="A43" s="7" t="str">
        <f>+'inversion inicial'!A43</f>
        <v>telefonos e instalacion</v>
      </c>
      <c r="B43" s="8">
        <f>+'inversion inicial'!B43</f>
        <v>30</v>
      </c>
      <c r="C43" s="8">
        <f>+B43*$B$38</f>
        <v>3</v>
      </c>
      <c r="D43" s="8">
        <f>+C43/12</f>
        <v>0.25</v>
      </c>
    </row>
    <row r="44" spans="1:4" ht="15">
      <c r="A44" s="7" t="str">
        <f>+'inversion inicial'!A46</f>
        <v>Total</v>
      </c>
      <c r="B44" s="7"/>
      <c r="C44" s="11">
        <f>+SUM(C41:C43)</f>
        <v>68</v>
      </c>
      <c r="D44" s="11">
        <f>+SUM(D41:D43)</f>
        <v>5.666666666666667</v>
      </c>
    </row>
    <row r="47" spans="1:4" ht="15">
      <c r="A47" s="219" t="s">
        <v>71</v>
      </c>
      <c r="B47" s="219"/>
      <c r="C47" s="219"/>
      <c r="D47" s="219"/>
    </row>
    <row r="49" spans="1:2" ht="15">
      <c r="A49" t="s">
        <v>66</v>
      </c>
      <c r="B49">
        <v>5</v>
      </c>
    </row>
    <row r="50" spans="1:2" ht="15">
      <c r="A50" t="s">
        <v>67</v>
      </c>
      <c r="B50" s="12">
        <v>0.1</v>
      </c>
    </row>
    <row r="52" spans="1:4" ht="30">
      <c r="A52" s="9" t="s">
        <v>40</v>
      </c>
      <c r="B52" s="9" t="s">
        <v>68</v>
      </c>
      <c r="C52" s="13" t="s">
        <v>234</v>
      </c>
      <c r="D52" s="13" t="s">
        <v>235</v>
      </c>
    </row>
    <row r="53" spans="1:4" ht="15">
      <c r="A53" s="7" t="str">
        <f>+'inversion inicial'!A62</f>
        <v>Muebles de oficina</v>
      </c>
      <c r="B53" s="8">
        <f>+'inversion inicial'!B62</f>
        <v>600</v>
      </c>
      <c r="C53" s="8">
        <f>+B53*$B$38</f>
        <v>60</v>
      </c>
      <c r="D53" s="8">
        <f>+C53/12</f>
        <v>5</v>
      </c>
    </row>
    <row r="54" spans="1:4" ht="15">
      <c r="A54" s="7" t="str">
        <f>+'inversion inicial'!A63</f>
        <v>Pizarra</v>
      </c>
      <c r="B54" s="8">
        <f>+'inversion inicial'!B63</f>
        <v>60</v>
      </c>
      <c r="C54" s="8">
        <f>+B54*$B$38</f>
        <v>6</v>
      </c>
      <c r="D54" s="8">
        <f>+C54/12</f>
        <v>0.5</v>
      </c>
    </row>
    <row r="55" spans="1:4" ht="15">
      <c r="A55" s="7" t="str">
        <f>+'inversion inicial'!A64</f>
        <v>Escritorios ejecutivos</v>
      </c>
      <c r="B55" s="8">
        <f>+'inversion inicial'!B64</f>
        <v>350</v>
      </c>
      <c r="C55" s="8">
        <f aca="true" t="shared" si="0" ref="C55:C60">+B55*$B$38</f>
        <v>35</v>
      </c>
      <c r="D55" s="8">
        <f>+C55/12</f>
        <v>2.9166666666666665</v>
      </c>
    </row>
    <row r="56" spans="1:4" ht="15">
      <c r="A56" s="7" t="str">
        <f>+'inversion inicial'!A65</f>
        <v>Escritorios de oficina</v>
      </c>
      <c r="B56" s="8">
        <f>+'inversion inicial'!B65</f>
        <v>150</v>
      </c>
      <c r="C56" s="8">
        <f t="shared" si="0"/>
        <v>15</v>
      </c>
      <c r="D56" s="8">
        <f aca="true" t="shared" si="1" ref="D56:D61">+C56/12</f>
        <v>1.25</v>
      </c>
    </row>
    <row r="57" spans="1:4" ht="15">
      <c r="A57" s="7" t="str">
        <f>+'inversion inicial'!A66</f>
        <v>sillas ejecutivas</v>
      </c>
      <c r="B57" s="8">
        <f>+'inversion inicial'!B66</f>
        <v>150</v>
      </c>
      <c r="C57" s="8">
        <f t="shared" si="0"/>
        <v>15</v>
      </c>
      <c r="D57" s="8">
        <f t="shared" si="1"/>
        <v>1.25</v>
      </c>
    </row>
    <row r="58" spans="1:4" ht="15">
      <c r="A58" s="7" t="str">
        <f>+'inversion inicial'!A67</f>
        <v>silas de oficina</v>
      </c>
      <c r="B58" s="8">
        <f>+'inversion inicial'!B67</f>
        <v>90</v>
      </c>
      <c r="C58" s="8">
        <f t="shared" si="0"/>
        <v>9</v>
      </c>
      <c r="D58" s="8">
        <f t="shared" si="1"/>
        <v>0.75</v>
      </c>
    </row>
    <row r="59" spans="1:4" ht="15">
      <c r="A59" s="7" t="str">
        <f>+'inversion inicial'!A68</f>
        <v>archivadores</v>
      </c>
      <c r="B59" s="8">
        <f>+'inversion inicial'!B68</f>
        <v>200</v>
      </c>
      <c r="C59" s="8">
        <f t="shared" si="0"/>
        <v>20</v>
      </c>
      <c r="D59" s="8">
        <f t="shared" si="1"/>
        <v>1.6666666666666667</v>
      </c>
    </row>
    <row r="60" spans="1:4" ht="15">
      <c r="A60" s="7" t="str">
        <f>+'inversion inicial'!A69</f>
        <v>mesa de juntas</v>
      </c>
      <c r="B60" s="8">
        <f>+'inversion inicial'!B69</f>
        <v>750</v>
      </c>
      <c r="C60" s="8">
        <f t="shared" si="0"/>
        <v>75</v>
      </c>
      <c r="D60" s="8">
        <f t="shared" si="1"/>
        <v>6.25</v>
      </c>
    </row>
    <row r="61" spans="1:4" ht="15">
      <c r="A61" s="7" t="str">
        <f>+'inversion inicial'!A70</f>
        <v>Total</v>
      </c>
      <c r="B61" s="7"/>
      <c r="C61" s="11">
        <f>+SUM(C53:C60)</f>
        <v>235</v>
      </c>
      <c r="D61" s="14">
        <f t="shared" si="1"/>
        <v>19.583333333333332</v>
      </c>
    </row>
    <row r="65" spans="1:3" ht="30">
      <c r="A65" s="9" t="s">
        <v>40</v>
      </c>
      <c r="B65" s="13" t="s">
        <v>234</v>
      </c>
      <c r="C65" s="13" t="s">
        <v>235</v>
      </c>
    </row>
    <row r="66" spans="1:3" ht="15">
      <c r="A66" s="7" t="s">
        <v>22</v>
      </c>
      <c r="B66" s="11">
        <f>+C20+C32+C44+C61+C11</f>
        <v>11101.8</v>
      </c>
      <c r="C66" s="11">
        <f>+D20+D32+D44+D61+D11</f>
        <v>925.1500000000001</v>
      </c>
    </row>
  </sheetData>
  <sheetProtection/>
  <mergeCells count="6">
    <mergeCell ref="A47:D47"/>
    <mergeCell ref="F2:L2"/>
    <mergeCell ref="A2:D2"/>
    <mergeCell ref="A13:D13"/>
    <mergeCell ref="A22:D22"/>
    <mergeCell ref="A35:D3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51"/>
  <sheetViews>
    <sheetView zoomScalePageLayoutView="0" workbookViewId="0" topLeftCell="A1">
      <selection activeCell="A12" sqref="A12"/>
    </sheetView>
  </sheetViews>
  <sheetFormatPr defaultColWidth="11.421875" defaultRowHeight="15"/>
  <cols>
    <col min="1" max="1" width="24.57421875" style="0" bestFit="1" customWidth="1"/>
    <col min="2" max="2" width="14.7109375" style="0" bestFit="1" customWidth="1"/>
    <col min="3" max="3" width="19.00390625" style="0" bestFit="1" customWidth="1"/>
    <col min="4" max="4" width="16.7109375" style="0" bestFit="1" customWidth="1"/>
    <col min="5" max="5" width="16.00390625" style="0" bestFit="1" customWidth="1"/>
    <col min="6" max="6" width="14.7109375" style="0" bestFit="1" customWidth="1"/>
    <col min="7" max="7" width="13.57421875" style="0" bestFit="1" customWidth="1"/>
    <col min="8" max="8" width="13.57421875" style="0" customWidth="1"/>
    <col min="9" max="9" width="11.00390625" style="0" bestFit="1" customWidth="1"/>
    <col min="10" max="10" width="12.00390625" style="0" bestFit="1" customWidth="1"/>
    <col min="11" max="11" width="14.140625" style="0" bestFit="1" customWidth="1"/>
  </cols>
  <sheetData>
    <row r="1" spans="1:11" ht="30">
      <c r="A1" s="1" t="s">
        <v>12</v>
      </c>
      <c r="B1" s="2" t="s">
        <v>15</v>
      </c>
      <c r="C1" s="1" t="s">
        <v>18</v>
      </c>
      <c r="D1" s="1" t="s">
        <v>84</v>
      </c>
      <c r="E1" s="2" t="s">
        <v>228</v>
      </c>
      <c r="F1" s="2" t="s">
        <v>24</v>
      </c>
      <c r="G1" s="2" t="s">
        <v>25</v>
      </c>
      <c r="H1" s="2" t="s">
        <v>90</v>
      </c>
      <c r="I1" s="2" t="s">
        <v>91</v>
      </c>
      <c r="J1" s="2" t="s">
        <v>89</v>
      </c>
      <c r="K1" s="2" t="s">
        <v>229</v>
      </c>
    </row>
    <row r="2" spans="1:11" ht="15">
      <c r="A2" t="s">
        <v>3</v>
      </c>
      <c r="B2" s="1">
        <v>1</v>
      </c>
      <c r="C2" s="4">
        <v>2000</v>
      </c>
      <c r="D2" s="4">
        <f>+B2*C2</f>
        <v>2000</v>
      </c>
      <c r="E2" s="4">
        <f>+RRHH!$D2*12</f>
        <v>24000</v>
      </c>
      <c r="F2" s="4">
        <f>+RRHH!$D2*RRHH!$B2</f>
        <v>2000</v>
      </c>
      <c r="G2" s="4">
        <f>+RRHH!$B2*218</f>
        <v>218</v>
      </c>
      <c r="H2" s="4">
        <f>+RRHH!$D2*$B$15*12</f>
        <v>2244</v>
      </c>
      <c r="I2" s="4">
        <f>+RRHH!$D2*$B$16</f>
        <v>243</v>
      </c>
      <c r="J2" s="4">
        <v>0</v>
      </c>
      <c r="K2" s="4">
        <f>+SUM(RRHH!$E2:$J2)</f>
        <v>28705</v>
      </c>
    </row>
    <row r="3" spans="1:11" ht="15">
      <c r="A3" t="s">
        <v>4</v>
      </c>
      <c r="B3" s="1">
        <v>1</v>
      </c>
      <c r="C3" s="4">
        <v>1500</v>
      </c>
      <c r="D3" s="4">
        <f aca="true" t="shared" si="0" ref="D3:D10">+B3*C3</f>
        <v>1500</v>
      </c>
      <c r="E3" s="4">
        <f>+RRHH!$D3*12</f>
        <v>18000</v>
      </c>
      <c r="F3" s="4">
        <f>+RRHH!$D3*RRHH!$B3</f>
        <v>1500</v>
      </c>
      <c r="G3" s="4">
        <f>+RRHH!$B3*218</f>
        <v>218</v>
      </c>
      <c r="H3" s="4">
        <f>+RRHH!$D3*$B$15*12</f>
        <v>1683</v>
      </c>
      <c r="I3" s="4">
        <f>+RRHH!$D3*$B$16</f>
        <v>182.25</v>
      </c>
      <c r="J3" s="4">
        <v>0</v>
      </c>
      <c r="K3" s="4">
        <f>+SUM(RRHH!$E3:$J3)</f>
        <v>21583.25</v>
      </c>
    </row>
    <row r="4" spans="1:11" ht="15">
      <c r="A4" t="s">
        <v>13</v>
      </c>
      <c r="B4" s="1">
        <v>1</v>
      </c>
      <c r="C4" s="4">
        <v>400</v>
      </c>
      <c r="D4" s="4">
        <f t="shared" si="0"/>
        <v>400</v>
      </c>
      <c r="E4" s="4">
        <f>+RRHH!$D4*12</f>
        <v>4800</v>
      </c>
      <c r="F4" s="4">
        <f>+RRHH!$D4*RRHH!$B4</f>
        <v>400</v>
      </c>
      <c r="G4" s="4">
        <f>+RRHH!$B4*218</f>
        <v>218</v>
      </c>
      <c r="H4" s="4">
        <f>+RRHH!$D4*$B$15*12</f>
        <v>448.79999999999995</v>
      </c>
      <c r="I4" s="4">
        <f>+RRHH!$D4*$B$16</f>
        <v>48.6</v>
      </c>
      <c r="J4" s="4">
        <v>0</v>
      </c>
      <c r="K4" s="4">
        <f>+SUM(RRHH!$E4:$J4)</f>
        <v>5915.400000000001</v>
      </c>
    </row>
    <row r="5" spans="1:11" ht="15">
      <c r="A5" t="s">
        <v>5</v>
      </c>
      <c r="B5" s="1">
        <v>1</v>
      </c>
      <c r="C5" s="4">
        <v>600</v>
      </c>
      <c r="D5" s="4">
        <f t="shared" si="0"/>
        <v>600</v>
      </c>
      <c r="E5" s="4">
        <f>+RRHH!$D5*12</f>
        <v>7200</v>
      </c>
      <c r="F5" s="4">
        <f>+RRHH!$D5*RRHH!$B5</f>
        <v>600</v>
      </c>
      <c r="G5" s="4">
        <f>+RRHH!$B5*218</f>
        <v>218</v>
      </c>
      <c r="H5" s="4">
        <f>+RRHH!$D5*$B$15*12</f>
        <v>673.2</v>
      </c>
      <c r="I5" s="4">
        <f>+RRHH!$D5*$B$16</f>
        <v>72.89999999999999</v>
      </c>
      <c r="J5" s="4">
        <v>0</v>
      </c>
      <c r="K5" s="4">
        <f>+SUM(RRHH!$E5:$J5)</f>
        <v>8764.1</v>
      </c>
    </row>
    <row r="6" spans="1:11" ht="15">
      <c r="A6" t="s">
        <v>11</v>
      </c>
      <c r="B6" s="1">
        <v>3</v>
      </c>
      <c r="C6" s="4">
        <v>500</v>
      </c>
      <c r="D6" s="4">
        <f t="shared" si="0"/>
        <v>1500</v>
      </c>
      <c r="E6" s="4">
        <f>+RRHH!$D6*12</f>
        <v>18000</v>
      </c>
      <c r="F6" s="4">
        <f>+RRHH!$D6*RRHH!$B6</f>
        <v>4500</v>
      </c>
      <c r="G6" s="4">
        <f>+RRHH!$B6*218</f>
        <v>654</v>
      </c>
      <c r="H6" s="4">
        <f>+RRHH!$D6*$B$15*12</f>
        <v>1683</v>
      </c>
      <c r="I6" s="4">
        <f>+RRHH!$D6*$B$16</f>
        <v>182.25</v>
      </c>
      <c r="J6" s="4">
        <f>+$B$13*B14</f>
        <v>20870.904181272632</v>
      </c>
      <c r="K6" s="4">
        <f>+SUM(RRHH!$E6:$J6)</f>
        <v>45890.154181272635</v>
      </c>
    </row>
    <row r="7" spans="1:11" ht="15">
      <c r="A7" t="s">
        <v>6</v>
      </c>
      <c r="B7" s="1">
        <v>3</v>
      </c>
      <c r="C7" s="4">
        <v>450</v>
      </c>
      <c r="D7" s="4">
        <f t="shared" si="0"/>
        <v>1350</v>
      </c>
      <c r="E7" s="4">
        <f>+RRHH!$D7*12</f>
        <v>16200</v>
      </c>
      <c r="F7" s="4">
        <f>+RRHH!$D7*RRHH!$B7</f>
        <v>4050</v>
      </c>
      <c r="G7" s="4">
        <f>+RRHH!$B7*218</f>
        <v>654</v>
      </c>
      <c r="H7" s="4">
        <f>+RRHH!$D7*$B$15*12</f>
        <v>1514.6999999999998</v>
      </c>
      <c r="I7" s="4">
        <f>+RRHH!$D7*$B$16</f>
        <v>164.025</v>
      </c>
      <c r="J7" s="4">
        <v>0</v>
      </c>
      <c r="K7" s="4">
        <f>+SUM(RRHH!$E7:$J7)</f>
        <v>22582.725000000002</v>
      </c>
    </row>
    <row r="8" spans="1:11" ht="15">
      <c r="A8" t="s">
        <v>7</v>
      </c>
      <c r="B8" s="1">
        <v>1</v>
      </c>
      <c r="C8" s="4">
        <v>800</v>
      </c>
      <c r="D8" s="4">
        <f t="shared" si="0"/>
        <v>800</v>
      </c>
      <c r="E8" s="4">
        <f>+RRHH!$D8*12</f>
        <v>9600</v>
      </c>
      <c r="F8" s="4">
        <f>+RRHH!$D8*RRHH!$B8</f>
        <v>800</v>
      </c>
      <c r="G8" s="4">
        <f>+RRHH!$B8*218</f>
        <v>218</v>
      </c>
      <c r="H8" s="4">
        <f>+RRHH!$D8*$B$15*12</f>
        <v>897.5999999999999</v>
      </c>
      <c r="I8" s="4">
        <f>+RRHH!$D8*$B$16</f>
        <v>97.2</v>
      </c>
      <c r="J8" s="4">
        <v>0</v>
      </c>
      <c r="K8" s="4">
        <f>+SUM(RRHH!$E8:$J8)</f>
        <v>11612.800000000001</v>
      </c>
    </row>
    <row r="9" spans="1:11" ht="15">
      <c r="A9" t="s">
        <v>8</v>
      </c>
      <c r="B9" s="1">
        <v>4</v>
      </c>
      <c r="C9" s="4">
        <v>450</v>
      </c>
      <c r="D9" s="4">
        <f t="shared" si="0"/>
        <v>1800</v>
      </c>
      <c r="E9" s="4">
        <f>+RRHH!$D9*12</f>
        <v>21600</v>
      </c>
      <c r="F9" s="4">
        <f>+RRHH!$D9*RRHH!$B9</f>
        <v>7200</v>
      </c>
      <c r="G9" s="4">
        <f>+RRHH!$B9*218</f>
        <v>872</v>
      </c>
      <c r="H9" s="4">
        <f>+RRHH!$D9*$B$15*12</f>
        <v>2019.6000000000001</v>
      </c>
      <c r="I9" s="4">
        <f>+RRHH!$D9*$B$16</f>
        <v>218.7</v>
      </c>
      <c r="J9" s="4">
        <v>0</v>
      </c>
      <c r="K9" s="4">
        <f>+SUM(RRHH!$E9:$J9)</f>
        <v>31910.3</v>
      </c>
    </row>
    <row r="10" spans="1:11" ht="15">
      <c r="A10" t="s">
        <v>9</v>
      </c>
      <c r="B10" s="1">
        <v>1</v>
      </c>
      <c r="C10" s="4">
        <v>800</v>
      </c>
      <c r="D10" s="4">
        <f t="shared" si="0"/>
        <v>800</v>
      </c>
      <c r="E10" s="4">
        <f>+RRHH!$D10*12</f>
        <v>9600</v>
      </c>
      <c r="F10" s="4">
        <f>+RRHH!$D10*RRHH!$B10</f>
        <v>800</v>
      </c>
      <c r="G10" s="4">
        <f>+RRHH!$B10*218</f>
        <v>218</v>
      </c>
      <c r="H10" s="4">
        <f>+RRHH!$D10*$B$15*12</f>
        <v>897.5999999999999</v>
      </c>
      <c r="I10" s="4">
        <f>+RRHH!$D10*$B$16</f>
        <v>97.2</v>
      </c>
      <c r="J10" s="4">
        <v>0</v>
      </c>
      <c r="K10" s="4">
        <f>+SUM(RRHH!$E10:$J10)</f>
        <v>11612.800000000001</v>
      </c>
    </row>
    <row r="11" spans="1:11" ht="15">
      <c r="A11" s="4" t="s">
        <v>17</v>
      </c>
      <c r="B11" s="1">
        <f>+SUM(B2:B10)</f>
        <v>16</v>
      </c>
      <c r="D11" s="4">
        <f aca="true" t="shared" si="1" ref="D11:K11">+SUM(D2:D10)</f>
        <v>10750</v>
      </c>
      <c r="E11" s="4">
        <f t="shared" si="1"/>
        <v>129000</v>
      </c>
      <c r="F11" s="4">
        <f t="shared" si="1"/>
        <v>21850</v>
      </c>
      <c r="G11" s="4">
        <f t="shared" si="1"/>
        <v>3488</v>
      </c>
      <c r="H11" s="4">
        <f t="shared" si="1"/>
        <v>12061.500000000002</v>
      </c>
      <c r="I11" s="4">
        <f t="shared" si="1"/>
        <v>1306.125</v>
      </c>
      <c r="J11" s="4">
        <f t="shared" si="1"/>
        <v>20870.904181272632</v>
      </c>
      <c r="K11" s="4">
        <f t="shared" si="1"/>
        <v>188576.5291812726</v>
      </c>
    </row>
    <row r="12" spans="1:11" ht="15">
      <c r="A12" s="6" t="s">
        <v>280</v>
      </c>
      <c r="B12" s="161" t="e">
        <f>#REF!</f>
        <v>#REF!</v>
      </c>
      <c r="C12" s="6"/>
      <c r="D12" s="6" t="e">
        <f>#REF!</f>
        <v>#REF!</v>
      </c>
      <c r="E12" s="162" t="e">
        <f>#REF!</f>
        <v>#REF!</v>
      </c>
      <c r="F12" s="163" t="e">
        <f>#REF!</f>
        <v>#REF!</v>
      </c>
      <c r="G12" s="6" t="e">
        <f>#REF!</f>
        <v>#REF!</v>
      </c>
      <c r="H12" s="163" t="e">
        <f>#REF!</f>
        <v>#REF!</v>
      </c>
      <c r="I12" s="163" t="e">
        <f>#REF!</f>
        <v>#REF!</v>
      </c>
      <c r="J12" s="6" t="e">
        <f>#REF!</f>
        <v>#REF!</v>
      </c>
      <c r="K12" s="6" t="e">
        <f>#REF!</f>
        <v>#REF!</v>
      </c>
    </row>
    <row r="13" spans="1:2" ht="15">
      <c r="A13" t="s">
        <v>26</v>
      </c>
      <c r="B13" s="4">
        <f>+'Determ de los ingresos'!Y37</f>
        <v>521772.60453181574</v>
      </c>
    </row>
    <row r="14" spans="1:2" ht="15">
      <c r="A14" t="s">
        <v>23</v>
      </c>
      <c r="B14" s="5">
        <v>0.04</v>
      </c>
    </row>
    <row r="15" spans="1:2" ht="15">
      <c r="A15" t="s">
        <v>87</v>
      </c>
      <c r="B15" s="23">
        <v>0.0935</v>
      </c>
    </row>
    <row r="16" spans="1:2" ht="15">
      <c r="A16" t="s">
        <v>88</v>
      </c>
      <c r="B16" s="23">
        <v>0.1215</v>
      </c>
    </row>
    <row r="17" ht="15">
      <c r="B17" s="23"/>
    </row>
    <row r="18" spans="1:5" ht="15">
      <c r="A18" s="221" t="s">
        <v>230</v>
      </c>
      <c r="B18" s="221"/>
      <c r="C18" s="221"/>
      <c r="D18" s="221"/>
      <c r="E18" s="221"/>
    </row>
    <row r="20" spans="1:5" ht="15.75">
      <c r="A20" s="33" t="s">
        <v>12</v>
      </c>
      <c r="B20" s="34" t="s">
        <v>1</v>
      </c>
      <c r="C20" s="35" t="s">
        <v>83</v>
      </c>
      <c r="D20" s="35" t="s">
        <v>97</v>
      </c>
      <c r="E20" s="35" t="s">
        <v>98</v>
      </c>
    </row>
    <row r="21" spans="1:5" ht="15.75">
      <c r="A21" s="25" t="s">
        <v>85</v>
      </c>
      <c r="B21" s="27"/>
      <c r="C21" s="24"/>
      <c r="D21" s="26"/>
      <c r="E21" s="27"/>
    </row>
    <row r="22" spans="1:5" ht="15.75">
      <c r="A22" s="26" t="str">
        <f aca="true" t="shared" si="2" ref="A22:C30">+A2</f>
        <v>Presidente</v>
      </c>
      <c r="B22" s="27">
        <f t="shared" si="2"/>
        <v>1</v>
      </c>
      <c r="C22" s="28">
        <f t="shared" si="2"/>
        <v>2000</v>
      </c>
      <c r="D22" s="29">
        <f>+B22*C22</f>
        <v>2000</v>
      </c>
      <c r="E22" s="30">
        <f>+D22*12</f>
        <v>24000</v>
      </c>
    </row>
    <row r="23" spans="1:5" ht="15.75">
      <c r="A23" s="26" t="str">
        <f t="shared" si="2"/>
        <v>Gerente General</v>
      </c>
      <c r="B23" s="27">
        <f t="shared" si="2"/>
        <v>1</v>
      </c>
      <c r="C23" s="28">
        <f t="shared" si="2"/>
        <v>1500</v>
      </c>
      <c r="D23" s="29">
        <f aca="true" t="shared" si="3" ref="D23:D30">+B23*C23</f>
        <v>1500</v>
      </c>
      <c r="E23" s="30">
        <f aca="true" t="shared" si="4" ref="E23:E30">+D23*12</f>
        <v>18000</v>
      </c>
    </row>
    <row r="24" spans="1:5" ht="15.75">
      <c r="A24" s="26" t="str">
        <f t="shared" si="2"/>
        <v>Asistente de Gerencia</v>
      </c>
      <c r="B24" s="27">
        <f t="shared" si="2"/>
        <v>1</v>
      </c>
      <c r="C24" s="28">
        <f t="shared" si="2"/>
        <v>400</v>
      </c>
      <c r="D24" s="29">
        <f t="shared" si="3"/>
        <v>400</v>
      </c>
      <c r="E24" s="30">
        <f t="shared" si="4"/>
        <v>4800</v>
      </c>
    </row>
    <row r="25" spans="1:5" ht="15.75">
      <c r="A25" s="26" t="str">
        <f t="shared" si="2"/>
        <v>Ventas</v>
      </c>
      <c r="B25" s="27">
        <f t="shared" si="2"/>
        <v>1</v>
      </c>
      <c r="C25" s="28">
        <f t="shared" si="2"/>
        <v>600</v>
      </c>
      <c r="D25" s="29">
        <f t="shared" si="3"/>
        <v>600</v>
      </c>
      <c r="E25" s="30">
        <f t="shared" si="4"/>
        <v>7200</v>
      </c>
    </row>
    <row r="26" spans="1:5" ht="15.75">
      <c r="A26" s="26" t="str">
        <f t="shared" si="2"/>
        <v>vendedores</v>
      </c>
      <c r="B26" s="27">
        <f t="shared" si="2"/>
        <v>3</v>
      </c>
      <c r="C26" s="28">
        <f t="shared" si="2"/>
        <v>500</v>
      </c>
      <c r="D26" s="29">
        <f t="shared" si="3"/>
        <v>1500</v>
      </c>
      <c r="E26" s="30">
        <f t="shared" si="4"/>
        <v>18000</v>
      </c>
    </row>
    <row r="27" spans="1:5" ht="15.75">
      <c r="A27" s="26" t="str">
        <f t="shared" si="2"/>
        <v>Logistica</v>
      </c>
      <c r="B27" s="27">
        <f t="shared" si="2"/>
        <v>3</v>
      </c>
      <c r="C27" s="28">
        <f t="shared" si="2"/>
        <v>450</v>
      </c>
      <c r="D27" s="29">
        <f t="shared" si="3"/>
        <v>1350</v>
      </c>
      <c r="E27" s="30">
        <f t="shared" si="4"/>
        <v>16200</v>
      </c>
    </row>
    <row r="28" spans="1:5" ht="15.75">
      <c r="A28" s="26" t="str">
        <f t="shared" si="2"/>
        <v>contabilidad</v>
      </c>
      <c r="B28" s="27">
        <f t="shared" si="2"/>
        <v>1</v>
      </c>
      <c r="C28" s="28">
        <f t="shared" si="2"/>
        <v>800</v>
      </c>
      <c r="D28" s="29">
        <f t="shared" si="3"/>
        <v>800</v>
      </c>
      <c r="E28" s="30">
        <f t="shared" si="4"/>
        <v>9600</v>
      </c>
    </row>
    <row r="29" spans="1:5" ht="15.75">
      <c r="A29" s="26" t="str">
        <f t="shared" si="2"/>
        <v>Produccion</v>
      </c>
      <c r="B29" s="27">
        <f t="shared" si="2"/>
        <v>4</v>
      </c>
      <c r="C29" s="28">
        <f t="shared" si="2"/>
        <v>450</v>
      </c>
      <c r="D29" s="29">
        <f t="shared" si="3"/>
        <v>1800</v>
      </c>
      <c r="E29" s="30">
        <f t="shared" si="4"/>
        <v>21600</v>
      </c>
    </row>
    <row r="30" spans="1:5" ht="15.75">
      <c r="A30" s="26" t="str">
        <f t="shared" si="2"/>
        <v>Recursos Humanos</v>
      </c>
      <c r="B30" s="27">
        <f t="shared" si="2"/>
        <v>1</v>
      </c>
      <c r="C30" s="28">
        <f t="shared" si="2"/>
        <v>800</v>
      </c>
      <c r="D30" s="29">
        <f t="shared" si="3"/>
        <v>800</v>
      </c>
      <c r="E30" s="30">
        <f t="shared" si="4"/>
        <v>9600</v>
      </c>
    </row>
    <row r="31" spans="1:5" ht="15.75">
      <c r="A31" s="26" t="s">
        <v>86</v>
      </c>
      <c r="B31" s="27"/>
      <c r="C31" s="24"/>
      <c r="D31" s="29">
        <f>+SUM(D22:D30)</f>
        <v>10750</v>
      </c>
      <c r="E31" s="30">
        <f>+SUM(E22:E30)</f>
        <v>129000</v>
      </c>
    </row>
    <row r="32" spans="1:5" ht="15.75">
      <c r="A32" s="26"/>
      <c r="B32" s="27"/>
      <c r="C32" s="24"/>
      <c r="D32" s="26"/>
      <c r="E32" s="30"/>
    </row>
    <row r="33" spans="1:5" ht="15.75">
      <c r="A33" s="25" t="s">
        <v>92</v>
      </c>
      <c r="B33" s="27"/>
      <c r="C33" s="24"/>
      <c r="D33" s="26"/>
      <c r="E33" s="27"/>
    </row>
    <row r="34" spans="1:5" ht="15.75">
      <c r="A34" s="26" t="s">
        <v>93</v>
      </c>
      <c r="B34" s="27"/>
      <c r="C34" s="24"/>
      <c r="D34" s="29">
        <f>+E34/16</f>
        <v>1365.625</v>
      </c>
      <c r="E34" s="31">
        <f>+F11</f>
        <v>21850</v>
      </c>
    </row>
    <row r="35" spans="1:5" ht="15.75">
      <c r="A35" s="26" t="s">
        <v>94</v>
      </c>
      <c r="B35" s="27"/>
      <c r="C35" s="24"/>
      <c r="D35" s="29">
        <f>+E35/16</f>
        <v>218</v>
      </c>
      <c r="E35" s="31">
        <f>+G11</f>
        <v>3488</v>
      </c>
    </row>
    <row r="36" spans="1:5" ht="15.75">
      <c r="A36" s="26" t="s">
        <v>96</v>
      </c>
      <c r="B36" s="27"/>
      <c r="C36" s="18"/>
      <c r="D36" s="29"/>
      <c r="E36" s="30">
        <f>+SUM(E34:E35)</f>
        <v>25338</v>
      </c>
    </row>
    <row r="37" spans="1:5" ht="15.75">
      <c r="A37" s="26"/>
      <c r="B37" s="27"/>
      <c r="C37" s="18"/>
      <c r="D37" s="26"/>
      <c r="E37" s="27"/>
    </row>
    <row r="38" spans="1:5" ht="15.75">
      <c r="A38" s="222" t="s">
        <v>95</v>
      </c>
      <c r="B38" s="223"/>
      <c r="C38" s="223"/>
      <c r="D38" s="32">
        <f>+D31+D36</f>
        <v>10750</v>
      </c>
      <c r="E38" s="32">
        <f>+E31+E36</f>
        <v>154338</v>
      </c>
    </row>
    <row r="40" spans="1:2" ht="15">
      <c r="A40" t="s">
        <v>248</v>
      </c>
      <c r="B40" s="12">
        <v>0.0913</v>
      </c>
    </row>
    <row r="42" spans="1:6" ht="15">
      <c r="A42" s="104" t="s">
        <v>247</v>
      </c>
      <c r="B42" s="104" t="s">
        <v>102</v>
      </c>
      <c r="C42" s="104" t="s">
        <v>111</v>
      </c>
      <c r="D42" s="104" t="s">
        <v>112</v>
      </c>
      <c r="E42" s="104" t="s">
        <v>113</v>
      </c>
      <c r="F42" s="151" t="s">
        <v>114</v>
      </c>
    </row>
    <row r="43" spans="1:6" ht="15.75">
      <c r="A43" s="105" t="str">
        <f aca="true" t="shared" si="5" ref="A43:A51">+A2</f>
        <v>Presidente</v>
      </c>
      <c r="B43" s="106">
        <f aca="true" t="shared" si="6" ref="B43:B51">+K2</f>
        <v>28705</v>
      </c>
      <c r="C43" s="107">
        <f aca="true" t="shared" si="7" ref="C43:F51">+B43*(1+$B$40)</f>
        <v>31325.766499999998</v>
      </c>
      <c r="D43" s="107">
        <f t="shared" si="7"/>
        <v>34185.80898145</v>
      </c>
      <c r="E43" s="107">
        <f t="shared" si="7"/>
        <v>37306.97334145638</v>
      </c>
      <c r="F43" s="107">
        <f t="shared" si="7"/>
        <v>40713.10000753135</v>
      </c>
    </row>
    <row r="44" spans="1:6" ht="15.75">
      <c r="A44" s="105" t="str">
        <f t="shared" si="5"/>
        <v>Gerente General</v>
      </c>
      <c r="B44" s="106">
        <f t="shared" si="6"/>
        <v>21583.25</v>
      </c>
      <c r="C44" s="107">
        <f t="shared" si="7"/>
        <v>23553.800724999997</v>
      </c>
      <c r="D44" s="107">
        <f t="shared" si="7"/>
        <v>25704.262731192495</v>
      </c>
      <c r="E44" s="107">
        <f t="shared" si="7"/>
        <v>28051.061918550367</v>
      </c>
      <c r="F44" s="107">
        <f t="shared" si="7"/>
        <v>30612.123871714015</v>
      </c>
    </row>
    <row r="45" spans="1:6" ht="15.75">
      <c r="A45" s="105" t="str">
        <f t="shared" si="5"/>
        <v>Asistente de Gerencia</v>
      </c>
      <c r="B45" s="106">
        <f t="shared" si="6"/>
        <v>5915.400000000001</v>
      </c>
      <c r="C45" s="107">
        <f t="shared" si="7"/>
        <v>6455.47602</v>
      </c>
      <c r="D45" s="107">
        <f t="shared" si="7"/>
        <v>7044.860980625999</v>
      </c>
      <c r="E45" s="107">
        <f t="shared" si="7"/>
        <v>7688.056788157152</v>
      </c>
      <c r="F45" s="107">
        <f t="shared" si="7"/>
        <v>8389.9763729159</v>
      </c>
    </row>
    <row r="46" spans="1:6" ht="15.75">
      <c r="A46" s="105" t="str">
        <f t="shared" si="5"/>
        <v>Ventas</v>
      </c>
      <c r="B46" s="106">
        <f t="shared" si="6"/>
        <v>8764.1</v>
      </c>
      <c r="C46" s="107">
        <f t="shared" si="7"/>
        <v>9564.26233</v>
      </c>
      <c r="D46" s="107">
        <f t="shared" si="7"/>
        <v>10437.479480728998</v>
      </c>
      <c r="E46" s="107">
        <f t="shared" si="7"/>
        <v>11390.421357319556</v>
      </c>
      <c r="F46" s="107">
        <f t="shared" si="7"/>
        <v>12430.366827242831</v>
      </c>
    </row>
    <row r="47" spans="1:6" ht="15.75">
      <c r="A47" s="105" t="str">
        <f t="shared" si="5"/>
        <v>vendedores</v>
      </c>
      <c r="B47" s="106">
        <f t="shared" si="6"/>
        <v>45890.154181272635</v>
      </c>
      <c r="C47" s="107">
        <f t="shared" si="7"/>
        <v>50079.92525802283</v>
      </c>
      <c r="D47" s="107">
        <f t="shared" si="7"/>
        <v>54652.22243408031</v>
      </c>
      <c r="E47" s="107">
        <f t="shared" si="7"/>
        <v>59641.97034231183</v>
      </c>
      <c r="F47" s="107">
        <f t="shared" si="7"/>
        <v>65087.282234564904</v>
      </c>
    </row>
    <row r="48" spans="1:6" ht="15.75">
      <c r="A48" s="105" t="str">
        <f t="shared" si="5"/>
        <v>Logistica</v>
      </c>
      <c r="B48" s="106">
        <f t="shared" si="6"/>
        <v>22582.725000000002</v>
      </c>
      <c r="C48" s="107">
        <f t="shared" si="7"/>
        <v>24644.5277925</v>
      </c>
      <c r="D48" s="107">
        <f t="shared" si="7"/>
        <v>26894.57317995525</v>
      </c>
      <c r="E48" s="107">
        <f t="shared" si="7"/>
        <v>29350.047711285162</v>
      </c>
      <c r="F48" s="107">
        <f t="shared" si="7"/>
        <v>32029.707067325497</v>
      </c>
    </row>
    <row r="49" spans="1:6" ht="15.75">
      <c r="A49" s="105" t="str">
        <f t="shared" si="5"/>
        <v>contabilidad</v>
      </c>
      <c r="B49" s="106">
        <f t="shared" si="6"/>
        <v>11612.800000000001</v>
      </c>
      <c r="C49" s="107">
        <f t="shared" si="7"/>
        <v>12673.04864</v>
      </c>
      <c r="D49" s="107">
        <f t="shared" si="7"/>
        <v>13830.097980832</v>
      </c>
      <c r="E49" s="107">
        <f t="shared" si="7"/>
        <v>15092.785926481962</v>
      </c>
      <c r="F49" s="107">
        <f t="shared" si="7"/>
        <v>16470.757281569764</v>
      </c>
    </row>
    <row r="50" spans="1:6" ht="15.75">
      <c r="A50" s="105" t="str">
        <f t="shared" si="5"/>
        <v>Produccion</v>
      </c>
      <c r="B50" s="106">
        <f t="shared" si="6"/>
        <v>31910.3</v>
      </c>
      <c r="C50" s="107">
        <f>(B50+12*$C$9)*(1+$B$40)</f>
        <v>40716.730390000004</v>
      </c>
      <c r="D50" s="107">
        <f>(C50+12*$C$9)*(1+$B$40)</f>
        <v>50327.187874607</v>
      </c>
      <c r="E50" s="107">
        <f>(D50+12*$C$9)*(1+$B$40)</f>
        <v>60815.08012755861</v>
      </c>
      <c r="F50" s="107">
        <f>(E50+12*$C$9)*(1+$B$40)</f>
        <v>72260.51694320471</v>
      </c>
    </row>
    <row r="51" spans="1:6" ht="15.75">
      <c r="A51" s="105" t="str">
        <f t="shared" si="5"/>
        <v>Recursos Humanos</v>
      </c>
      <c r="B51" s="106">
        <f t="shared" si="6"/>
        <v>11612.800000000001</v>
      </c>
      <c r="C51" s="107">
        <f t="shared" si="7"/>
        <v>12673.04864</v>
      </c>
      <c r="D51" s="107">
        <f t="shared" si="7"/>
        <v>13830.097980832</v>
      </c>
      <c r="E51" s="107">
        <f t="shared" si="7"/>
        <v>15092.785926481962</v>
      </c>
      <c r="F51" s="107">
        <f t="shared" si="7"/>
        <v>16470.757281569764</v>
      </c>
    </row>
  </sheetData>
  <sheetProtection/>
  <mergeCells count="2">
    <mergeCell ref="A18:E18"/>
    <mergeCell ref="A38:C38"/>
  </mergeCells>
  <printOptions/>
  <pageMargins left="0.7" right="0.7" top="0.75" bottom="0.75" header="0.3" footer="0.3"/>
  <pageSetup orientation="portrait" paperSize="9"/>
  <ignoredErrors>
    <ignoredError sqref="B11:K11 B2:G2 I2:K2 B3:G10 I3:K10"/>
  </ignoredErrors>
</worksheet>
</file>

<file path=xl/worksheets/sheet5.xml><?xml version="1.0" encoding="utf-8"?>
<worksheet xmlns="http://schemas.openxmlformats.org/spreadsheetml/2006/main" xmlns:r="http://schemas.openxmlformats.org/officeDocument/2006/relationships">
  <dimension ref="A1:AB64"/>
  <sheetViews>
    <sheetView showGridLines="0" zoomScalePageLayoutView="0" workbookViewId="0" topLeftCell="L19">
      <selection activeCell="Y37" sqref="Y37"/>
    </sheetView>
  </sheetViews>
  <sheetFormatPr defaultColWidth="11.421875" defaultRowHeight="15"/>
  <cols>
    <col min="1" max="1" width="29.140625" style="0" customWidth="1"/>
    <col min="2" max="2" width="8.00390625" style="0" customWidth="1"/>
    <col min="3" max="3" width="7.140625" style="0" bestFit="1" customWidth="1"/>
    <col min="4" max="7" width="8.421875" style="0" bestFit="1" customWidth="1"/>
    <col min="8" max="8" width="7.00390625" style="0" bestFit="1" customWidth="1"/>
    <col min="9" max="13" width="6.00390625" style="0" bestFit="1" customWidth="1"/>
    <col min="14" max="14" width="7.00390625" style="0" bestFit="1" customWidth="1"/>
    <col min="15" max="15" width="11.57421875" style="0" customWidth="1"/>
    <col min="16" max="16" width="11.7109375" style="0" customWidth="1"/>
    <col min="17" max="17" width="9.421875" style="0" bestFit="1" customWidth="1"/>
    <col min="25" max="25" width="14.57421875" style="0" bestFit="1" customWidth="1"/>
    <col min="26" max="27" width="13.00390625" style="0" bestFit="1" customWidth="1"/>
  </cols>
  <sheetData>
    <row r="1" spans="1:17" ht="15" customHeight="1">
      <c r="A1" s="226" t="s">
        <v>173</v>
      </c>
      <c r="B1" s="226"/>
      <c r="C1" s="226"/>
      <c r="D1" s="226"/>
      <c r="E1" s="226"/>
      <c r="F1" s="226"/>
      <c r="G1" s="226"/>
      <c r="H1" s="226"/>
      <c r="I1" s="226"/>
      <c r="J1" s="226"/>
      <c r="K1" s="226"/>
      <c r="L1" s="226"/>
      <c r="M1" s="226"/>
      <c r="N1" s="226"/>
      <c r="O1" s="226"/>
      <c r="P1" s="226"/>
      <c r="Q1" s="226"/>
    </row>
    <row r="2" spans="1:17" ht="15">
      <c r="A2" s="226"/>
      <c r="B2" s="226"/>
      <c r="C2" s="226"/>
      <c r="D2" s="226"/>
      <c r="E2" s="226"/>
      <c r="F2" s="226"/>
      <c r="G2" s="226"/>
      <c r="H2" s="226"/>
      <c r="I2" s="226"/>
      <c r="J2" s="226"/>
      <c r="K2" s="226"/>
      <c r="L2" s="226"/>
      <c r="M2" s="226"/>
      <c r="N2" s="226"/>
      <c r="O2" s="226"/>
      <c r="P2" s="226"/>
      <c r="Q2" s="226"/>
    </row>
    <row r="3" spans="1:17" ht="33" customHeight="1">
      <c r="A3" s="226"/>
      <c r="B3" s="226"/>
      <c r="C3" s="226"/>
      <c r="D3" s="226"/>
      <c r="E3" s="226"/>
      <c r="F3" s="226"/>
      <c r="G3" s="226"/>
      <c r="H3" s="226"/>
      <c r="I3" s="226"/>
      <c r="J3" s="226"/>
      <c r="K3" s="226"/>
      <c r="L3" s="226"/>
      <c r="M3" s="226"/>
      <c r="N3" s="226"/>
      <c r="O3" s="226"/>
      <c r="P3" s="226"/>
      <c r="Q3" s="226"/>
    </row>
    <row r="4" ht="15">
      <c r="A4" s="23"/>
    </row>
    <row r="5" spans="1:17" ht="15">
      <c r="A5" s="227" t="s">
        <v>140</v>
      </c>
      <c r="B5" s="228"/>
      <c r="C5" s="228"/>
      <c r="D5" s="228"/>
      <c r="E5" s="228"/>
      <c r="F5" s="228"/>
      <c r="G5" s="228"/>
      <c r="H5" s="228"/>
      <c r="I5" s="228"/>
      <c r="J5" s="228"/>
      <c r="K5" s="228"/>
      <c r="L5" s="228"/>
      <c r="M5" s="228"/>
      <c r="N5" s="228"/>
      <c r="O5" s="228"/>
      <c r="P5" s="228"/>
      <c r="Q5" s="228"/>
    </row>
    <row r="6" spans="1:17" ht="24.75" customHeight="1">
      <c r="A6" s="228"/>
      <c r="B6" s="228"/>
      <c r="C6" s="228"/>
      <c r="D6" s="228"/>
      <c r="E6" s="228"/>
      <c r="F6" s="228"/>
      <c r="G6" s="228"/>
      <c r="H6" s="228"/>
      <c r="I6" s="228"/>
      <c r="J6" s="228"/>
      <c r="K6" s="228"/>
      <c r="L6" s="228"/>
      <c r="M6" s="228"/>
      <c r="N6" s="228"/>
      <c r="O6" s="228"/>
      <c r="P6" s="228"/>
      <c r="Q6" s="228"/>
    </row>
    <row r="7" ht="15">
      <c r="A7" s="23"/>
    </row>
    <row r="8" spans="1:16" ht="45">
      <c r="A8" s="23" t="s">
        <v>122</v>
      </c>
      <c r="B8" s="88">
        <v>20000</v>
      </c>
      <c r="E8" s="225"/>
      <c r="F8" s="225"/>
      <c r="O8" s="184" t="s">
        <v>128</v>
      </c>
      <c r="P8" s="184" t="s">
        <v>172</v>
      </c>
    </row>
    <row r="9" spans="1:17" ht="15">
      <c r="A9" s="23"/>
      <c r="O9" s="89">
        <f>+C12</f>
        <v>240000</v>
      </c>
      <c r="P9" s="89">
        <f>+N18</f>
        <v>74538.94350454511</v>
      </c>
      <c r="Q9" s="23">
        <f>+(P9/O9)</f>
        <v>0.310578931268938</v>
      </c>
    </row>
    <row r="10" spans="1:17" ht="15">
      <c r="A10" s="59" t="s">
        <v>124</v>
      </c>
      <c r="B10" s="49"/>
      <c r="C10" s="9" t="s">
        <v>116</v>
      </c>
      <c r="D10" s="9" t="s">
        <v>117</v>
      </c>
      <c r="E10" s="9" t="s">
        <v>118</v>
      </c>
      <c r="F10" s="9" t="s">
        <v>119</v>
      </c>
      <c r="G10" s="9" t="s">
        <v>120</v>
      </c>
      <c r="O10" s="89">
        <f>+D12</f>
        <v>245016</v>
      </c>
      <c r="P10" s="89">
        <f>+N28</f>
        <v>102119.49784749236</v>
      </c>
      <c r="Q10" s="23">
        <f>+(P10/O10)</f>
        <v>0.41678705818188344</v>
      </c>
    </row>
    <row r="11" spans="1:17" ht="15">
      <c r="A11" s="59" t="s">
        <v>121</v>
      </c>
      <c r="B11" s="49"/>
      <c r="C11" s="9">
        <f>+B8</f>
        <v>20000</v>
      </c>
      <c r="D11" s="9">
        <f>+C11*(1+2.09%)</f>
        <v>20418</v>
      </c>
      <c r="E11" s="9">
        <f>+D11*(1+2.09%)</f>
        <v>20844.7362</v>
      </c>
      <c r="F11" s="9">
        <f>+E11*(1+2.09%)</f>
        <v>21280.391186579996</v>
      </c>
      <c r="G11" s="9">
        <f>+F11*(1+2.09%)</f>
        <v>21725.151362379518</v>
      </c>
      <c r="O11" s="89">
        <f>+E12</f>
        <v>250136.8344</v>
      </c>
      <c r="P11" s="89">
        <f>+N38</f>
        <v>129795.05009421529</v>
      </c>
      <c r="Q11" s="23">
        <f>+(P11/O11)</f>
        <v>0.5188961889821345</v>
      </c>
    </row>
    <row r="12" spans="1:17" ht="15">
      <c r="A12" s="49" t="s">
        <v>123</v>
      </c>
      <c r="B12" s="49"/>
      <c r="C12" s="9">
        <f>+C11*12</f>
        <v>240000</v>
      </c>
      <c r="D12" s="9">
        <f>+D11*12</f>
        <v>245016</v>
      </c>
      <c r="E12" s="9">
        <f>+E11*12</f>
        <v>250136.8344</v>
      </c>
      <c r="F12" s="9">
        <f>+F11*12</f>
        <v>255364.69423895996</v>
      </c>
      <c r="G12" s="9">
        <f>+G11*12</f>
        <v>260701.81634855422</v>
      </c>
      <c r="O12" s="89">
        <f>+F12</f>
        <v>255364.69423895996</v>
      </c>
      <c r="P12" s="89">
        <f>+N48</f>
        <v>174019.0517258011</v>
      </c>
      <c r="Q12" s="23">
        <f>+(P12/O12)</f>
        <v>0.6814530577314698</v>
      </c>
    </row>
    <row r="13" spans="1:17" ht="15">
      <c r="A13" s="49" t="s">
        <v>224</v>
      </c>
      <c r="B13" s="49"/>
      <c r="C13" s="60">
        <f>+M18/C11</f>
        <v>0.3632605973367163</v>
      </c>
      <c r="D13" s="60">
        <f>M28/D11</f>
        <v>0.4646739314349926</v>
      </c>
      <c r="E13" s="60">
        <f>M38/E11</f>
        <v>0.5772542861098524</v>
      </c>
      <c r="F13" s="60">
        <f>M48/F11</f>
        <v>0.7905995321301539</v>
      </c>
      <c r="G13" s="60">
        <f>M58/G11</f>
        <v>0.98214454834857</v>
      </c>
      <c r="O13" s="89">
        <f>+G12</f>
        <v>260701.81634855422</v>
      </c>
      <c r="P13" s="89">
        <f>+N58</f>
        <v>230161.55450453953</v>
      </c>
      <c r="Q13" s="23">
        <f>+(P13/O13)</f>
        <v>0.8828536667992262</v>
      </c>
    </row>
    <row r="14" spans="1:15" ht="15">
      <c r="A14" s="59" t="s">
        <v>115</v>
      </c>
      <c r="B14" s="49"/>
      <c r="C14" s="60">
        <f>+N18/C12</f>
        <v>0.310578931268938</v>
      </c>
      <c r="D14" s="60">
        <f>N28/D12</f>
        <v>0.41678705818188344</v>
      </c>
      <c r="E14" s="60">
        <f>N38/E12</f>
        <v>0.5188961889821345</v>
      </c>
      <c r="F14" s="60">
        <f>N48/F12</f>
        <v>0.6814530577314698</v>
      </c>
      <c r="G14" s="60">
        <f>N58/G12</f>
        <v>0.8828536667992262</v>
      </c>
      <c r="H14" s="4"/>
      <c r="I14" s="4"/>
      <c r="J14" s="4"/>
      <c r="K14" s="4"/>
      <c r="L14" s="4"/>
      <c r="M14" s="4"/>
      <c r="O14" s="3"/>
    </row>
    <row r="15" spans="1:15" ht="15">
      <c r="A15" s="23"/>
      <c r="B15" s="198"/>
      <c r="C15" s="198"/>
      <c r="D15" s="198"/>
      <c r="E15" s="198"/>
      <c r="F15" s="198"/>
      <c r="G15" s="198"/>
      <c r="H15" s="198"/>
      <c r="I15" s="198"/>
      <c r="J15" s="198"/>
      <c r="K15" s="198"/>
      <c r="L15" s="198"/>
      <c r="M15" s="198"/>
      <c r="O15" s="3"/>
    </row>
    <row r="16" spans="1:13" ht="15">
      <c r="A16" s="229" t="s">
        <v>102</v>
      </c>
      <c r="B16" s="229"/>
      <c r="C16" s="229"/>
      <c r="D16" s="229"/>
      <c r="E16" s="229"/>
      <c r="F16" s="229"/>
      <c r="G16" s="229"/>
      <c r="H16" s="229"/>
      <c r="I16" s="229"/>
      <c r="J16" s="229"/>
      <c r="K16" s="229"/>
      <c r="L16" s="229"/>
      <c r="M16" s="229"/>
    </row>
    <row r="17" spans="1:13" ht="15">
      <c r="A17" s="166"/>
      <c r="B17" s="166">
        <v>1</v>
      </c>
      <c r="C17" s="166">
        <v>2</v>
      </c>
      <c r="D17" s="166">
        <v>3</v>
      </c>
      <c r="E17" s="166">
        <v>4</v>
      </c>
      <c r="F17" s="166">
        <v>5</v>
      </c>
      <c r="G17" s="166">
        <v>6</v>
      </c>
      <c r="H17" s="166">
        <v>7</v>
      </c>
      <c r="I17" s="166">
        <v>8</v>
      </c>
      <c r="J17" s="166">
        <v>9</v>
      </c>
      <c r="K17" s="166">
        <v>10</v>
      </c>
      <c r="L17" s="166">
        <v>11</v>
      </c>
      <c r="M17" s="166">
        <v>12</v>
      </c>
    </row>
    <row r="18" spans="1:15" ht="15">
      <c r="A18" s="41" t="s">
        <v>103</v>
      </c>
      <c r="B18" s="7">
        <f aca="true" t="shared" si="0" ref="B18:M18">+SUM(B19:B22)</f>
        <v>5300</v>
      </c>
      <c r="C18" s="37">
        <f t="shared" si="0"/>
        <v>5406</v>
      </c>
      <c r="D18" s="37">
        <f t="shared" si="0"/>
        <v>5568.179999999999</v>
      </c>
      <c r="E18" s="37">
        <f t="shared" si="0"/>
        <v>5735.2254</v>
      </c>
      <c r="F18" s="37">
        <f t="shared" si="0"/>
        <v>5907.282162000001</v>
      </c>
      <c r="G18" s="37">
        <f t="shared" si="0"/>
        <v>6084.500626860001</v>
      </c>
      <c r="H18" s="37">
        <f t="shared" si="0"/>
        <v>6267.035645665801</v>
      </c>
      <c r="I18" s="37">
        <f t="shared" si="0"/>
        <v>6455.0467150357745</v>
      </c>
      <c r="J18" s="37">
        <f t="shared" si="0"/>
        <v>6648.698116486848</v>
      </c>
      <c r="K18" s="37">
        <f t="shared" si="0"/>
        <v>6848.1590599814535</v>
      </c>
      <c r="L18" s="37">
        <f t="shared" si="0"/>
        <v>7053.603831780898</v>
      </c>
      <c r="M18" s="37">
        <f t="shared" si="0"/>
        <v>7265.2119467343255</v>
      </c>
      <c r="N18" s="38">
        <f>+SUM(B18:M18)</f>
        <v>74538.94350454511</v>
      </c>
      <c r="O18" s="39"/>
    </row>
    <row r="19" spans="1:13" ht="15">
      <c r="A19" s="7" t="s">
        <v>104</v>
      </c>
      <c r="B19" s="7">
        <v>2500</v>
      </c>
      <c r="C19" s="37">
        <f>+B19*(1+2%)</f>
        <v>2550</v>
      </c>
      <c r="D19" s="37">
        <f>+C19*(1+3%)</f>
        <v>2626.5</v>
      </c>
      <c r="E19" s="37">
        <f aca="true" t="shared" si="1" ref="E19:M19">+D19*(1+3%)</f>
        <v>2705.295</v>
      </c>
      <c r="F19" s="37">
        <f t="shared" si="1"/>
        <v>2786.4538500000003</v>
      </c>
      <c r="G19" s="37">
        <f t="shared" si="1"/>
        <v>2870.0474655000003</v>
      </c>
      <c r="H19" s="37">
        <f t="shared" si="1"/>
        <v>2956.148889465</v>
      </c>
      <c r="I19" s="37">
        <f t="shared" si="1"/>
        <v>3044.8333561489503</v>
      </c>
      <c r="J19" s="37">
        <f t="shared" si="1"/>
        <v>3136.178356833419</v>
      </c>
      <c r="K19" s="37">
        <f t="shared" si="1"/>
        <v>3230.263707538422</v>
      </c>
      <c r="L19" s="37">
        <f t="shared" si="1"/>
        <v>3327.1716187645748</v>
      </c>
      <c r="M19" s="37">
        <f t="shared" si="1"/>
        <v>3426.986767327512</v>
      </c>
    </row>
    <row r="20" spans="1:14" ht="15">
      <c r="A20" s="7" t="s">
        <v>105</v>
      </c>
      <c r="B20" s="7">
        <v>1500</v>
      </c>
      <c r="C20" s="37">
        <f>+B20*(1+2%)</f>
        <v>1530</v>
      </c>
      <c r="D20" s="37">
        <f aca="true" t="shared" si="2" ref="D20:M22">+C20*(1+3%)</f>
        <v>1575.9</v>
      </c>
      <c r="E20" s="37">
        <f t="shared" si="2"/>
        <v>1623.1770000000001</v>
      </c>
      <c r="F20" s="37">
        <f t="shared" si="2"/>
        <v>1671.8723100000002</v>
      </c>
      <c r="G20" s="37">
        <f t="shared" si="2"/>
        <v>1722.0284793000003</v>
      </c>
      <c r="H20" s="37">
        <f t="shared" si="2"/>
        <v>1773.6893336790004</v>
      </c>
      <c r="I20" s="37">
        <f t="shared" si="2"/>
        <v>1826.9000136893703</v>
      </c>
      <c r="J20" s="37">
        <f t="shared" si="2"/>
        <v>1881.7070141000515</v>
      </c>
      <c r="K20" s="37">
        <f t="shared" si="2"/>
        <v>1938.1582245230531</v>
      </c>
      <c r="L20" s="37">
        <f t="shared" si="2"/>
        <v>1996.3029712587447</v>
      </c>
      <c r="M20" s="37">
        <f t="shared" si="2"/>
        <v>2056.1920603965073</v>
      </c>
      <c r="N20" s="38"/>
    </row>
    <row r="21" spans="1:14" ht="15">
      <c r="A21" s="7" t="s">
        <v>106</v>
      </c>
      <c r="B21" s="7">
        <v>700</v>
      </c>
      <c r="C21" s="37">
        <f>+B21*(1+2%)</f>
        <v>714</v>
      </c>
      <c r="D21" s="37">
        <f t="shared" si="2"/>
        <v>735.4200000000001</v>
      </c>
      <c r="E21" s="37">
        <f t="shared" si="2"/>
        <v>757.4826</v>
      </c>
      <c r="F21" s="37">
        <f t="shared" si="2"/>
        <v>780.207078</v>
      </c>
      <c r="G21" s="37">
        <f t="shared" si="2"/>
        <v>803.61329034</v>
      </c>
      <c r="H21" s="37">
        <f t="shared" si="2"/>
        <v>827.7216890502001</v>
      </c>
      <c r="I21" s="37">
        <f t="shared" si="2"/>
        <v>852.5533397217062</v>
      </c>
      <c r="J21" s="37">
        <f t="shared" si="2"/>
        <v>878.1299399133574</v>
      </c>
      <c r="K21" s="37">
        <f t="shared" si="2"/>
        <v>904.4738381107582</v>
      </c>
      <c r="L21" s="37">
        <f t="shared" si="2"/>
        <v>931.6080532540809</v>
      </c>
      <c r="M21" s="37">
        <f t="shared" si="2"/>
        <v>959.5562948517033</v>
      </c>
      <c r="N21" s="38"/>
    </row>
    <row r="22" spans="1:14" ht="15">
      <c r="A22" s="7" t="s">
        <v>107</v>
      </c>
      <c r="B22" s="7">
        <v>600</v>
      </c>
      <c r="C22" s="37">
        <f>+B22*(1+2%)</f>
        <v>612</v>
      </c>
      <c r="D22" s="37">
        <f t="shared" si="2"/>
        <v>630.36</v>
      </c>
      <c r="E22" s="37">
        <f t="shared" si="2"/>
        <v>649.2708</v>
      </c>
      <c r="F22" s="37">
        <f t="shared" si="2"/>
        <v>668.748924</v>
      </c>
      <c r="G22" s="37">
        <f t="shared" si="2"/>
        <v>688.81139172</v>
      </c>
      <c r="H22" s="37">
        <f t="shared" si="2"/>
        <v>709.4757334715999</v>
      </c>
      <c r="I22" s="37">
        <f t="shared" si="2"/>
        <v>730.7600054757479</v>
      </c>
      <c r="J22" s="37">
        <f t="shared" si="2"/>
        <v>752.6828056400203</v>
      </c>
      <c r="K22" s="37">
        <f t="shared" si="2"/>
        <v>775.263289809221</v>
      </c>
      <c r="L22" s="37">
        <f t="shared" si="2"/>
        <v>798.5211885034976</v>
      </c>
      <c r="M22" s="37">
        <f t="shared" si="2"/>
        <v>822.4768241586025</v>
      </c>
      <c r="N22" s="38"/>
    </row>
    <row r="23" spans="1:14" ht="15">
      <c r="A23" s="7" t="s">
        <v>108</v>
      </c>
      <c r="B23" s="36" t="s">
        <v>110</v>
      </c>
      <c r="C23" s="37">
        <f>C19+C21-B19-B21</f>
        <v>64</v>
      </c>
      <c r="D23" s="37">
        <f aca="true" t="shared" si="3" ref="D23:M23">D19+D21-C19-C21</f>
        <v>97.92000000000007</v>
      </c>
      <c r="E23" s="37">
        <f t="shared" si="3"/>
        <v>100.85760000000028</v>
      </c>
      <c r="F23" s="37">
        <f t="shared" si="3"/>
        <v>103.88332800000012</v>
      </c>
      <c r="G23" s="37">
        <f t="shared" si="3"/>
        <v>106.99982783999974</v>
      </c>
      <c r="H23" s="37">
        <f t="shared" si="3"/>
        <v>110.2098226751998</v>
      </c>
      <c r="I23" s="37">
        <f t="shared" si="3"/>
        <v>113.51611735545646</v>
      </c>
      <c r="J23" s="37">
        <f t="shared" si="3"/>
        <v>116.92160087611978</v>
      </c>
      <c r="K23" s="37">
        <f t="shared" si="3"/>
        <v>120.42924890240363</v>
      </c>
      <c r="L23" s="37">
        <f t="shared" si="3"/>
        <v>124.04212636947614</v>
      </c>
      <c r="M23" s="37">
        <f t="shared" si="3"/>
        <v>127.76339016056</v>
      </c>
      <c r="N23" s="38"/>
    </row>
    <row r="24" spans="1:14" ht="15">
      <c r="A24" s="7" t="s">
        <v>109</v>
      </c>
      <c r="B24" s="36" t="s">
        <v>110</v>
      </c>
      <c r="C24" s="37">
        <f>+C20+C22-B20-B22</f>
        <v>42</v>
      </c>
      <c r="D24" s="37">
        <f aca="true" t="shared" si="4" ref="D24:M24">+D20+D22-C20-C22</f>
        <v>64.26000000000022</v>
      </c>
      <c r="E24" s="37">
        <f t="shared" si="4"/>
        <v>66.18779999999981</v>
      </c>
      <c r="F24" s="37">
        <f t="shared" si="4"/>
        <v>68.17343400000004</v>
      </c>
      <c r="G24" s="37">
        <f t="shared" si="4"/>
        <v>70.21863702000019</v>
      </c>
      <c r="H24" s="37">
        <f t="shared" si="4"/>
        <v>72.32519613060015</v>
      </c>
      <c r="I24" s="37">
        <f t="shared" si="4"/>
        <v>74.49495201451793</v>
      </c>
      <c r="J24" s="37">
        <f t="shared" si="4"/>
        <v>76.72980057495352</v>
      </c>
      <c r="K24" s="37">
        <f t="shared" si="4"/>
        <v>79.03169459220214</v>
      </c>
      <c r="L24" s="37">
        <f t="shared" si="4"/>
        <v>81.40264542996817</v>
      </c>
      <c r="M24" s="37">
        <f t="shared" si="4"/>
        <v>83.84472479286751</v>
      </c>
      <c r="N24" s="38"/>
    </row>
    <row r="25" spans="2:14" ht="15">
      <c r="B25" s="198"/>
      <c r="C25" s="198"/>
      <c r="D25" s="198"/>
      <c r="E25" s="198"/>
      <c r="F25" s="198"/>
      <c r="G25" s="198"/>
      <c r="H25" s="198"/>
      <c r="I25" s="198"/>
      <c r="J25" s="198"/>
      <c r="K25" s="198"/>
      <c r="L25" s="198"/>
      <c r="M25" s="198"/>
      <c r="N25" s="38"/>
    </row>
    <row r="26" spans="1:14" ht="15">
      <c r="A26" s="230" t="s">
        <v>111</v>
      </c>
      <c r="B26" s="231"/>
      <c r="C26" s="231"/>
      <c r="D26" s="231"/>
      <c r="E26" s="231"/>
      <c r="F26" s="231"/>
      <c r="G26" s="231"/>
      <c r="H26" s="231"/>
      <c r="I26" s="231"/>
      <c r="J26" s="231"/>
      <c r="K26" s="231"/>
      <c r="L26" s="231"/>
      <c r="M26" s="232"/>
      <c r="N26" s="38"/>
    </row>
    <row r="27" spans="1:14" ht="15">
      <c r="A27" s="148"/>
      <c r="B27" s="148">
        <v>1</v>
      </c>
      <c r="C27" s="148">
        <v>2</v>
      </c>
      <c r="D27" s="148">
        <v>3</v>
      </c>
      <c r="E27" s="148">
        <v>4</v>
      </c>
      <c r="F27" s="148">
        <v>5</v>
      </c>
      <c r="G27" s="148">
        <v>6</v>
      </c>
      <c r="H27" s="148">
        <v>7</v>
      </c>
      <c r="I27" s="148">
        <v>8</v>
      </c>
      <c r="J27" s="148">
        <v>9</v>
      </c>
      <c r="K27" s="148">
        <v>10</v>
      </c>
      <c r="L27" s="148">
        <v>11</v>
      </c>
      <c r="M27" s="148">
        <v>12</v>
      </c>
      <c r="N27" s="38"/>
    </row>
    <row r="28" spans="1:15" ht="15">
      <c r="A28" s="41" t="s">
        <v>103</v>
      </c>
      <c r="B28" s="37">
        <f>+SUM(B29:B32)</f>
        <v>7483.168305136355</v>
      </c>
      <c r="C28" s="37">
        <f aca="true" t="shared" si="5" ref="C28:M28">+SUM(C29:C32)</f>
        <v>7707.663354290446</v>
      </c>
      <c r="D28" s="37">
        <f t="shared" si="5"/>
        <v>7938.8932549191595</v>
      </c>
      <c r="E28" s="37">
        <f t="shared" si="5"/>
        <v>8097.671120017542</v>
      </c>
      <c r="F28" s="37">
        <f t="shared" si="5"/>
        <v>8259.624542417894</v>
      </c>
      <c r="G28" s="37">
        <f t="shared" si="5"/>
        <v>8424.817033266252</v>
      </c>
      <c r="H28" s="37">
        <f t="shared" si="5"/>
        <v>8593.313373931576</v>
      </c>
      <c r="I28" s="37">
        <f t="shared" si="5"/>
        <v>8765.17964141021</v>
      </c>
      <c r="J28" s="37">
        <f t="shared" si="5"/>
        <v>8940.483234238412</v>
      </c>
      <c r="K28" s="37">
        <f t="shared" si="5"/>
        <v>9119.29289892318</v>
      </c>
      <c r="L28" s="37">
        <f t="shared" si="5"/>
        <v>9301.678756901645</v>
      </c>
      <c r="M28" s="37">
        <f t="shared" si="5"/>
        <v>9487.712332039679</v>
      </c>
      <c r="N28" s="38">
        <f>+SUM(B28:M28)</f>
        <v>102119.49784749236</v>
      </c>
      <c r="O28" s="39"/>
    </row>
    <row r="29" spans="1:14" ht="15">
      <c r="A29" s="7" t="s">
        <v>104</v>
      </c>
      <c r="B29" s="37">
        <f>+M19*(1+3%)</f>
        <v>3529.7963703473374</v>
      </c>
      <c r="C29" s="37">
        <f>+B29*(1+3%)</f>
        <v>3635.6902614577575</v>
      </c>
      <c r="D29" s="37">
        <f>+C29*(1+3%)</f>
        <v>3744.76096930149</v>
      </c>
      <c r="E29" s="37">
        <f aca="true" t="shared" si="6" ref="E29:M29">+D29*(1+2%)</f>
        <v>3819.65618868752</v>
      </c>
      <c r="F29" s="37">
        <f t="shared" si="6"/>
        <v>3896.049312461271</v>
      </c>
      <c r="G29" s="37">
        <f t="shared" si="6"/>
        <v>3973.970298710496</v>
      </c>
      <c r="H29" s="37">
        <f t="shared" si="6"/>
        <v>4053.449704684706</v>
      </c>
      <c r="I29" s="37">
        <f t="shared" si="6"/>
        <v>4134.5186987784</v>
      </c>
      <c r="J29" s="37">
        <f t="shared" si="6"/>
        <v>4217.209072753968</v>
      </c>
      <c r="K29" s="37">
        <f t="shared" si="6"/>
        <v>4301.553254209048</v>
      </c>
      <c r="L29" s="37">
        <f t="shared" si="6"/>
        <v>4387.584319293229</v>
      </c>
      <c r="M29" s="37">
        <f t="shared" si="6"/>
        <v>4475.336005679093</v>
      </c>
      <c r="N29" s="38"/>
    </row>
    <row r="30" spans="1:14" ht="15">
      <c r="A30" s="7" t="s">
        <v>105</v>
      </c>
      <c r="B30" s="37">
        <f>+M20*(1+3%)</f>
        <v>2117.8778222084024</v>
      </c>
      <c r="C30" s="37">
        <f aca="true" t="shared" si="7" ref="C30:D32">+B30*(1+3%)</f>
        <v>2181.4141568746545</v>
      </c>
      <c r="D30" s="37">
        <f t="shared" si="7"/>
        <v>2246.8565815808943</v>
      </c>
      <c r="E30" s="37">
        <f aca="true" t="shared" si="8" ref="E30:M32">+D30*(1+2%)</f>
        <v>2291.793713212512</v>
      </c>
      <c r="F30" s="37">
        <f t="shared" si="8"/>
        <v>2337.6295874767625</v>
      </c>
      <c r="G30" s="37">
        <f t="shared" si="8"/>
        <v>2384.382179226298</v>
      </c>
      <c r="H30" s="37">
        <f t="shared" si="8"/>
        <v>2432.069822810824</v>
      </c>
      <c r="I30" s="37">
        <f t="shared" si="8"/>
        <v>2480.7112192670406</v>
      </c>
      <c r="J30" s="37">
        <f t="shared" si="8"/>
        <v>2530.3254436523816</v>
      </c>
      <c r="K30" s="37">
        <f t="shared" si="8"/>
        <v>2580.931952525429</v>
      </c>
      <c r="L30" s="37">
        <f t="shared" si="8"/>
        <v>2632.5505915759377</v>
      </c>
      <c r="M30" s="37">
        <f t="shared" si="8"/>
        <v>2685.2016034074563</v>
      </c>
      <c r="N30" s="38"/>
    </row>
    <row r="31" spans="1:14" ht="15">
      <c r="A31" s="7" t="s">
        <v>106</v>
      </c>
      <c r="B31" s="37">
        <f>+M21*(1+3%)</f>
        <v>988.3429836972545</v>
      </c>
      <c r="C31" s="37">
        <f t="shared" si="7"/>
        <v>1017.9932732081721</v>
      </c>
      <c r="D31" s="37">
        <f t="shared" si="7"/>
        <v>1048.5330714044173</v>
      </c>
      <c r="E31" s="37">
        <f t="shared" si="8"/>
        <v>1069.5037328325056</v>
      </c>
      <c r="F31" s="37">
        <f t="shared" si="8"/>
        <v>1090.8938074891557</v>
      </c>
      <c r="G31" s="37">
        <f t="shared" si="8"/>
        <v>1112.711683638939</v>
      </c>
      <c r="H31" s="37">
        <f t="shared" si="8"/>
        <v>1134.9659173117177</v>
      </c>
      <c r="I31" s="37">
        <f t="shared" si="8"/>
        <v>1157.665235657952</v>
      </c>
      <c r="J31" s="37">
        <f t="shared" si="8"/>
        <v>1180.818540371111</v>
      </c>
      <c r="K31" s="37">
        <f t="shared" si="8"/>
        <v>1204.4349111785334</v>
      </c>
      <c r="L31" s="37">
        <f t="shared" si="8"/>
        <v>1228.523609402104</v>
      </c>
      <c r="M31" s="37">
        <f t="shared" si="8"/>
        <v>1253.094081590146</v>
      </c>
      <c r="N31" s="38"/>
    </row>
    <row r="32" spans="1:14" ht="15">
      <c r="A32" s="7" t="s">
        <v>107</v>
      </c>
      <c r="B32" s="37">
        <f>+M22*(1+3%)</f>
        <v>847.1511288833607</v>
      </c>
      <c r="C32" s="37">
        <f t="shared" si="7"/>
        <v>872.5656627498615</v>
      </c>
      <c r="D32" s="37">
        <f t="shared" si="7"/>
        <v>898.7426326323574</v>
      </c>
      <c r="E32" s="37">
        <f t="shared" si="8"/>
        <v>916.7174852850046</v>
      </c>
      <c r="F32" s="37">
        <f t="shared" si="8"/>
        <v>935.0518349907047</v>
      </c>
      <c r="G32" s="37">
        <f t="shared" si="8"/>
        <v>953.7528716905189</v>
      </c>
      <c r="H32" s="37">
        <f t="shared" si="8"/>
        <v>972.8279291243292</v>
      </c>
      <c r="I32" s="37">
        <f t="shared" si="8"/>
        <v>992.2844877068159</v>
      </c>
      <c r="J32" s="37">
        <f t="shared" si="8"/>
        <v>1012.1301774609522</v>
      </c>
      <c r="K32" s="37">
        <f t="shared" si="8"/>
        <v>1032.3727810101711</v>
      </c>
      <c r="L32" s="37">
        <f t="shared" si="8"/>
        <v>1053.0202366303745</v>
      </c>
      <c r="M32" s="37">
        <f t="shared" si="8"/>
        <v>1074.080641362982</v>
      </c>
      <c r="N32" s="38"/>
    </row>
    <row r="33" spans="1:14" ht="15">
      <c r="A33" s="7" t="s">
        <v>108</v>
      </c>
      <c r="B33" s="40" t="s">
        <v>110</v>
      </c>
      <c r="C33" s="37">
        <f>C29+C31-B29-B31</f>
        <v>135.5441806213381</v>
      </c>
      <c r="D33" s="37">
        <f aca="true" t="shared" si="9" ref="D33:M33">D29+D31-C29-C31</f>
        <v>139.61050603997808</v>
      </c>
      <c r="E33" s="37">
        <f t="shared" si="9"/>
        <v>95.86588081411833</v>
      </c>
      <c r="F33" s="37">
        <f t="shared" si="9"/>
        <v>97.78319843040117</v>
      </c>
      <c r="G33" s="37">
        <f t="shared" si="9"/>
        <v>99.73886239900867</v>
      </c>
      <c r="H33" s="37">
        <f t="shared" si="9"/>
        <v>101.73363964698842</v>
      </c>
      <c r="I33" s="37">
        <f t="shared" si="9"/>
        <v>103.76831243992888</v>
      </c>
      <c r="J33" s="37">
        <f t="shared" si="9"/>
        <v>105.84367868872732</v>
      </c>
      <c r="K33" s="37">
        <f t="shared" si="9"/>
        <v>107.96055226250178</v>
      </c>
      <c r="L33" s="37">
        <f t="shared" si="9"/>
        <v>110.11976330775155</v>
      </c>
      <c r="M33" s="37">
        <f t="shared" si="9"/>
        <v>112.32215857390634</v>
      </c>
      <c r="N33" s="38"/>
    </row>
    <row r="34" spans="1:14" ht="15">
      <c r="A34" s="7" t="s">
        <v>109</v>
      </c>
      <c r="B34" s="40" t="s">
        <v>110</v>
      </c>
      <c r="C34" s="37">
        <f>+C30+C32-B30-B32</f>
        <v>88.9508685327529</v>
      </c>
      <c r="D34" s="37">
        <f aca="true" t="shared" si="10" ref="D34:M34">+D30+D32-C30-C32</f>
        <v>91.61939458873576</v>
      </c>
      <c r="E34" s="37">
        <f t="shared" si="10"/>
        <v>62.911984284264804</v>
      </c>
      <c r="F34" s="37">
        <f t="shared" si="10"/>
        <v>64.17022396995048</v>
      </c>
      <c r="G34" s="37">
        <f t="shared" si="10"/>
        <v>65.45362844934971</v>
      </c>
      <c r="H34" s="37">
        <f t="shared" si="10"/>
        <v>66.76270101833654</v>
      </c>
      <c r="I34" s="37">
        <f t="shared" si="10"/>
        <v>68.09795503870339</v>
      </c>
      <c r="J34" s="37">
        <f t="shared" si="10"/>
        <v>69.45991413947752</v>
      </c>
      <c r="K34" s="37">
        <f t="shared" si="10"/>
        <v>70.84911242226667</v>
      </c>
      <c r="L34" s="37">
        <f t="shared" si="10"/>
        <v>72.26609467071216</v>
      </c>
      <c r="M34" s="37">
        <f t="shared" si="10"/>
        <v>73.71141656412624</v>
      </c>
      <c r="N34" s="38"/>
    </row>
    <row r="35" spans="2:14" ht="15">
      <c r="B35" s="198"/>
      <c r="N35" s="38"/>
    </row>
    <row r="36" spans="1:26" ht="30">
      <c r="A36" s="224" t="s">
        <v>112</v>
      </c>
      <c r="B36" s="224"/>
      <c r="C36" s="224"/>
      <c r="D36" s="224"/>
      <c r="E36" s="224"/>
      <c r="F36" s="224"/>
      <c r="G36" s="224"/>
      <c r="H36" s="224"/>
      <c r="I36" s="224"/>
      <c r="J36" s="224"/>
      <c r="K36" s="224"/>
      <c r="L36" s="224"/>
      <c r="M36" s="224"/>
      <c r="N36" s="38"/>
      <c r="X36" s="9" t="s">
        <v>127</v>
      </c>
      <c r="Y36" s="13" t="s">
        <v>137</v>
      </c>
      <c r="Z36" s="13" t="s">
        <v>171</v>
      </c>
    </row>
    <row r="37" spans="1:28" ht="15">
      <c r="A37" s="148"/>
      <c r="B37" s="148">
        <v>1</v>
      </c>
      <c r="C37" s="148">
        <v>2</v>
      </c>
      <c r="D37" s="148">
        <v>3</v>
      </c>
      <c r="E37" s="148">
        <v>4</v>
      </c>
      <c r="F37" s="148">
        <v>5</v>
      </c>
      <c r="G37" s="148">
        <v>6</v>
      </c>
      <c r="H37" s="148">
        <v>7</v>
      </c>
      <c r="I37" s="148">
        <v>8</v>
      </c>
      <c r="J37" s="148">
        <v>9</v>
      </c>
      <c r="K37" s="148">
        <v>10</v>
      </c>
      <c r="L37" s="148">
        <v>11</v>
      </c>
      <c r="M37" s="148">
        <v>12</v>
      </c>
      <c r="N37" s="38"/>
      <c r="X37" s="9">
        <v>1</v>
      </c>
      <c r="Y37" s="51">
        <f>+N18*'Determ de costo  y gastos'!$G$17</f>
        <v>521772.60453181574</v>
      </c>
      <c r="Z37" s="47">
        <f>+'Determ de costo  y gastos'!G62</f>
        <v>357833.8346997095</v>
      </c>
      <c r="AA37" s="3">
        <f>+Y37-Z37</f>
        <v>163938.76983210625</v>
      </c>
      <c r="AB37" s="23"/>
    </row>
    <row r="38" spans="1:28" ht="15">
      <c r="A38" s="41" t="s">
        <v>103</v>
      </c>
      <c r="B38" s="37">
        <f aca="true" t="shared" si="11" ref="B38:M38">+SUM(B39:B42)</f>
        <v>9677.46657868047</v>
      </c>
      <c r="C38" s="37">
        <f t="shared" si="11"/>
        <v>9871.015910254082</v>
      </c>
      <c r="D38" s="37">
        <f t="shared" si="11"/>
        <v>10068.436228459163</v>
      </c>
      <c r="E38" s="37">
        <f t="shared" si="11"/>
        <v>10269.804953028346</v>
      </c>
      <c r="F38" s="37">
        <f t="shared" si="11"/>
        <v>10475.201052088913</v>
      </c>
      <c r="G38" s="37">
        <f t="shared" si="11"/>
        <v>10684.705073130692</v>
      </c>
      <c r="H38" s="37">
        <f t="shared" si="11"/>
        <v>10898.399174593305</v>
      </c>
      <c r="I38" s="37">
        <f t="shared" si="11"/>
        <v>11116.367158085171</v>
      </c>
      <c r="J38" s="37">
        <f t="shared" si="11"/>
        <v>11338.694501246877</v>
      </c>
      <c r="K38" s="37">
        <f t="shared" si="11"/>
        <v>11565.468391271814</v>
      </c>
      <c r="L38" s="37">
        <f t="shared" si="11"/>
        <v>11796.77775909725</v>
      </c>
      <c r="M38" s="37">
        <f t="shared" si="11"/>
        <v>12032.713314279197</v>
      </c>
      <c r="N38" s="38">
        <f>+SUM(B38:M38)</f>
        <v>129795.05009421529</v>
      </c>
      <c r="O38" s="39"/>
      <c r="X38" s="9">
        <v>2</v>
      </c>
      <c r="Y38" s="51">
        <f>N28*'Determ de costo  y gastos'!$G$17</f>
        <v>714836.4849324465</v>
      </c>
      <c r="Z38" s="47">
        <f>+'Determ de costo  y gastos'!G63</f>
        <v>441999.68463694473</v>
      </c>
      <c r="AA38" s="3">
        <f>+Y38-Z38</f>
        <v>272836.8002955018</v>
      </c>
      <c r="AB38" s="23"/>
    </row>
    <row r="39" spans="1:28" ht="15">
      <c r="A39" s="7" t="s">
        <v>104</v>
      </c>
      <c r="B39" s="37">
        <f>M29*(1+2%)</f>
        <v>4564.842725792675</v>
      </c>
      <c r="C39" s="37">
        <f>B39*(1+2%)</f>
        <v>4656.139580308529</v>
      </c>
      <c r="D39" s="37">
        <f aca="true" t="shared" si="12" ref="D39:M39">C39*(1+2%)</f>
        <v>4749.2623719146995</v>
      </c>
      <c r="E39" s="37">
        <f t="shared" si="12"/>
        <v>4844.247619352994</v>
      </c>
      <c r="F39" s="37">
        <f t="shared" si="12"/>
        <v>4941.132571740054</v>
      </c>
      <c r="G39" s="37">
        <f t="shared" si="12"/>
        <v>5039.955223174855</v>
      </c>
      <c r="H39" s="37">
        <f t="shared" si="12"/>
        <v>5140.754327638352</v>
      </c>
      <c r="I39" s="37">
        <f t="shared" si="12"/>
        <v>5243.569414191119</v>
      </c>
      <c r="J39" s="37">
        <f t="shared" si="12"/>
        <v>5348.440802474942</v>
      </c>
      <c r="K39" s="37">
        <f t="shared" si="12"/>
        <v>5455.409618524441</v>
      </c>
      <c r="L39" s="37">
        <f t="shared" si="12"/>
        <v>5564.517810894929</v>
      </c>
      <c r="M39" s="37">
        <f t="shared" si="12"/>
        <v>5675.808167112828</v>
      </c>
      <c r="N39" s="38"/>
      <c r="X39" s="9">
        <v>3</v>
      </c>
      <c r="Y39" s="51">
        <f>N38*'Determ de costo  y gastos'!$G$17</f>
        <v>908565.350659507</v>
      </c>
      <c r="Z39" s="47">
        <f>+'Determ de costo  y gastos'!G64</f>
        <v>527612.3106519768</v>
      </c>
      <c r="AA39" s="3">
        <f>+Y39-Z39</f>
        <v>380953.04000753013</v>
      </c>
      <c r="AB39" s="23"/>
    </row>
    <row r="40" spans="1:28" ht="15">
      <c r="A40" s="7" t="s">
        <v>274</v>
      </c>
      <c r="B40" s="37">
        <f>M30*(1+2%)</f>
        <v>2738.9056354756053</v>
      </c>
      <c r="C40" s="37">
        <f aca="true" t="shared" si="13" ref="C40:M42">B40*(1+2%)</f>
        <v>2793.6837481851176</v>
      </c>
      <c r="D40" s="37">
        <f t="shared" si="13"/>
        <v>2849.55742314882</v>
      </c>
      <c r="E40" s="37">
        <f t="shared" si="13"/>
        <v>2906.5485716117964</v>
      </c>
      <c r="F40" s="37">
        <f t="shared" si="13"/>
        <v>2964.6795430440325</v>
      </c>
      <c r="G40" s="37">
        <f t="shared" si="13"/>
        <v>3023.973133904913</v>
      </c>
      <c r="H40" s="37">
        <f t="shared" si="13"/>
        <v>3084.452596583011</v>
      </c>
      <c r="I40" s="37">
        <f t="shared" si="13"/>
        <v>3146.1416485146715</v>
      </c>
      <c r="J40" s="37">
        <f t="shared" si="13"/>
        <v>3209.064481484965</v>
      </c>
      <c r="K40" s="37">
        <f t="shared" si="13"/>
        <v>3273.2457711146644</v>
      </c>
      <c r="L40" s="37">
        <f t="shared" si="13"/>
        <v>3338.710686536958</v>
      </c>
      <c r="M40" s="37">
        <f t="shared" si="13"/>
        <v>3405.484900267697</v>
      </c>
      <c r="N40" s="38"/>
      <c r="X40" s="9">
        <v>4</v>
      </c>
      <c r="Y40" s="51">
        <f>N48*'Determ de costo  y gastos'!$G$17</f>
        <v>1218133.3620806078</v>
      </c>
      <c r="Z40" s="47">
        <f>+'Determ de costo  y gastos'!G65</f>
        <v>655711.6243374235</v>
      </c>
      <c r="AA40" s="3">
        <f>+Y40-Z40</f>
        <v>562421.7377431843</v>
      </c>
      <c r="AB40" s="23"/>
    </row>
    <row r="41" spans="1:28" ht="15">
      <c r="A41" s="7" t="s">
        <v>106</v>
      </c>
      <c r="B41" s="37">
        <f>M31*(1+2%)</f>
        <v>1278.155963221949</v>
      </c>
      <c r="C41" s="37">
        <f t="shared" si="13"/>
        <v>1303.7190824863878</v>
      </c>
      <c r="D41" s="37">
        <f t="shared" si="13"/>
        <v>1329.7934641361155</v>
      </c>
      <c r="E41" s="37">
        <f t="shared" si="13"/>
        <v>1356.3893334188379</v>
      </c>
      <c r="F41" s="37">
        <f t="shared" si="13"/>
        <v>1383.5171200872146</v>
      </c>
      <c r="G41" s="37">
        <f t="shared" si="13"/>
        <v>1411.187462488959</v>
      </c>
      <c r="H41" s="37">
        <f t="shared" si="13"/>
        <v>1439.4112117387383</v>
      </c>
      <c r="I41" s="37">
        <f t="shared" si="13"/>
        <v>1468.1994359735131</v>
      </c>
      <c r="J41" s="37">
        <f t="shared" si="13"/>
        <v>1497.5634246929835</v>
      </c>
      <c r="K41" s="37">
        <f t="shared" si="13"/>
        <v>1527.5146931868433</v>
      </c>
      <c r="L41" s="37">
        <f t="shared" si="13"/>
        <v>1558.0649870505802</v>
      </c>
      <c r="M41" s="37">
        <f t="shared" si="13"/>
        <v>1589.2262867915917</v>
      </c>
      <c r="N41" s="38"/>
      <c r="X41" s="9">
        <v>5</v>
      </c>
      <c r="Y41" s="51">
        <f>N58*'Determ de costo  y gastos'!$G$17</f>
        <v>1611130.8815317766</v>
      </c>
      <c r="Z41" s="47">
        <f>+'Determ de costo  y gastos'!G66</f>
        <v>814971.9066146207</v>
      </c>
      <c r="AA41" s="3">
        <f>+Y41-Z41</f>
        <v>796158.9749171559</v>
      </c>
      <c r="AB41" s="23"/>
    </row>
    <row r="42" spans="1:14" ht="15">
      <c r="A42" s="7" t="s">
        <v>107</v>
      </c>
      <c r="B42" s="37">
        <f>M32*(1+2%)</f>
        <v>1095.5622541902417</v>
      </c>
      <c r="C42" s="37">
        <f t="shared" si="13"/>
        <v>1117.4734992740466</v>
      </c>
      <c r="D42" s="37">
        <f t="shared" si="13"/>
        <v>1139.8229692595276</v>
      </c>
      <c r="E42" s="37">
        <f t="shared" si="13"/>
        <v>1162.619428644718</v>
      </c>
      <c r="F42" s="37">
        <f t="shared" si="13"/>
        <v>1185.8718172176125</v>
      </c>
      <c r="G42" s="37">
        <f t="shared" si="13"/>
        <v>1209.5892535619648</v>
      </c>
      <c r="H42" s="37">
        <f t="shared" si="13"/>
        <v>1233.7810386332042</v>
      </c>
      <c r="I42" s="37">
        <f t="shared" si="13"/>
        <v>1258.4566594058683</v>
      </c>
      <c r="J42" s="37">
        <f t="shared" si="13"/>
        <v>1283.6257925939858</v>
      </c>
      <c r="K42" s="37">
        <f t="shared" si="13"/>
        <v>1309.2983084458656</v>
      </c>
      <c r="L42" s="37">
        <f t="shared" si="13"/>
        <v>1335.4842746147829</v>
      </c>
      <c r="M42" s="37">
        <f t="shared" si="13"/>
        <v>1362.1939601070785</v>
      </c>
      <c r="N42" s="38"/>
    </row>
    <row r="43" spans="1:14" ht="15">
      <c r="A43" s="7" t="s">
        <v>108</v>
      </c>
      <c r="B43" s="36" t="s">
        <v>110</v>
      </c>
      <c r="C43" s="37">
        <f>+C39+C41-B39-B41</f>
        <v>116.8599737802931</v>
      </c>
      <c r="D43" s="37">
        <f aca="true" t="shared" si="14" ref="D43:M43">+D39+D41-C39-C41</f>
        <v>119.19717325589818</v>
      </c>
      <c r="E43" s="37">
        <f t="shared" si="14"/>
        <v>121.58111672101654</v>
      </c>
      <c r="F43" s="37">
        <f t="shared" si="14"/>
        <v>124.01273905543712</v>
      </c>
      <c r="G43" s="37">
        <f t="shared" si="14"/>
        <v>126.49299383654488</v>
      </c>
      <c r="H43" s="37">
        <f t="shared" si="14"/>
        <v>129.02285371327685</v>
      </c>
      <c r="I43" s="37">
        <f t="shared" si="14"/>
        <v>131.6033107875412</v>
      </c>
      <c r="J43" s="37">
        <f t="shared" si="14"/>
        <v>134.2353770032928</v>
      </c>
      <c r="K43" s="37">
        <f t="shared" si="14"/>
        <v>136.92008454335837</v>
      </c>
      <c r="L43" s="37">
        <f t="shared" si="14"/>
        <v>139.65848623422585</v>
      </c>
      <c r="M43" s="37">
        <f t="shared" si="14"/>
        <v>142.45165595891035</v>
      </c>
      <c r="N43" s="38"/>
    </row>
    <row r="44" spans="1:14" ht="15">
      <c r="A44" s="7" t="s">
        <v>109</v>
      </c>
      <c r="B44" s="36" t="s">
        <v>110</v>
      </c>
      <c r="C44" s="37">
        <f>+C40+C42-B40-B42</f>
        <v>76.68935779331696</v>
      </c>
      <c r="D44" s="37">
        <f aca="true" t="shared" si="15" ref="D44:M44">+D40+D42-C40-C42</f>
        <v>78.2231449491835</v>
      </c>
      <c r="E44" s="37">
        <f t="shared" si="15"/>
        <v>79.787607848167</v>
      </c>
      <c r="F44" s="37">
        <f t="shared" si="15"/>
        <v>81.38336000513027</v>
      </c>
      <c r="G44" s="37">
        <f t="shared" si="15"/>
        <v>83.01102720523318</v>
      </c>
      <c r="H44" s="37">
        <f t="shared" si="15"/>
        <v>84.67124774933768</v>
      </c>
      <c r="I44" s="37">
        <f t="shared" si="15"/>
        <v>86.36467270432445</v>
      </c>
      <c r="J44" s="37">
        <f t="shared" si="15"/>
        <v>88.0919661584112</v>
      </c>
      <c r="K44" s="37">
        <f t="shared" si="15"/>
        <v>89.853805481579</v>
      </c>
      <c r="L44" s="37">
        <f t="shared" si="15"/>
        <v>91.65088159121115</v>
      </c>
      <c r="M44" s="37">
        <f t="shared" si="15"/>
        <v>93.48389922303477</v>
      </c>
      <c r="N44" s="38"/>
    </row>
    <row r="45" ht="15">
      <c r="N45" s="38"/>
    </row>
    <row r="46" spans="1:14" ht="15">
      <c r="A46" s="224" t="s">
        <v>113</v>
      </c>
      <c r="B46" s="224"/>
      <c r="C46" s="224"/>
      <c r="D46" s="224"/>
      <c r="E46" s="224"/>
      <c r="F46" s="224"/>
      <c r="G46" s="224"/>
      <c r="H46" s="224"/>
      <c r="I46" s="224"/>
      <c r="J46" s="224"/>
      <c r="K46" s="224"/>
      <c r="L46" s="224"/>
      <c r="M46" s="224"/>
      <c r="N46" s="38"/>
    </row>
    <row r="47" spans="1:14" ht="15">
      <c r="A47" s="148"/>
      <c r="B47" s="148">
        <v>1</v>
      </c>
      <c r="C47" s="148">
        <v>2</v>
      </c>
      <c r="D47" s="148">
        <v>3</v>
      </c>
      <c r="E47" s="148">
        <v>4</v>
      </c>
      <c r="F47" s="148">
        <v>5</v>
      </c>
      <c r="G47" s="148">
        <v>6</v>
      </c>
      <c r="H47" s="148">
        <v>7</v>
      </c>
      <c r="I47" s="148">
        <v>8</v>
      </c>
      <c r="J47" s="148">
        <v>9</v>
      </c>
      <c r="K47" s="148">
        <v>10</v>
      </c>
      <c r="L47" s="148">
        <v>11</v>
      </c>
      <c r="M47" s="148">
        <v>12</v>
      </c>
      <c r="N47" s="38"/>
    </row>
    <row r="48" spans="1:15" ht="15">
      <c r="A48" s="41" t="s">
        <v>103</v>
      </c>
      <c r="B48" s="37">
        <f aca="true" t="shared" si="16" ref="B48:M48">+SUM(B49:B52)</f>
        <v>12273.36758056478</v>
      </c>
      <c r="C48" s="37">
        <f t="shared" si="16"/>
        <v>12641.568607981722</v>
      </c>
      <c r="D48" s="37">
        <f t="shared" si="16"/>
        <v>13020.815666221177</v>
      </c>
      <c r="E48" s="37">
        <f t="shared" si="16"/>
        <v>13411.440136207812</v>
      </c>
      <c r="F48" s="37">
        <f t="shared" si="16"/>
        <v>13813.783340294045</v>
      </c>
      <c r="G48" s="37">
        <f t="shared" si="16"/>
        <v>14228.19684050287</v>
      </c>
      <c r="H48" s="37">
        <f t="shared" si="16"/>
        <v>14655.042745717954</v>
      </c>
      <c r="I48" s="37">
        <f t="shared" si="16"/>
        <v>15094.694028089492</v>
      </c>
      <c r="J48" s="37">
        <f t="shared" si="16"/>
        <v>15547.534848932177</v>
      </c>
      <c r="K48" s="37">
        <f t="shared" si="16"/>
        <v>16013.960894400143</v>
      </c>
      <c r="L48" s="37">
        <f t="shared" si="16"/>
        <v>16494.379721232148</v>
      </c>
      <c r="M48" s="37">
        <f t="shared" si="16"/>
        <v>16824.267315656794</v>
      </c>
      <c r="N48" s="38">
        <f>+SUM(B48:M48)</f>
        <v>174019.0517258011</v>
      </c>
      <c r="O48" s="39"/>
    </row>
    <row r="49" spans="1:14" ht="15">
      <c r="A49" s="7" t="s">
        <v>104</v>
      </c>
      <c r="B49" s="37">
        <f>+M39*(1+2%)</f>
        <v>5789.324330455085</v>
      </c>
      <c r="C49" s="37">
        <f>B49*(1+3%)</f>
        <v>5963.004060368738</v>
      </c>
      <c r="D49" s="37">
        <f aca="true" t="shared" si="17" ref="D49:L49">C49*(1+3%)</f>
        <v>6141.8941821798</v>
      </c>
      <c r="E49" s="37">
        <f t="shared" si="17"/>
        <v>6326.151007645194</v>
      </c>
      <c r="F49" s="37">
        <f t="shared" si="17"/>
        <v>6515.93553787455</v>
      </c>
      <c r="G49" s="37">
        <f t="shared" si="17"/>
        <v>6711.413604010787</v>
      </c>
      <c r="H49" s="37">
        <f t="shared" si="17"/>
        <v>6912.756012131111</v>
      </c>
      <c r="I49" s="37">
        <f t="shared" si="17"/>
        <v>7120.138692495044</v>
      </c>
      <c r="J49" s="37">
        <f t="shared" si="17"/>
        <v>7333.742853269895</v>
      </c>
      <c r="K49" s="37">
        <f t="shared" si="17"/>
        <v>7553.755138867992</v>
      </c>
      <c r="L49" s="37">
        <f t="shared" si="17"/>
        <v>7780.367793034032</v>
      </c>
      <c r="M49" s="37">
        <f>L49*(1+2%)</f>
        <v>7935.975148894712</v>
      </c>
      <c r="N49" s="38"/>
    </row>
    <row r="50" spans="1:14" ht="15">
      <c r="A50" s="7" t="s">
        <v>105</v>
      </c>
      <c r="B50" s="37">
        <f>+M40*(1+2%)</f>
        <v>3473.594598273051</v>
      </c>
      <c r="C50" s="37">
        <f aca="true" t="shared" si="18" ref="C50:L52">B50*(1+3%)</f>
        <v>3577.8024362212427</v>
      </c>
      <c r="D50" s="37">
        <f t="shared" si="18"/>
        <v>3685.1365093078803</v>
      </c>
      <c r="E50" s="37">
        <f t="shared" si="18"/>
        <v>3795.690604587117</v>
      </c>
      <c r="F50" s="37">
        <f t="shared" si="18"/>
        <v>3909.5613227247304</v>
      </c>
      <c r="G50" s="37">
        <f t="shared" si="18"/>
        <v>4026.8481624064725</v>
      </c>
      <c r="H50" s="37">
        <f t="shared" si="18"/>
        <v>4147.653607278667</v>
      </c>
      <c r="I50" s="37">
        <f t="shared" si="18"/>
        <v>4272.083215497027</v>
      </c>
      <c r="J50" s="37">
        <f t="shared" si="18"/>
        <v>4400.245711961938</v>
      </c>
      <c r="K50" s="37">
        <f t="shared" si="18"/>
        <v>4532.253083320796</v>
      </c>
      <c r="L50" s="37">
        <f t="shared" si="18"/>
        <v>4668.220675820419</v>
      </c>
      <c r="M50" s="37">
        <f>L50*(1+2%)</f>
        <v>4761.585089336828</v>
      </c>
      <c r="N50" s="38"/>
    </row>
    <row r="51" spans="1:14" ht="15">
      <c r="A51" s="7" t="s">
        <v>106</v>
      </c>
      <c r="B51" s="37">
        <f>+M41*(1+2%)</f>
        <v>1621.0108125274237</v>
      </c>
      <c r="C51" s="37">
        <f t="shared" si="18"/>
        <v>1669.6411369032464</v>
      </c>
      <c r="D51" s="37">
        <f t="shared" si="18"/>
        <v>1719.7303710103438</v>
      </c>
      <c r="E51" s="37">
        <f t="shared" si="18"/>
        <v>1771.3222821406541</v>
      </c>
      <c r="F51" s="37">
        <f t="shared" si="18"/>
        <v>1824.461950604874</v>
      </c>
      <c r="G51" s="37">
        <f t="shared" si="18"/>
        <v>1879.1958091230201</v>
      </c>
      <c r="H51" s="37">
        <f t="shared" si="18"/>
        <v>1935.5716833967108</v>
      </c>
      <c r="I51" s="37">
        <f t="shared" si="18"/>
        <v>1993.6388338986121</v>
      </c>
      <c r="J51" s="37">
        <f t="shared" si="18"/>
        <v>2053.4479989155707</v>
      </c>
      <c r="K51" s="37">
        <f t="shared" si="18"/>
        <v>2115.051438883038</v>
      </c>
      <c r="L51" s="37">
        <f t="shared" si="18"/>
        <v>2178.5029820495292</v>
      </c>
      <c r="M51" s="37">
        <f>L51*(1+2%)</f>
        <v>2222.07304169052</v>
      </c>
      <c r="N51" s="38"/>
    </row>
    <row r="52" spans="1:14" ht="15">
      <c r="A52" s="7" t="s">
        <v>107</v>
      </c>
      <c r="B52" s="37">
        <f>+M42*(1+2%)</f>
        <v>1389.4378393092202</v>
      </c>
      <c r="C52" s="37">
        <f t="shared" si="18"/>
        <v>1431.1209744884968</v>
      </c>
      <c r="D52" s="37">
        <f t="shared" si="18"/>
        <v>1474.0546037231518</v>
      </c>
      <c r="E52" s="37">
        <f t="shared" si="18"/>
        <v>1518.2762418348464</v>
      </c>
      <c r="F52" s="37">
        <f t="shared" si="18"/>
        <v>1563.8245290898917</v>
      </c>
      <c r="G52" s="37">
        <f t="shared" si="18"/>
        <v>1610.7392649625885</v>
      </c>
      <c r="H52" s="37">
        <f t="shared" si="18"/>
        <v>1659.0614429114662</v>
      </c>
      <c r="I52" s="37">
        <f t="shared" si="18"/>
        <v>1708.8332861988101</v>
      </c>
      <c r="J52" s="37">
        <f t="shared" si="18"/>
        <v>1760.0982847847745</v>
      </c>
      <c r="K52" s="37">
        <f t="shared" si="18"/>
        <v>1812.9012333283179</v>
      </c>
      <c r="L52" s="37">
        <f t="shared" si="18"/>
        <v>1867.2882703281675</v>
      </c>
      <c r="M52" s="37">
        <f>L52*(1+2%)</f>
        <v>1904.634035734731</v>
      </c>
      <c r="N52" s="38"/>
    </row>
    <row r="53" spans="1:14" ht="15">
      <c r="A53" s="7" t="s">
        <v>108</v>
      </c>
      <c r="B53" s="40" t="s">
        <v>110</v>
      </c>
      <c r="C53" s="37">
        <f>+C49+C51-B49-B51</f>
        <v>222.31005428947537</v>
      </c>
      <c r="D53" s="37">
        <f aca="true" t="shared" si="19" ref="D53:M53">+D49+D51-C49-C51</f>
        <v>228.97935591816008</v>
      </c>
      <c r="E53" s="37">
        <f t="shared" si="19"/>
        <v>235.84873659570485</v>
      </c>
      <c r="F53" s="37">
        <f t="shared" si="19"/>
        <v>242.92419869357605</v>
      </c>
      <c r="G53" s="37">
        <f t="shared" si="19"/>
        <v>250.21192465438253</v>
      </c>
      <c r="H53" s="37">
        <f t="shared" si="19"/>
        <v>257.7182823940145</v>
      </c>
      <c r="I53" s="37">
        <f t="shared" si="19"/>
        <v>265.4498308658349</v>
      </c>
      <c r="J53" s="37">
        <f t="shared" si="19"/>
        <v>273.4133257918097</v>
      </c>
      <c r="K53" s="37">
        <f t="shared" si="19"/>
        <v>281.6157255655653</v>
      </c>
      <c r="L53" s="37">
        <f t="shared" si="19"/>
        <v>290.06419733253006</v>
      </c>
      <c r="M53" s="37">
        <f t="shared" si="19"/>
        <v>199.17741550167102</v>
      </c>
      <c r="N53" s="38"/>
    </row>
    <row r="54" spans="1:14" ht="15">
      <c r="A54" s="7" t="s">
        <v>109</v>
      </c>
      <c r="B54" s="40" t="s">
        <v>110</v>
      </c>
      <c r="C54" s="37">
        <f>+C50+C52-B50-B52</f>
        <v>145.8909731274689</v>
      </c>
      <c r="D54" s="37">
        <f aca="true" t="shared" si="20" ref="D54:M54">+D50+D52-C50-C52</f>
        <v>150.2677023212923</v>
      </c>
      <c r="E54" s="37">
        <f t="shared" si="20"/>
        <v>154.775733390931</v>
      </c>
      <c r="F54" s="37">
        <f t="shared" si="20"/>
        <v>159.4190053926593</v>
      </c>
      <c r="G54" s="37">
        <f t="shared" si="20"/>
        <v>164.20157555443848</v>
      </c>
      <c r="H54" s="37">
        <f t="shared" si="20"/>
        <v>169.12762282107133</v>
      </c>
      <c r="I54" s="37">
        <f t="shared" si="20"/>
        <v>174.20145150570397</v>
      </c>
      <c r="J54" s="37">
        <f t="shared" si="20"/>
        <v>179.42749505087522</v>
      </c>
      <c r="K54" s="37">
        <f t="shared" si="20"/>
        <v>184.81031990240172</v>
      </c>
      <c r="L54" s="37">
        <f t="shared" si="20"/>
        <v>190.35462949947328</v>
      </c>
      <c r="M54" s="37">
        <f t="shared" si="20"/>
        <v>130.71017892297186</v>
      </c>
      <c r="N54" s="38"/>
    </row>
    <row r="55" ht="15">
      <c r="N55" s="38"/>
    </row>
    <row r="56" spans="1:14" ht="15">
      <c r="A56" s="224" t="s">
        <v>114</v>
      </c>
      <c r="B56" s="224"/>
      <c r="C56" s="224"/>
      <c r="D56" s="224"/>
      <c r="E56" s="224"/>
      <c r="F56" s="224"/>
      <c r="G56" s="224"/>
      <c r="H56" s="224"/>
      <c r="I56" s="224"/>
      <c r="J56" s="224"/>
      <c r="K56" s="224"/>
      <c r="L56" s="224"/>
      <c r="M56" s="224"/>
      <c r="N56" s="38"/>
    </row>
    <row r="57" spans="1:14" ht="15">
      <c r="A57" s="148"/>
      <c r="B57" s="148">
        <v>1</v>
      </c>
      <c r="C57" s="148">
        <v>2</v>
      </c>
      <c r="D57" s="148">
        <v>3</v>
      </c>
      <c r="E57" s="148">
        <v>4</v>
      </c>
      <c r="F57" s="148">
        <v>5</v>
      </c>
      <c r="G57" s="148">
        <v>6</v>
      </c>
      <c r="H57" s="148">
        <v>7</v>
      </c>
      <c r="I57" s="148">
        <v>8</v>
      </c>
      <c r="J57" s="148">
        <v>9</v>
      </c>
      <c r="K57" s="148">
        <v>10</v>
      </c>
      <c r="L57" s="148">
        <v>11</v>
      </c>
      <c r="M57" s="148">
        <v>12</v>
      </c>
      <c r="N57" s="38"/>
    </row>
    <row r="58" spans="1:15" ht="15">
      <c r="A58" s="41" t="s">
        <v>103</v>
      </c>
      <c r="B58" s="37">
        <f aca="true" t="shared" si="21" ref="B58:M58">+SUM(B59:B62)</f>
        <v>17160.752661969927</v>
      </c>
      <c r="C58" s="37">
        <f t="shared" si="21"/>
        <v>17503.967715209328</v>
      </c>
      <c r="D58" s="37">
        <f t="shared" si="21"/>
        <v>17854.04706951351</v>
      </c>
      <c r="E58" s="37">
        <f t="shared" si="21"/>
        <v>18211.128010903783</v>
      </c>
      <c r="F58" s="37">
        <f t="shared" si="21"/>
        <v>18575.35057112186</v>
      </c>
      <c r="G58" s="37">
        <f t="shared" si="21"/>
        <v>18946.857582544297</v>
      </c>
      <c r="H58" s="37">
        <f t="shared" si="21"/>
        <v>19325.794734195184</v>
      </c>
      <c r="I58" s="37">
        <f t="shared" si="21"/>
        <v>19712.310628879088</v>
      </c>
      <c r="J58" s="37">
        <f t="shared" si="21"/>
        <v>20106.556841456666</v>
      </c>
      <c r="K58" s="37">
        <f t="shared" si="21"/>
        <v>20508.6879782858</v>
      </c>
      <c r="L58" s="37">
        <f t="shared" si="21"/>
        <v>20918.86173785152</v>
      </c>
      <c r="M58" s="37">
        <f t="shared" si="21"/>
        <v>21337.238972608553</v>
      </c>
      <c r="N58" s="38">
        <f>+SUM(B58:M58)</f>
        <v>230161.55450453953</v>
      </c>
      <c r="O58" s="39"/>
    </row>
    <row r="59" spans="1:14" ht="15">
      <c r="A59" s="7" t="s">
        <v>104</v>
      </c>
      <c r="B59" s="37">
        <f>+M49*(1+2%)</f>
        <v>8094.694651872606</v>
      </c>
      <c r="C59" s="37">
        <f>+B59*(1+2%)</f>
        <v>8256.588544910059</v>
      </c>
      <c r="D59" s="37">
        <f aca="true" t="shared" si="22" ref="D59:M59">+C59*(1+2%)</f>
        <v>8421.72031580826</v>
      </c>
      <c r="E59" s="37">
        <f t="shared" si="22"/>
        <v>8590.154722124425</v>
      </c>
      <c r="F59" s="37">
        <f t="shared" si="22"/>
        <v>8761.957816566914</v>
      </c>
      <c r="G59" s="37">
        <f t="shared" si="22"/>
        <v>8937.196972898251</v>
      </c>
      <c r="H59" s="37">
        <f t="shared" si="22"/>
        <v>9115.940912356216</v>
      </c>
      <c r="I59" s="37">
        <f t="shared" si="22"/>
        <v>9298.25973060334</v>
      </c>
      <c r="J59" s="37">
        <f t="shared" si="22"/>
        <v>9484.224925215407</v>
      </c>
      <c r="K59" s="37">
        <f t="shared" si="22"/>
        <v>9673.909423719715</v>
      </c>
      <c r="L59" s="37">
        <f t="shared" si="22"/>
        <v>9867.38761219411</v>
      </c>
      <c r="M59" s="37">
        <f t="shared" si="22"/>
        <v>10064.735364437993</v>
      </c>
      <c r="N59" s="38"/>
    </row>
    <row r="60" spans="1:14" ht="15">
      <c r="A60" s="7" t="s">
        <v>105</v>
      </c>
      <c r="B60" s="37">
        <f>+M50*(1+2%)</f>
        <v>4856.816791123564</v>
      </c>
      <c r="C60" s="37">
        <f aca="true" t="shared" si="23" ref="C60:M62">+B60*(1+2%)</f>
        <v>4953.953126946036</v>
      </c>
      <c r="D60" s="37">
        <f t="shared" si="23"/>
        <v>5053.032189484957</v>
      </c>
      <c r="E60" s="37">
        <f t="shared" si="23"/>
        <v>5154.092833274656</v>
      </c>
      <c r="F60" s="37">
        <f t="shared" si="23"/>
        <v>5257.17468994015</v>
      </c>
      <c r="G60" s="37">
        <f t="shared" si="23"/>
        <v>5362.318183738953</v>
      </c>
      <c r="H60" s="37">
        <f t="shared" si="23"/>
        <v>5469.564547413732</v>
      </c>
      <c r="I60" s="37">
        <f t="shared" si="23"/>
        <v>5578.955838362007</v>
      </c>
      <c r="J60" s="37">
        <f t="shared" si="23"/>
        <v>5690.5349551292475</v>
      </c>
      <c r="K60" s="37">
        <f t="shared" si="23"/>
        <v>5804.345654231833</v>
      </c>
      <c r="L60" s="37">
        <f t="shared" si="23"/>
        <v>5920.432567316469</v>
      </c>
      <c r="M60" s="37">
        <f t="shared" si="23"/>
        <v>6038.841218662799</v>
      </c>
      <c r="N60" s="38"/>
    </row>
    <row r="61" spans="1:14" ht="15">
      <c r="A61" s="7" t="s">
        <v>106</v>
      </c>
      <c r="B61" s="37">
        <f>+M51*(1+2%)</f>
        <v>2266.5145025243305</v>
      </c>
      <c r="C61" s="37">
        <f t="shared" si="23"/>
        <v>2311.8447925748173</v>
      </c>
      <c r="D61" s="37">
        <f t="shared" si="23"/>
        <v>2358.0816884263136</v>
      </c>
      <c r="E61" s="37">
        <f t="shared" si="23"/>
        <v>2405.24332219484</v>
      </c>
      <c r="F61" s="37">
        <f t="shared" si="23"/>
        <v>2453.3481886387367</v>
      </c>
      <c r="G61" s="37">
        <f t="shared" si="23"/>
        <v>2502.4151524115114</v>
      </c>
      <c r="H61" s="37">
        <f t="shared" si="23"/>
        <v>2552.4634554597415</v>
      </c>
      <c r="I61" s="37">
        <f t="shared" si="23"/>
        <v>2603.5127245689364</v>
      </c>
      <c r="J61" s="37">
        <f t="shared" si="23"/>
        <v>2655.582979060315</v>
      </c>
      <c r="K61" s="37">
        <f t="shared" si="23"/>
        <v>2708.6946386415216</v>
      </c>
      <c r="L61" s="37">
        <f t="shared" si="23"/>
        <v>2762.868531414352</v>
      </c>
      <c r="M61" s="37">
        <f t="shared" si="23"/>
        <v>2818.125902042639</v>
      </c>
      <c r="N61" s="38"/>
    </row>
    <row r="62" spans="1:14" ht="15">
      <c r="A62" s="7" t="s">
        <v>107</v>
      </c>
      <c r="B62" s="37">
        <f>+M52*(1+2%)</f>
        <v>1942.7267164494256</v>
      </c>
      <c r="C62" s="37">
        <f t="shared" si="23"/>
        <v>1981.5812507784142</v>
      </c>
      <c r="D62" s="37">
        <f t="shared" si="23"/>
        <v>2021.2128757939824</v>
      </c>
      <c r="E62" s="37">
        <f t="shared" si="23"/>
        <v>2061.6371333098623</v>
      </c>
      <c r="F62" s="37">
        <f t="shared" si="23"/>
        <v>2102.8698759760596</v>
      </c>
      <c r="G62" s="37">
        <f t="shared" si="23"/>
        <v>2144.9272734955807</v>
      </c>
      <c r="H62" s="37">
        <f t="shared" si="23"/>
        <v>2187.8258189654925</v>
      </c>
      <c r="I62" s="37">
        <f t="shared" si="23"/>
        <v>2231.5823353448022</v>
      </c>
      <c r="J62" s="37">
        <f t="shared" si="23"/>
        <v>2276.213982051698</v>
      </c>
      <c r="K62" s="37">
        <f t="shared" si="23"/>
        <v>2321.738261692732</v>
      </c>
      <c r="L62" s="37">
        <f t="shared" si="23"/>
        <v>2368.1730269265868</v>
      </c>
      <c r="M62" s="37">
        <f t="shared" si="23"/>
        <v>2415.5364874651186</v>
      </c>
      <c r="N62" s="38"/>
    </row>
    <row r="63" spans="1:13" ht="15">
      <c r="A63" s="7" t="s">
        <v>108</v>
      </c>
      <c r="B63" s="40" t="s">
        <v>110</v>
      </c>
      <c r="C63" s="37">
        <f>+C59+C61-B59-B61</f>
        <v>207.22418308793885</v>
      </c>
      <c r="D63" s="37">
        <f aca="true" t="shared" si="24" ref="D63:M63">+D59+D61-C59-C61</f>
        <v>211.36866674969633</v>
      </c>
      <c r="E63" s="37">
        <f t="shared" si="24"/>
        <v>215.59604008469205</v>
      </c>
      <c r="F63" s="37">
        <f t="shared" si="24"/>
        <v>219.90796088638444</v>
      </c>
      <c r="G63" s="37">
        <f t="shared" si="24"/>
        <v>224.30612010411232</v>
      </c>
      <c r="H63" s="37">
        <f t="shared" si="24"/>
        <v>228.79224250619518</v>
      </c>
      <c r="I63" s="37">
        <f t="shared" si="24"/>
        <v>233.36808735631894</v>
      </c>
      <c r="J63" s="37">
        <f t="shared" si="24"/>
        <v>238.035449103445</v>
      </c>
      <c r="K63" s="37">
        <f t="shared" si="24"/>
        <v>242.7961580855149</v>
      </c>
      <c r="L63" s="37">
        <f t="shared" si="24"/>
        <v>247.65208124722494</v>
      </c>
      <c r="M63" s="37">
        <f t="shared" si="24"/>
        <v>252.60512287216898</v>
      </c>
    </row>
    <row r="64" spans="1:13" ht="15">
      <c r="A64" s="7" t="s">
        <v>109</v>
      </c>
      <c r="B64" s="40" t="s">
        <v>110</v>
      </c>
      <c r="C64" s="37">
        <f>+C60+C62-B60-B62</f>
        <v>135.99087015146006</v>
      </c>
      <c r="D64" s="37">
        <f aca="true" t="shared" si="25" ref="D64:M64">+D60+D62-C60-C62</f>
        <v>138.71068755448937</v>
      </c>
      <c r="E64" s="37">
        <f t="shared" si="25"/>
        <v>141.48490130557934</v>
      </c>
      <c r="F64" s="37">
        <f t="shared" si="25"/>
        <v>144.31459933169026</v>
      </c>
      <c r="G64" s="37">
        <f t="shared" si="25"/>
        <v>147.20089131832492</v>
      </c>
      <c r="H64" s="37">
        <f t="shared" si="25"/>
        <v>150.1449091446907</v>
      </c>
      <c r="I64" s="37">
        <f t="shared" si="25"/>
        <v>153.14780732758481</v>
      </c>
      <c r="J64" s="37">
        <f t="shared" si="25"/>
        <v>156.2107634741369</v>
      </c>
      <c r="K64" s="37">
        <f t="shared" si="25"/>
        <v>159.33497874361865</v>
      </c>
      <c r="L64" s="37">
        <f t="shared" si="25"/>
        <v>162.521678318491</v>
      </c>
      <c r="M64" s="37">
        <f t="shared" si="25"/>
        <v>165.77211188486172</v>
      </c>
    </row>
  </sheetData>
  <sheetProtection/>
  <mergeCells count="8">
    <mergeCell ref="A56:M56"/>
    <mergeCell ref="E8:F8"/>
    <mergeCell ref="A1:Q3"/>
    <mergeCell ref="A5:Q6"/>
    <mergeCell ref="A16:M16"/>
    <mergeCell ref="A26:M26"/>
    <mergeCell ref="A36:M36"/>
    <mergeCell ref="A46:M4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36">
      <selection activeCell="H22" sqref="H22"/>
    </sheetView>
  </sheetViews>
  <sheetFormatPr defaultColWidth="11.421875" defaultRowHeight="15"/>
  <cols>
    <col min="1" max="1" width="22.00390625" style="0" customWidth="1"/>
    <col min="2" max="2" width="13.421875" style="0" bestFit="1" customWidth="1"/>
    <col min="3" max="3" width="15.00390625" style="0" bestFit="1" customWidth="1"/>
    <col min="4" max="4" width="16.57421875" style="0" bestFit="1" customWidth="1"/>
    <col min="5" max="5" width="14.57421875" style="0" bestFit="1" customWidth="1"/>
    <col min="6" max="6" width="13.00390625" style="0" bestFit="1" customWidth="1"/>
    <col min="7" max="7" width="25.140625" style="0" customWidth="1"/>
    <col min="8" max="12" width="13.00390625" style="0" bestFit="1" customWidth="1"/>
  </cols>
  <sheetData>
    <row r="1" ht="15">
      <c r="A1" s="61" t="s">
        <v>174</v>
      </c>
    </row>
    <row r="2" ht="15">
      <c r="A2" s="61"/>
    </row>
    <row r="3" ht="15">
      <c r="A3" s="61"/>
    </row>
    <row r="4" spans="1:6" ht="15">
      <c r="A4" s="9"/>
      <c r="B4" s="9" t="s">
        <v>102</v>
      </c>
      <c r="C4" s="9" t="s">
        <v>111</v>
      </c>
      <c r="D4" s="9" t="s">
        <v>112</v>
      </c>
      <c r="E4" s="9" t="s">
        <v>113</v>
      </c>
      <c r="F4" s="9" t="s">
        <v>114</v>
      </c>
    </row>
    <row r="5" spans="1:6" ht="15">
      <c r="A5" s="73" t="s">
        <v>159</v>
      </c>
      <c r="B5" s="9"/>
      <c r="C5" s="9"/>
      <c r="D5" s="9"/>
      <c r="E5" s="9"/>
      <c r="F5" s="9"/>
    </row>
    <row r="6" spans="1:6" ht="15">
      <c r="A6" s="74" t="s">
        <v>160</v>
      </c>
      <c r="B6" s="47">
        <f>B41</f>
        <v>9400</v>
      </c>
      <c r="C6" s="47">
        <f>C41</f>
        <v>156666.22918127262</v>
      </c>
      <c r="D6" s="47">
        <f>+D41</f>
        <v>170969.85590552283</v>
      </c>
      <c r="E6" s="47">
        <f>+E41</f>
        <v>186579.40374969709</v>
      </c>
      <c r="F6" s="47">
        <f>+F41</f>
        <v>203614.10331204435</v>
      </c>
    </row>
    <row r="7" spans="1:6" ht="15">
      <c r="A7" s="73" t="s">
        <v>161</v>
      </c>
      <c r="B7" s="9"/>
      <c r="C7" s="9"/>
      <c r="D7" s="9"/>
      <c r="E7" s="9"/>
      <c r="F7" s="9"/>
    </row>
    <row r="8" spans="1:6" ht="15">
      <c r="A8" s="74" t="s">
        <v>162</v>
      </c>
      <c r="B8" s="51">
        <f>+B14</f>
        <v>15200</v>
      </c>
      <c r="C8" s="51">
        <f>+B8*(0.99)</f>
        <v>15048</v>
      </c>
      <c r="D8" s="51">
        <f>+C8*(0.99)</f>
        <v>14897.52</v>
      </c>
      <c r="E8" s="51">
        <f>+D8*(0.99)</f>
        <v>14748.5448</v>
      </c>
      <c r="F8" s="51">
        <f>+E8*(0.99)</f>
        <v>14601.059352</v>
      </c>
    </row>
    <row r="10" spans="1:13" ht="15">
      <c r="A10" s="7" t="s">
        <v>208</v>
      </c>
      <c r="B10" s="7" t="s">
        <v>189</v>
      </c>
      <c r="C10" s="7" t="s">
        <v>190</v>
      </c>
      <c r="D10" s="7" t="s">
        <v>191</v>
      </c>
      <c r="E10" s="7" t="s">
        <v>192</v>
      </c>
      <c r="F10" s="7" t="s">
        <v>193</v>
      </c>
      <c r="G10" s="7" t="s">
        <v>194</v>
      </c>
      <c r="H10" s="7" t="s">
        <v>195</v>
      </c>
      <c r="I10" s="7" t="s">
        <v>196</v>
      </c>
      <c r="J10" s="7" t="s">
        <v>197</v>
      </c>
      <c r="K10" s="7" t="s">
        <v>198</v>
      </c>
      <c r="L10" s="7" t="s">
        <v>199</v>
      </c>
      <c r="M10" s="7" t="s">
        <v>200</v>
      </c>
    </row>
    <row r="11" spans="1:13" ht="15">
      <c r="A11" s="7" t="s">
        <v>209</v>
      </c>
      <c r="B11" s="8">
        <f>+'inversion inicial'!$D$44</f>
        <v>400</v>
      </c>
      <c r="C11" s="8">
        <v>0</v>
      </c>
      <c r="D11" s="8">
        <v>0</v>
      </c>
      <c r="E11" s="8">
        <v>0</v>
      </c>
      <c r="F11" s="8">
        <v>0</v>
      </c>
      <c r="G11" s="8">
        <f>+B11</f>
        <v>400</v>
      </c>
      <c r="H11" s="8">
        <v>0</v>
      </c>
      <c r="I11" s="8">
        <v>0</v>
      </c>
      <c r="J11" s="8">
        <v>0</v>
      </c>
      <c r="K11" s="8">
        <v>0</v>
      </c>
      <c r="L11" s="8">
        <v>0</v>
      </c>
      <c r="M11" s="8">
        <v>0</v>
      </c>
    </row>
    <row r="12" spans="1:13" ht="15">
      <c r="A12" s="7" t="s">
        <v>162</v>
      </c>
      <c r="B12" s="7">
        <v>1200</v>
      </c>
      <c r="C12" s="7">
        <v>700</v>
      </c>
      <c r="D12" s="7">
        <v>700</v>
      </c>
      <c r="E12" s="7">
        <v>700</v>
      </c>
      <c r="F12" s="7">
        <v>700</v>
      </c>
      <c r="G12" s="7">
        <v>700</v>
      </c>
      <c r="H12" s="7">
        <v>600</v>
      </c>
      <c r="I12" s="7">
        <v>600</v>
      </c>
      <c r="J12" s="7">
        <v>500</v>
      </c>
      <c r="K12" s="7">
        <v>1000</v>
      </c>
      <c r="L12" s="7">
        <v>1000</v>
      </c>
      <c r="M12" s="7">
        <v>400</v>
      </c>
    </row>
    <row r="13" spans="1:13" ht="15">
      <c r="A13" s="7" t="s">
        <v>211</v>
      </c>
      <c r="B13" s="7">
        <f>+SUM(B11:B12)</f>
        <v>1600</v>
      </c>
      <c r="C13" s="7">
        <f aca="true" t="shared" si="0" ref="C13:L13">+SUM(C11:C12)</f>
        <v>700</v>
      </c>
      <c r="D13" s="7">
        <f t="shared" si="0"/>
        <v>700</v>
      </c>
      <c r="E13" s="7">
        <f t="shared" si="0"/>
        <v>700</v>
      </c>
      <c r="F13" s="7">
        <f t="shared" si="0"/>
        <v>700</v>
      </c>
      <c r="G13" s="7">
        <f t="shared" si="0"/>
        <v>1100</v>
      </c>
      <c r="H13" s="7">
        <f t="shared" si="0"/>
        <v>600</v>
      </c>
      <c r="I13" s="7">
        <f t="shared" si="0"/>
        <v>600</v>
      </c>
      <c r="J13" s="7">
        <f t="shared" si="0"/>
        <v>500</v>
      </c>
      <c r="K13" s="7">
        <f t="shared" si="0"/>
        <v>1000</v>
      </c>
      <c r="L13" s="7">
        <f t="shared" si="0"/>
        <v>1000</v>
      </c>
      <c r="M13" s="7">
        <v>6000</v>
      </c>
    </row>
    <row r="14" spans="1:2" ht="15">
      <c r="A14" s="10" t="s">
        <v>212</v>
      </c>
      <c r="B14" s="57">
        <f>+SUM(B13:M13)</f>
        <v>15200</v>
      </c>
    </row>
    <row r="16" spans="1:7" ht="15">
      <c r="A16" s="52" t="s">
        <v>142</v>
      </c>
      <c r="G16" s="3"/>
    </row>
    <row r="17" spans="6:8" ht="15">
      <c r="F17" s="7" t="s">
        <v>129</v>
      </c>
      <c r="G17" s="11">
        <v>7</v>
      </c>
      <c r="H17" s="3"/>
    </row>
    <row r="18" spans="1:7" ht="30">
      <c r="A18" s="90" t="s">
        <v>125</v>
      </c>
      <c r="B18" s="91" t="s">
        <v>131</v>
      </c>
      <c r="C18" s="91" t="s">
        <v>139</v>
      </c>
      <c r="D18" s="91" t="s">
        <v>126</v>
      </c>
      <c r="G18" s="127">
        <f>+E62*1.8</f>
        <v>8.641132704278297</v>
      </c>
    </row>
    <row r="19" spans="1:7" ht="15">
      <c r="A19" s="93" t="s">
        <v>99</v>
      </c>
      <c r="B19" s="51">
        <v>2</v>
      </c>
      <c r="C19" s="46">
        <f>+$B$32</f>
        <v>74538.94350454511</v>
      </c>
      <c r="D19" s="51">
        <f>+B19*C19</f>
        <v>149077.88700909022</v>
      </c>
      <c r="G19" t="s">
        <v>175</v>
      </c>
    </row>
    <row r="20" spans="1:12" ht="15">
      <c r="A20" s="93" t="s">
        <v>130</v>
      </c>
      <c r="B20" s="92">
        <v>0.053</v>
      </c>
      <c r="C20" s="46">
        <f>+$B$32</f>
        <v>74538.94350454511</v>
      </c>
      <c r="D20" s="51">
        <f>+B20*C20</f>
        <v>3950.564005740891</v>
      </c>
      <c r="G20" s="62" t="s">
        <v>180</v>
      </c>
      <c r="H20" s="63" t="s">
        <v>181</v>
      </c>
      <c r="I20" s="63" t="s">
        <v>182</v>
      </c>
      <c r="J20" s="63" t="s">
        <v>183</v>
      </c>
      <c r="K20" s="63" t="s">
        <v>184</v>
      </c>
      <c r="L20" s="64" t="s">
        <v>185</v>
      </c>
    </row>
    <row r="21" spans="1:12" ht="15">
      <c r="A21" s="94" t="s">
        <v>138</v>
      </c>
      <c r="B21" s="51">
        <v>0.16</v>
      </c>
      <c r="C21" s="46">
        <f>+$B$32</f>
        <v>74538.94350454511</v>
      </c>
      <c r="D21" s="51">
        <f>+B21*C21</f>
        <v>11926.230960727218</v>
      </c>
      <c r="G21" s="69" t="s">
        <v>176</v>
      </c>
      <c r="H21" s="9" t="s">
        <v>102</v>
      </c>
      <c r="I21" s="9" t="s">
        <v>111</v>
      </c>
      <c r="J21" s="9" t="s">
        <v>112</v>
      </c>
      <c r="K21" s="9" t="s">
        <v>113</v>
      </c>
      <c r="L21" s="65" t="s">
        <v>114</v>
      </c>
    </row>
    <row r="22" spans="1:12" ht="15">
      <c r="A22" s="93" t="s">
        <v>100</v>
      </c>
      <c r="B22" s="51">
        <v>0.1</v>
      </c>
      <c r="C22" s="46">
        <f>+$B$32</f>
        <v>74538.94350454511</v>
      </c>
      <c r="D22" s="51">
        <f>+B22*C22</f>
        <v>7453.894350454511</v>
      </c>
      <c r="G22" s="69" t="s">
        <v>166</v>
      </c>
      <c r="H22" s="47">
        <f>+$B$24*B32</f>
        <v>173899.35519610374</v>
      </c>
      <c r="I22" s="47">
        <f>+$B$24*B33</f>
        <v>238244.78847819968</v>
      </c>
      <c r="J22" s="47">
        <f>$B$24*B34</f>
        <v>302811.85186980426</v>
      </c>
      <c r="K22" s="47">
        <f>+B24*$B$35</f>
        <v>405986.447676294</v>
      </c>
      <c r="L22" s="66">
        <f>+$B$24*B36</f>
        <v>536966.9066590908</v>
      </c>
    </row>
    <row r="23" spans="1:12" ht="15">
      <c r="A23" s="93" t="s">
        <v>101</v>
      </c>
      <c r="B23" s="51">
        <v>0.02</v>
      </c>
      <c r="C23" s="46">
        <f>+$B$32</f>
        <v>74538.94350454511</v>
      </c>
      <c r="D23" s="51">
        <f>+B23*C23</f>
        <v>1490.7788700909023</v>
      </c>
      <c r="G23" s="69" t="s">
        <v>177</v>
      </c>
      <c r="H23" s="47">
        <f>+E32</f>
        <v>7199.999999999999</v>
      </c>
      <c r="I23" s="47">
        <f>+E33</f>
        <v>11250</v>
      </c>
      <c r="J23" s="47">
        <f>+E34</f>
        <v>16200</v>
      </c>
      <c r="K23" s="47">
        <f>+E35</f>
        <v>22050</v>
      </c>
      <c r="L23" s="66">
        <f>+E36</f>
        <v>28800</v>
      </c>
    </row>
    <row r="24" spans="1:12" ht="29.25" customHeight="1">
      <c r="A24" s="95" t="s">
        <v>22</v>
      </c>
      <c r="B24" s="47">
        <f>+SUM(B19:B23)</f>
        <v>2.333</v>
      </c>
      <c r="C24" s="46"/>
      <c r="D24" s="51">
        <f>+SUM(D19:D23)</f>
        <v>173899.35519610374</v>
      </c>
      <c r="G24" s="70" t="s">
        <v>178</v>
      </c>
      <c r="H24" s="47">
        <f>+C47</f>
        <v>4800</v>
      </c>
      <c r="I24" s="47">
        <f>+D47</f>
        <v>4800</v>
      </c>
      <c r="J24" s="47">
        <f>+E47</f>
        <v>4800</v>
      </c>
      <c r="K24" s="47">
        <f>+F47</f>
        <v>4800</v>
      </c>
      <c r="L24" s="66">
        <f>+G47</f>
        <v>4800</v>
      </c>
    </row>
    <row r="25" spans="7:12" ht="15">
      <c r="G25" s="71" t="s">
        <v>152</v>
      </c>
      <c r="H25" s="67">
        <f>+C42</f>
        <v>156666.22918127262</v>
      </c>
      <c r="I25" s="67">
        <f>+D42</f>
        <v>170969.85590552283</v>
      </c>
      <c r="J25" s="67">
        <f>+E42</f>
        <v>186579.40374969709</v>
      </c>
      <c r="K25" s="67">
        <f>+F42</f>
        <v>203614.10331204435</v>
      </c>
      <c r="L25" s="68">
        <f>+G42</f>
        <v>222204.07094443406</v>
      </c>
    </row>
    <row r="26" ht="15">
      <c r="A26" s="52" t="s">
        <v>143</v>
      </c>
    </row>
    <row r="28" spans="1:7" ht="30" customHeight="1">
      <c r="A28" s="9" t="s">
        <v>125</v>
      </c>
      <c r="B28" s="9" t="s">
        <v>1</v>
      </c>
      <c r="C28" s="42" t="s">
        <v>179</v>
      </c>
      <c r="D28" s="42" t="s">
        <v>144</v>
      </c>
      <c r="E28" s="4"/>
      <c r="G28">
        <v>3.94</v>
      </c>
    </row>
    <row r="29" spans="1:7" ht="15">
      <c r="A29" s="36" t="s">
        <v>141</v>
      </c>
      <c r="B29" s="36">
        <v>4</v>
      </c>
      <c r="C29" s="45">
        <f>+RRHH!C9</f>
        <v>450</v>
      </c>
      <c r="D29" s="50">
        <f>+C29*B29</f>
        <v>1800</v>
      </c>
      <c r="G29">
        <f>7-G28</f>
        <v>3.06</v>
      </c>
    </row>
    <row r="30" spans="1:6" ht="15">
      <c r="A30" s="6"/>
      <c r="B30" s="6"/>
      <c r="C30" s="6"/>
      <c r="D30" s="6"/>
      <c r="E30" s="15"/>
      <c r="F30" s="43"/>
    </row>
    <row r="31" spans="1:7" ht="45">
      <c r="A31" s="48" t="s">
        <v>132</v>
      </c>
      <c r="B31" s="13" t="s">
        <v>133</v>
      </c>
      <c r="C31" s="13" t="s">
        <v>134</v>
      </c>
      <c r="D31" s="13" t="s">
        <v>135</v>
      </c>
      <c r="E31" s="53" t="s">
        <v>136</v>
      </c>
      <c r="F31" s="43"/>
      <c r="G31">
        <f>+G29/G28</f>
        <v>0.7766497461928934</v>
      </c>
    </row>
    <row r="32" spans="1:6" ht="15">
      <c r="A32" s="36">
        <v>1</v>
      </c>
      <c r="B32" s="40">
        <f>+'Determ de los ingresos'!P9</f>
        <v>74538.94350454511</v>
      </c>
      <c r="C32" s="36">
        <v>4</v>
      </c>
      <c r="D32" s="50">
        <f>(C32*$C$29)/B32</f>
        <v>0.024148450667136737</v>
      </c>
      <c r="E32" s="50">
        <f>+B32*C32*D32</f>
        <v>7199.999999999999</v>
      </c>
      <c r="F32" s="43"/>
    </row>
    <row r="33" spans="1:6" ht="15">
      <c r="A33" s="36">
        <v>2</v>
      </c>
      <c r="B33" s="40">
        <f>+'Determ de los ingresos'!P10</f>
        <v>102119.49784749236</v>
      </c>
      <c r="C33" s="36">
        <v>5</v>
      </c>
      <c r="D33" s="50">
        <f>(C33*$C$29)/B33</f>
        <v>0.022033010810141297</v>
      </c>
      <c r="E33" s="50">
        <f>+B33*C33*D33</f>
        <v>11250</v>
      </c>
      <c r="F33" s="43"/>
    </row>
    <row r="34" spans="1:7" ht="15">
      <c r="A34" s="36">
        <v>3</v>
      </c>
      <c r="B34" s="40">
        <f>+'Determ de los ingresos'!P11</f>
        <v>129795.05009421529</v>
      </c>
      <c r="C34" s="36">
        <v>6</v>
      </c>
      <c r="D34" s="50">
        <f>(C34*$C$29)/B34</f>
        <v>0.02080202594814002</v>
      </c>
      <c r="E34" s="50">
        <f>+B34*C34*D34</f>
        <v>16200</v>
      </c>
      <c r="F34" s="43"/>
      <c r="G34" s="127">
        <f>+B32/C32</f>
        <v>18634.735876136278</v>
      </c>
    </row>
    <row r="35" spans="1:8" ht="15">
      <c r="A35" s="44">
        <v>4</v>
      </c>
      <c r="B35" s="40">
        <f>+'Determ de los ingresos'!P12</f>
        <v>174019.0517258011</v>
      </c>
      <c r="C35" s="44">
        <v>7</v>
      </c>
      <c r="D35" s="50">
        <f>(C35*$C$29)/B35</f>
        <v>0.018101466297859168</v>
      </c>
      <c r="E35" s="50">
        <f>+B35*C35*D35</f>
        <v>22050</v>
      </c>
      <c r="F35" s="43"/>
      <c r="G35" s="38">
        <f>+B33-B32</f>
        <v>27580.554342947245</v>
      </c>
      <c r="H35" s="128">
        <f>+G35/G34</f>
        <v>1.4800614576065454</v>
      </c>
    </row>
    <row r="36" spans="1:6" ht="15">
      <c r="A36" s="44">
        <v>5</v>
      </c>
      <c r="B36" s="40">
        <f>+'Determ de los ingresos'!P13</f>
        <v>230161.55450453953</v>
      </c>
      <c r="C36" s="44">
        <v>8</v>
      </c>
      <c r="D36" s="50">
        <f>(C36*$C$29)/B36</f>
        <v>0.01564118737271127</v>
      </c>
      <c r="E36" s="50">
        <f>+B36*C36*D36</f>
        <v>28800</v>
      </c>
      <c r="F36" s="43"/>
    </row>
    <row r="37" spans="1:8" ht="15">
      <c r="A37" s="6"/>
      <c r="B37" s="6"/>
      <c r="C37" s="6"/>
      <c r="D37" s="6"/>
      <c r="E37" s="15"/>
      <c r="F37" s="43"/>
      <c r="G37" s="38">
        <f>+B34-B33</f>
        <v>27675.55224672293</v>
      </c>
      <c r="H37" s="128">
        <f>+G37/G34</f>
        <v>1.4851593513683423</v>
      </c>
    </row>
    <row r="38" spans="1:6" ht="15">
      <c r="A38" s="54" t="s">
        <v>145</v>
      </c>
      <c r="B38" s="6"/>
      <c r="C38" s="6"/>
      <c r="D38" s="6"/>
      <c r="E38" s="15"/>
      <c r="F38" s="43"/>
    </row>
    <row r="39" spans="1:6" ht="15">
      <c r="A39" s="54"/>
      <c r="B39" s="6"/>
      <c r="C39" s="6"/>
      <c r="D39" s="6"/>
      <c r="E39" s="15"/>
      <c r="F39" s="43"/>
    </row>
    <row r="40" spans="1:7" ht="30">
      <c r="A40" s="55" t="s">
        <v>125</v>
      </c>
      <c r="B40" s="42" t="s">
        <v>146</v>
      </c>
      <c r="C40" s="42" t="s">
        <v>147</v>
      </c>
      <c r="D40" s="42" t="s">
        <v>148</v>
      </c>
      <c r="E40" s="42" t="s">
        <v>149</v>
      </c>
      <c r="F40" s="42" t="s">
        <v>150</v>
      </c>
      <c r="G40" s="42" t="s">
        <v>151</v>
      </c>
    </row>
    <row r="41" spans="1:7" ht="15">
      <c r="A41" s="7" t="s">
        <v>152</v>
      </c>
      <c r="B41" s="11">
        <f>+RRHH!D11-RRHH!$D$7</f>
        <v>9400</v>
      </c>
      <c r="C41" s="8">
        <f>+SUM(RRHH!B43:B51)-RRHH!B50</f>
        <v>156666.22918127262</v>
      </c>
      <c r="D41" s="8">
        <f>+SUM(RRHH!C43:C51)-RRHH!C50</f>
        <v>170969.85590552283</v>
      </c>
      <c r="E41" s="8">
        <f>+SUM(RRHH!D43:D51)-RRHH!D50</f>
        <v>186579.40374969709</v>
      </c>
      <c r="F41" s="8">
        <f>+SUM(RRHH!E43:E51)-RRHH!E50</f>
        <v>203614.10331204435</v>
      </c>
      <c r="G41" s="8">
        <f>+SUM(RRHH!F43:F51)-RRHH!F50</f>
        <v>222204.07094443406</v>
      </c>
    </row>
    <row r="42" spans="1:7" ht="15">
      <c r="A42" s="41" t="s">
        <v>22</v>
      </c>
      <c r="B42" s="56">
        <f aca="true" t="shared" si="1" ref="B42:G42">+SUM(B41)</f>
        <v>9400</v>
      </c>
      <c r="C42" s="56">
        <f t="shared" si="1"/>
        <v>156666.22918127262</v>
      </c>
      <c r="D42" s="56">
        <f t="shared" si="1"/>
        <v>170969.85590552283</v>
      </c>
      <c r="E42" s="56">
        <f t="shared" si="1"/>
        <v>186579.40374969709</v>
      </c>
      <c r="F42" s="56">
        <f t="shared" si="1"/>
        <v>203614.10331204435</v>
      </c>
      <c r="G42" s="56">
        <f t="shared" si="1"/>
        <v>222204.07094443406</v>
      </c>
    </row>
    <row r="43" spans="1:7" ht="15">
      <c r="A43" s="233" t="s">
        <v>153</v>
      </c>
      <c r="B43" s="234"/>
      <c r="C43" s="234"/>
      <c r="D43" s="234"/>
      <c r="E43" s="234"/>
      <c r="F43" s="234"/>
      <c r="G43" s="208"/>
    </row>
    <row r="44" spans="1:7" ht="15">
      <c r="A44" s="7" t="s">
        <v>154</v>
      </c>
      <c r="B44" s="8">
        <v>70</v>
      </c>
      <c r="C44" s="4">
        <f>+$B$44*12</f>
        <v>840</v>
      </c>
      <c r="D44" s="4">
        <f>+$B$44*12</f>
        <v>840</v>
      </c>
      <c r="E44" s="4">
        <f>+$B$44*12</f>
        <v>840</v>
      </c>
      <c r="F44" s="4">
        <f>+$B$44*12</f>
        <v>840</v>
      </c>
      <c r="G44" s="4">
        <f>+$B$44*12</f>
        <v>840</v>
      </c>
    </row>
    <row r="45" spans="1:7" ht="15">
      <c r="A45" s="7" t="s">
        <v>155</v>
      </c>
      <c r="B45" s="8">
        <v>200</v>
      </c>
      <c r="C45" s="8">
        <f>+$B$45*12</f>
        <v>2400</v>
      </c>
      <c r="D45" s="8">
        <f>+$B$45*12</f>
        <v>2400</v>
      </c>
      <c r="E45" s="8">
        <f>+$B$45*12</f>
        <v>2400</v>
      </c>
      <c r="F45" s="8">
        <f>+$B$45*12</f>
        <v>2400</v>
      </c>
      <c r="G45" s="8">
        <f>+$B$45*12</f>
        <v>2400</v>
      </c>
    </row>
    <row r="46" spans="1:7" ht="15">
      <c r="A46" s="7" t="s">
        <v>156</v>
      </c>
      <c r="B46" s="8">
        <v>130</v>
      </c>
      <c r="C46" s="8">
        <f>+$B$46*12</f>
        <v>1560</v>
      </c>
      <c r="D46" s="8">
        <f>+$B$46*12</f>
        <v>1560</v>
      </c>
      <c r="E46" s="8">
        <f>+$B$46*12</f>
        <v>1560</v>
      </c>
      <c r="F46" s="8">
        <f>+$B$46*12</f>
        <v>1560</v>
      </c>
      <c r="G46" s="8">
        <f>+$B$46*12</f>
        <v>1560</v>
      </c>
    </row>
    <row r="47" spans="1:7" ht="15">
      <c r="A47" s="57" t="s">
        <v>22</v>
      </c>
      <c r="B47" s="57">
        <f aca="true" t="shared" si="2" ref="B47:G47">+SUM(B44:B46)</f>
        <v>400</v>
      </c>
      <c r="C47" s="57">
        <f t="shared" si="2"/>
        <v>4800</v>
      </c>
      <c r="D47" s="57">
        <f t="shared" si="2"/>
        <v>4800</v>
      </c>
      <c r="E47" s="57">
        <f t="shared" si="2"/>
        <v>4800</v>
      </c>
      <c r="F47" s="57">
        <f t="shared" si="2"/>
        <v>4800</v>
      </c>
      <c r="G47" s="57">
        <f t="shared" si="2"/>
        <v>4800</v>
      </c>
    </row>
    <row r="48" spans="1:7" ht="15">
      <c r="A48" s="7"/>
      <c r="B48" s="7"/>
      <c r="C48" s="7"/>
      <c r="D48" s="7"/>
      <c r="E48" s="7"/>
      <c r="F48" s="7"/>
      <c r="G48" s="7"/>
    </row>
    <row r="49" spans="1:7" ht="15">
      <c r="A49" s="10" t="s">
        <v>158</v>
      </c>
      <c r="B49" s="11"/>
      <c r="C49" s="11">
        <f>+C42+C47</f>
        <v>161466.22918127262</v>
      </c>
      <c r="D49" s="11">
        <f>+D42+D47</f>
        <v>175769.85590552283</v>
      </c>
      <c r="E49" s="11">
        <f>+E42+E47</f>
        <v>191379.40374969709</v>
      </c>
      <c r="F49" s="11">
        <f>+F42+F47</f>
        <v>208414.10331204435</v>
      </c>
      <c r="G49" s="11">
        <f>+G42+G47</f>
        <v>227004.07094443406</v>
      </c>
    </row>
    <row r="51" spans="1:4" ht="45">
      <c r="A51" s="9" t="s">
        <v>132</v>
      </c>
      <c r="B51" s="13" t="s">
        <v>157</v>
      </c>
      <c r="C51" s="13" t="s">
        <v>164</v>
      </c>
      <c r="D51" s="13" t="s">
        <v>163</v>
      </c>
    </row>
    <row r="52" spans="1:4" ht="15">
      <c r="A52" s="9">
        <v>1</v>
      </c>
      <c r="B52" s="46">
        <f>+B32</f>
        <v>74538.94350454511</v>
      </c>
      <c r="C52" s="47">
        <f>+C49/B52</f>
        <v>2.166199594329198</v>
      </c>
      <c r="D52" s="47">
        <f>+B52*C52</f>
        <v>161466.22918127262</v>
      </c>
    </row>
    <row r="53" spans="1:4" ht="15">
      <c r="A53" s="9">
        <v>2</v>
      </c>
      <c r="B53" s="46">
        <f>+B33</f>
        <v>102119.49784749236</v>
      </c>
      <c r="C53" s="47">
        <f>+D49/B53</f>
        <v>1.7212173934503834</v>
      </c>
      <c r="D53" s="47">
        <f>+B53*C53</f>
        <v>175769.85590552283</v>
      </c>
    </row>
    <row r="54" spans="1:4" ht="15">
      <c r="A54" s="9">
        <v>3</v>
      </c>
      <c r="B54" s="46">
        <f>+B34</f>
        <v>129795.05009421529</v>
      </c>
      <c r="C54" s="47">
        <f>+E49/B54</f>
        <v>1.47447382323732</v>
      </c>
      <c r="D54" s="47">
        <f>+B54*C54</f>
        <v>191379.40374969709</v>
      </c>
    </row>
    <row r="55" spans="1:4" ht="15">
      <c r="A55" s="9">
        <v>4</v>
      </c>
      <c r="B55" s="46">
        <f>+B35</f>
        <v>174019.0517258011</v>
      </c>
      <c r="C55" s="47">
        <f>F49/B55</f>
        <v>1.1976510689211142</v>
      </c>
      <c r="D55" s="47">
        <f>+B55*C55</f>
        <v>208414.10331204435</v>
      </c>
    </row>
    <row r="56" spans="1:4" ht="15">
      <c r="A56" s="9">
        <v>5</v>
      </c>
      <c r="B56" s="46">
        <f>+B36</f>
        <v>230161.55450453953</v>
      </c>
      <c r="C56" s="47">
        <f>G49/B56</f>
        <v>0.9862814466694819</v>
      </c>
      <c r="D56" s="47">
        <f>+B56*C56</f>
        <v>227004.07094443406</v>
      </c>
    </row>
    <row r="59" ht="15">
      <c r="A59" s="58" t="s">
        <v>165</v>
      </c>
    </row>
    <row r="61" spans="1:7" ht="45">
      <c r="A61" s="149" t="s">
        <v>132</v>
      </c>
      <c r="B61" s="149" t="s">
        <v>166</v>
      </c>
      <c r="C61" s="203" t="s">
        <v>167</v>
      </c>
      <c r="D61" s="203" t="s">
        <v>168</v>
      </c>
      <c r="E61" s="203" t="s">
        <v>169</v>
      </c>
      <c r="F61" s="203" t="s">
        <v>157</v>
      </c>
      <c r="G61" s="203" t="s">
        <v>170</v>
      </c>
    </row>
    <row r="62" spans="1:9" ht="15">
      <c r="A62" s="9">
        <v>1</v>
      </c>
      <c r="B62" s="47">
        <f>+$B$24</f>
        <v>2.333</v>
      </c>
      <c r="C62" s="47">
        <f>D32</f>
        <v>0.024148450667136737</v>
      </c>
      <c r="D62" s="47">
        <f>+C52</f>
        <v>2.166199594329198</v>
      </c>
      <c r="E62" s="47">
        <f>+SUM(B62:D62)*(1+6.13%)</f>
        <v>4.8006292801546095</v>
      </c>
      <c r="F62" s="46">
        <f>+B52</f>
        <v>74538.94350454511</v>
      </c>
      <c r="G62" s="8">
        <f>+E62*F62</f>
        <v>357833.8346997095</v>
      </c>
      <c r="H62" s="23"/>
      <c r="I62" s="96"/>
    </row>
    <row r="63" spans="1:8" ht="15">
      <c r="A63" s="9">
        <v>2</v>
      </c>
      <c r="B63" s="47">
        <f>+$B$24</f>
        <v>2.333</v>
      </c>
      <c r="C63" s="47">
        <f>+D33*(1+RRHH!B40)</f>
        <v>0.024044624697107195</v>
      </c>
      <c r="D63" s="47">
        <f>+C53</f>
        <v>1.7212173934503834</v>
      </c>
      <c r="E63" s="47">
        <f>+SUM(B63:D63)*(1+6.13%)</f>
        <v>4.328259479859932</v>
      </c>
      <c r="F63" s="46">
        <f>+B53</f>
        <v>102119.49784749236</v>
      </c>
      <c r="G63" s="8">
        <f>+E63*F63</f>
        <v>441999.68463694473</v>
      </c>
      <c r="H63" s="23"/>
    </row>
    <row r="64" spans="1:8" ht="15">
      <c r="A64" s="9">
        <v>3</v>
      </c>
      <c r="B64" s="47">
        <f>+$B$24</f>
        <v>2.333</v>
      </c>
      <c r="C64" s="47">
        <f>+D34*(1+RRHH!$B$40)</f>
        <v>0.022701250917205203</v>
      </c>
      <c r="D64" s="47">
        <f>+C54</f>
        <v>1.47447382323732</v>
      </c>
      <c r="E64" s="47">
        <f>+SUM(B64:D64)*(1+6.13%)</f>
        <v>4.064964806200198</v>
      </c>
      <c r="F64" s="46">
        <f>+B54</f>
        <v>129795.05009421529</v>
      </c>
      <c r="G64" s="8">
        <f>+E64*F64</f>
        <v>527612.3106519768</v>
      </c>
      <c r="H64" s="23"/>
    </row>
    <row r="65" spans="1:8" ht="15">
      <c r="A65" s="9">
        <v>4</v>
      </c>
      <c r="B65" s="47">
        <f>+$B$24</f>
        <v>2.333</v>
      </c>
      <c r="C65" s="47">
        <f>+D35*(1+RRHH!$B$40)</f>
        <v>0.019754130170853708</v>
      </c>
      <c r="D65" s="47">
        <f>+C55</f>
        <v>1.1976510689211142</v>
      </c>
      <c r="E65" s="47">
        <f>+SUM(B65:D65)*(1+6.13%)</f>
        <v>3.7680450377963055</v>
      </c>
      <c r="F65" s="46">
        <f>+B55</f>
        <v>174019.0517258011</v>
      </c>
      <c r="G65" s="8">
        <f>+E65*F65</f>
        <v>655711.6243374235</v>
      </c>
      <c r="H65" s="23"/>
    </row>
    <row r="66" spans="1:8" ht="15.75" thickBot="1">
      <c r="A66" s="199">
        <v>5</v>
      </c>
      <c r="B66" s="200">
        <f>+$B$24</f>
        <v>2.333</v>
      </c>
      <c r="C66" s="200">
        <f>+D36*(1+RRHH!$B$40)</f>
        <v>0.017069227779839807</v>
      </c>
      <c r="D66" s="200">
        <f>+C56</f>
        <v>0.9862814466694819</v>
      </c>
      <c r="E66" s="200">
        <f>+SUM(B66:D66)*(1+6.13%)</f>
        <v>3.5408689707930647</v>
      </c>
      <c r="F66" s="201">
        <f>+B56</f>
        <v>230161.55450453953</v>
      </c>
      <c r="G66" s="202">
        <f>+E66*F66</f>
        <v>814971.9066146207</v>
      </c>
      <c r="H66" s="23"/>
    </row>
    <row r="67" ht="15.75" thickTop="1"/>
  </sheetData>
  <sheetProtection/>
  <mergeCells count="1">
    <mergeCell ref="A43:G43"/>
  </mergeCell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2:N34"/>
  <sheetViews>
    <sheetView zoomScalePageLayoutView="0" workbookViewId="0" topLeftCell="A5">
      <selection activeCell="A17" sqref="A17"/>
    </sheetView>
  </sheetViews>
  <sheetFormatPr defaultColWidth="11.421875" defaultRowHeight="15"/>
  <cols>
    <col min="1" max="1" width="20.8515625" style="0" customWidth="1"/>
    <col min="2" max="2" width="14.140625" style="0" bestFit="1" customWidth="1"/>
    <col min="3" max="6" width="13.140625" style="0" bestFit="1" customWidth="1"/>
    <col min="7" max="7" width="14.00390625" style="0" bestFit="1" customWidth="1"/>
    <col min="8" max="10" width="13.140625" style="0" bestFit="1" customWidth="1"/>
    <col min="11" max="12" width="14.00390625" style="0" bestFit="1" customWidth="1"/>
    <col min="13" max="13" width="13.140625" style="0" bestFit="1" customWidth="1"/>
    <col min="14" max="14" width="13.00390625" style="0" bestFit="1" customWidth="1"/>
  </cols>
  <sheetData>
    <row r="2" spans="1:13" ht="15">
      <c r="A2" s="7"/>
      <c r="B2" s="7" t="s">
        <v>189</v>
      </c>
      <c r="C2" s="7" t="s">
        <v>190</v>
      </c>
      <c r="D2" s="7" t="s">
        <v>191</v>
      </c>
      <c r="E2" s="7" t="s">
        <v>192</v>
      </c>
      <c r="F2" s="7" t="s">
        <v>193</v>
      </c>
      <c r="G2" s="7" t="s">
        <v>194</v>
      </c>
      <c r="H2" s="7" t="s">
        <v>195</v>
      </c>
      <c r="I2" s="7" t="s">
        <v>196</v>
      </c>
      <c r="J2" s="7" t="s">
        <v>197</v>
      </c>
      <c r="K2" s="7" t="s">
        <v>198</v>
      </c>
      <c r="L2" s="7" t="s">
        <v>199</v>
      </c>
      <c r="M2" s="7" t="s">
        <v>200</v>
      </c>
    </row>
    <row r="3" spans="1:13" ht="15">
      <c r="A3" s="7" t="s">
        <v>129</v>
      </c>
      <c r="B3" s="11">
        <f>+'Determ de costo  y gastos'!$G$17</f>
        <v>7</v>
      </c>
      <c r="C3" s="11">
        <f>+'Determ de costo  y gastos'!$G$17</f>
        <v>7</v>
      </c>
      <c r="D3" s="11">
        <f>+'Determ de costo  y gastos'!$G$17</f>
        <v>7</v>
      </c>
      <c r="E3" s="11">
        <f>+'Determ de costo  y gastos'!$G$17</f>
        <v>7</v>
      </c>
      <c r="F3" s="11">
        <f>+'Determ de costo  y gastos'!$G$17</f>
        <v>7</v>
      </c>
      <c r="G3" s="11">
        <f>+'Determ de costo  y gastos'!$G$17</f>
        <v>7</v>
      </c>
      <c r="H3" s="11">
        <f>+'Determ de costo  y gastos'!$G$17</f>
        <v>7</v>
      </c>
      <c r="I3" s="11">
        <f>+'Determ de costo  y gastos'!$G$17</f>
        <v>7</v>
      </c>
      <c r="J3" s="11">
        <f>+'Determ de costo  y gastos'!$G$17</f>
        <v>7</v>
      </c>
      <c r="K3" s="11">
        <f>+'Determ de costo  y gastos'!$G$17</f>
        <v>7</v>
      </c>
      <c r="L3" s="11">
        <f>+'Determ de costo  y gastos'!$G$17</f>
        <v>7</v>
      </c>
      <c r="M3" s="11">
        <f>+'Determ de costo  y gastos'!$G$17</f>
        <v>7</v>
      </c>
    </row>
    <row r="4" spans="1:13" ht="15">
      <c r="A4" s="7" t="s">
        <v>201</v>
      </c>
      <c r="B4" s="37">
        <f>+'Determ de los ingresos'!B18</f>
        <v>5300</v>
      </c>
      <c r="C4" s="37">
        <f>+'Determ de los ingresos'!C18</f>
        <v>5406</v>
      </c>
      <c r="D4" s="37">
        <f>+'Determ de los ingresos'!D18</f>
        <v>5568.179999999999</v>
      </c>
      <c r="E4" s="37">
        <f>+'Determ de los ingresos'!E18</f>
        <v>5735.2254</v>
      </c>
      <c r="F4" s="37">
        <f>+'Determ de los ingresos'!F18</f>
        <v>5907.282162000001</v>
      </c>
      <c r="G4" s="37">
        <f>+'Determ de los ingresos'!G18</f>
        <v>6084.500626860001</v>
      </c>
      <c r="H4" s="37">
        <f>+'Determ de los ingresos'!H18</f>
        <v>6267.035645665801</v>
      </c>
      <c r="I4" s="37">
        <f>+'Determ de los ingresos'!I18</f>
        <v>6455.0467150357745</v>
      </c>
      <c r="J4" s="37">
        <f>+'Determ de los ingresos'!J18</f>
        <v>6648.698116486848</v>
      </c>
      <c r="K4" s="37">
        <f>+'Determ de los ingresos'!K18</f>
        <v>6848.1590599814535</v>
      </c>
      <c r="L4" s="37">
        <f>+'Determ de los ingresos'!L18</f>
        <v>7053.603831780898</v>
      </c>
      <c r="M4" s="37">
        <f>+'Determ de los ingresos'!M18</f>
        <v>7265.2119467343255</v>
      </c>
    </row>
    <row r="5" spans="1:13" ht="15">
      <c r="A5" s="7" t="s">
        <v>202</v>
      </c>
      <c r="B5" s="11">
        <f>+B4*B3</f>
        <v>37100</v>
      </c>
      <c r="C5" s="11">
        <f aca="true" t="shared" si="0" ref="C5:M5">+C4*C3</f>
        <v>37842</v>
      </c>
      <c r="D5" s="11">
        <f t="shared" si="0"/>
        <v>38977.259999999995</v>
      </c>
      <c r="E5" s="11">
        <f t="shared" si="0"/>
        <v>40146.5778</v>
      </c>
      <c r="F5" s="11">
        <f t="shared" si="0"/>
        <v>41350.97513400001</v>
      </c>
      <c r="G5" s="11">
        <f t="shared" si="0"/>
        <v>42591.50438802001</v>
      </c>
      <c r="H5" s="11">
        <f t="shared" si="0"/>
        <v>43869.2495196606</v>
      </c>
      <c r="I5" s="11">
        <f t="shared" si="0"/>
        <v>45185.32700525042</v>
      </c>
      <c r="J5" s="11">
        <f t="shared" si="0"/>
        <v>46540.88681540794</v>
      </c>
      <c r="K5" s="11">
        <f t="shared" si="0"/>
        <v>47937.11341987018</v>
      </c>
      <c r="L5" s="11">
        <f t="shared" si="0"/>
        <v>49375.226822466284</v>
      </c>
      <c r="M5" s="11">
        <f t="shared" si="0"/>
        <v>50856.483627140275</v>
      </c>
    </row>
    <row r="8" ht="15">
      <c r="A8" s="52" t="s">
        <v>186</v>
      </c>
    </row>
    <row r="9" ht="15">
      <c r="A9" t="s">
        <v>206</v>
      </c>
    </row>
    <row r="11" ht="15">
      <c r="A11" s="52" t="s">
        <v>187</v>
      </c>
    </row>
    <row r="12" spans="1:13" ht="15">
      <c r="A12" s="9" t="s">
        <v>188</v>
      </c>
      <c r="B12" s="51">
        <f>+B5*80%</f>
        <v>29680</v>
      </c>
      <c r="C12" s="51">
        <f aca="true" t="shared" si="1" ref="C12:M12">+C5*80%</f>
        <v>30273.600000000002</v>
      </c>
      <c r="D12" s="51">
        <f t="shared" si="1"/>
        <v>31181.807999999997</v>
      </c>
      <c r="E12" s="51">
        <f t="shared" si="1"/>
        <v>32117.26224</v>
      </c>
      <c r="F12" s="51">
        <f t="shared" si="1"/>
        <v>33080.78010720001</v>
      </c>
      <c r="G12" s="51">
        <f t="shared" si="1"/>
        <v>34073.20351041601</v>
      </c>
      <c r="H12" s="51">
        <f t="shared" si="1"/>
        <v>35095.399615728486</v>
      </c>
      <c r="I12" s="51">
        <f t="shared" si="1"/>
        <v>36148.26160420034</v>
      </c>
      <c r="J12" s="51">
        <f t="shared" si="1"/>
        <v>37232.70945232635</v>
      </c>
      <c r="K12" s="51">
        <f t="shared" si="1"/>
        <v>38349.69073589614</v>
      </c>
      <c r="L12" s="51">
        <f t="shared" si="1"/>
        <v>39500.18145797303</v>
      </c>
      <c r="M12" s="51">
        <f t="shared" si="1"/>
        <v>40685.18690171222</v>
      </c>
    </row>
    <row r="13" spans="1:13" ht="15">
      <c r="A13" s="9" t="s">
        <v>203</v>
      </c>
      <c r="B13" s="9"/>
      <c r="C13" s="47">
        <f>+B5-B12</f>
        <v>7420</v>
      </c>
      <c r="D13" s="47">
        <f aca="true" t="shared" si="2" ref="D13:M13">+C5-C12</f>
        <v>7568.399999999998</v>
      </c>
      <c r="E13" s="47">
        <f t="shared" si="2"/>
        <v>7795.4519999999975</v>
      </c>
      <c r="F13" s="47">
        <f t="shared" si="2"/>
        <v>8029.315559999999</v>
      </c>
      <c r="G13" s="47">
        <f t="shared" si="2"/>
        <v>8270.1950268</v>
      </c>
      <c r="H13" s="47">
        <f t="shared" si="2"/>
        <v>8518.300877604</v>
      </c>
      <c r="I13" s="47">
        <f t="shared" si="2"/>
        <v>8773.849903932118</v>
      </c>
      <c r="J13" s="47">
        <f t="shared" si="2"/>
        <v>9037.06540105008</v>
      </c>
      <c r="K13" s="47">
        <f t="shared" si="2"/>
        <v>9308.177363081588</v>
      </c>
      <c r="L13" s="47">
        <f t="shared" si="2"/>
        <v>9587.422683974037</v>
      </c>
      <c r="M13" s="3">
        <f t="shared" si="2"/>
        <v>9875.045364493257</v>
      </c>
    </row>
    <row r="14" spans="1:13" ht="15">
      <c r="A14" s="7" t="s">
        <v>22</v>
      </c>
      <c r="B14" s="11">
        <f>+SUM(B12:B13)</f>
        <v>29680</v>
      </c>
      <c r="C14" s="11">
        <f>+SUM(C12:C13)</f>
        <v>37693.600000000006</v>
      </c>
      <c r="D14" s="11">
        <f>+SUM(D12:D13)</f>
        <v>38750.208</v>
      </c>
      <c r="E14" s="11">
        <f aca="true" t="shared" si="3" ref="E14:L14">+SUM(E12:E13)</f>
        <v>39912.71424</v>
      </c>
      <c r="F14" s="11">
        <f t="shared" si="3"/>
        <v>41110.0956672</v>
      </c>
      <c r="G14" s="11">
        <f t="shared" si="3"/>
        <v>42343.39853721601</v>
      </c>
      <c r="H14" s="11">
        <f t="shared" si="3"/>
        <v>43613.700493332486</v>
      </c>
      <c r="I14" s="11">
        <f t="shared" si="3"/>
        <v>44922.11150813246</v>
      </c>
      <c r="J14" s="11">
        <f t="shared" si="3"/>
        <v>46269.77485337643</v>
      </c>
      <c r="K14" s="11">
        <f t="shared" si="3"/>
        <v>47657.86809897773</v>
      </c>
      <c r="L14" s="11">
        <f t="shared" si="3"/>
        <v>49087.604141947064</v>
      </c>
      <c r="M14" s="11">
        <f>+SUM(M12:M13)</f>
        <v>50560.23226620548</v>
      </c>
    </row>
    <row r="16" ht="15">
      <c r="B16" s="3"/>
    </row>
    <row r="17" spans="1:13" ht="15">
      <c r="A17" s="8"/>
      <c r="B17" s="8" t="s">
        <v>189</v>
      </c>
      <c r="C17" s="8" t="s">
        <v>190</v>
      </c>
      <c r="D17" s="8" t="s">
        <v>191</v>
      </c>
      <c r="E17" s="8" t="s">
        <v>192</v>
      </c>
      <c r="F17" s="8" t="s">
        <v>193</v>
      </c>
      <c r="G17" s="8" t="s">
        <v>194</v>
      </c>
      <c r="H17" s="8" t="s">
        <v>195</v>
      </c>
      <c r="I17" s="8" t="s">
        <v>196</v>
      </c>
      <c r="J17" s="8" t="s">
        <v>197</v>
      </c>
      <c r="K17" s="8" t="s">
        <v>198</v>
      </c>
      <c r="L17" s="8" t="s">
        <v>199</v>
      </c>
      <c r="M17" s="8" t="s">
        <v>200</v>
      </c>
    </row>
    <row r="18" spans="1:13" ht="15">
      <c r="A18" s="8" t="s">
        <v>205</v>
      </c>
      <c r="B18" s="8">
        <f>+'Determ de costo  y gastos'!$B$24*B4</f>
        <v>12364.900000000001</v>
      </c>
      <c r="C18" s="8">
        <f>+'Determ de costo  y gastos'!$B$24*C4</f>
        <v>12612.198</v>
      </c>
      <c r="D18" s="8">
        <f>+'Determ de costo  y gastos'!$B$24*D4</f>
        <v>12990.56394</v>
      </c>
      <c r="E18" s="8">
        <f>+'Determ de costo  y gastos'!$B$24*E4</f>
        <v>13380.280858200002</v>
      </c>
      <c r="F18" s="8">
        <f>+'Determ de costo  y gastos'!$B$24*F4</f>
        <v>13781.689283946003</v>
      </c>
      <c r="G18" s="8">
        <f>+'Determ de costo  y gastos'!$B$24*G4</f>
        <v>14195.139962464384</v>
      </c>
      <c r="H18" s="8">
        <f>+'Determ de costo  y gastos'!$B$24*H4</f>
        <v>14620.994161338314</v>
      </c>
      <c r="I18" s="8">
        <f>+'Determ de costo  y gastos'!$B$24*I4</f>
        <v>15059.623986178463</v>
      </c>
      <c r="J18" s="8">
        <f>+'Determ de costo  y gastos'!$B$24*J4</f>
        <v>15511.412705763818</v>
      </c>
      <c r="K18" s="8">
        <f>+'Determ de costo  y gastos'!$B$24*K4</f>
        <v>15976.755086936733</v>
      </c>
      <c r="L18" s="8">
        <f>+'Determ de costo  y gastos'!$B$24*L4</f>
        <v>16456.057739544834</v>
      </c>
      <c r="M18" s="8">
        <f>+'Determ de costo  y gastos'!$B$24*M4</f>
        <v>16949.739471731184</v>
      </c>
    </row>
    <row r="19" spans="1:13" ht="15">
      <c r="A19" s="8" t="s">
        <v>177</v>
      </c>
      <c r="B19" s="8">
        <f>+'Determ de costo  y gastos'!$D$29</f>
        <v>1800</v>
      </c>
      <c r="C19" s="8">
        <f>+'Determ de costo  y gastos'!$D$29</f>
        <v>1800</v>
      </c>
      <c r="D19" s="8">
        <f>+'Determ de costo  y gastos'!$D$29</f>
        <v>1800</v>
      </c>
      <c r="E19" s="8">
        <f>+'Determ de costo  y gastos'!$D$29</f>
        <v>1800</v>
      </c>
      <c r="F19" s="8">
        <f>+'Determ de costo  y gastos'!$D$29</f>
        <v>1800</v>
      </c>
      <c r="G19" s="8">
        <f>+'Determ de costo  y gastos'!$D$29</f>
        <v>1800</v>
      </c>
      <c r="H19" s="8">
        <f>+'Determ de costo  y gastos'!$D$29</f>
        <v>1800</v>
      </c>
      <c r="I19" s="8">
        <f>+'Determ de costo  y gastos'!$D$29</f>
        <v>1800</v>
      </c>
      <c r="J19" s="8">
        <f>+'Determ de costo  y gastos'!$D$29</f>
        <v>1800</v>
      </c>
      <c r="K19" s="8">
        <f>+'Determ de costo  y gastos'!$D$29</f>
        <v>1800</v>
      </c>
      <c r="L19" s="8">
        <f>+'Determ de costo  y gastos'!$D$29</f>
        <v>1800</v>
      </c>
      <c r="M19" s="8">
        <f>+'Determ de costo  y gastos'!$D$29</f>
        <v>1800</v>
      </c>
    </row>
    <row r="20" spans="1:13" ht="15">
      <c r="A20" s="8" t="s">
        <v>225</v>
      </c>
      <c r="B20" s="8">
        <f>+RRHH!$D$11-RRHH!$D$9</f>
        <v>8950</v>
      </c>
      <c r="C20" s="8">
        <f>+RRHH!$D$11-RRHH!$D$9</f>
        <v>8950</v>
      </c>
      <c r="D20" s="8">
        <f>+RRHH!$D$11-RRHH!$D$9</f>
        <v>8950</v>
      </c>
      <c r="E20" s="8">
        <f>+RRHH!$D$11-RRHH!$D$9</f>
        <v>8950</v>
      </c>
      <c r="F20" s="8">
        <f>+RRHH!$D$11-RRHH!$D$9</f>
        <v>8950</v>
      </c>
      <c r="G20" s="8">
        <f>+RRHH!$D$11-RRHH!$D$9</f>
        <v>8950</v>
      </c>
      <c r="H20" s="8">
        <f>+RRHH!$D$11-RRHH!$D$9</f>
        <v>8950</v>
      </c>
      <c r="I20" s="8">
        <f>+RRHH!$D$11-RRHH!$D$9</f>
        <v>8950</v>
      </c>
      <c r="J20" s="8">
        <f>+RRHH!$D$11-RRHH!$D$9</f>
        <v>8950</v>
      </c>
      <c r="K20" s="8">
        <f>+RRHH!$D$11-RRHH!$D$9</f>
        <v>8950</v>
      </c>
      <c r="L20" s="8">
        <f>+RRHH!$D$11-RRHH!$D$9</f>
        <v>8950</v>
      </c>
      <c r="M20" s="8">
        <f>+RRHH!$D$11-RRHH!$D$9</f>
        <v>8950</v>
      </c>
    </row>
    <row r="21" spans="1:13" ht="15">
      <c r="A21" s="8" t="s">
        <v>237</v>
      </c>
      <c r="B21" s="8">
        <f>+SUM('inversion inicial'!$B$32:$B$33)</f>
        <v>1800</v>
      </c>
      <c r="C21" s="8">
        <f>+SUM('inversion inicial'!$B$32:$B$33)</f>
        <v>1800</v>
      </c>
      <c r="D21" s="8">
        <f>+SUM('inversion inicial'!$B$32:$B$33)</f>
        <v>1800</v>
      </c>
      <c r="E21" s="8">
        <f>+SUM('inversion inicial'!$B$32:$B$33)</f>
        <v>1800</v>
      </c>
      <c r="F21" s="8">
        <f>+SUM('inversion inicial'!$B$32:$B$33)</f>
        <v>1800</v>
      </c>
      <c r="G21" s="8">
        <f>+SUM('inversion inicial'!$B$32:$B$33)</f>
        <v>1800</v>
      </c>
      <c r="H21" s="8">
        <f>+SUM('inversion inicial'!$B$32:$B$33)</f>
        <v>1800</v>
      </c>
      <c r="I21" s="8">
        <f>+SUM('inversion inicial'!$B$32:$B$33)</f>
        <v>1800</v>
      </c>
      <c r="J21" s="8">
        <f>+SUM('inversion inicial'!$B$32:$B$33)</f>
        <v>1800</v>
      </c>
      <c r="K21" s="8">
        <f>+SUM('inversion inicial'!$B$32:$B$33)</f>
        <v>1800</v>
      </c>
      <c r="L21" s="8">
        <f>+SUM('inversion inicial'!$B$32:$B$33)</f>
        <v>1800</v>
      </c>
      <c r="M21" s="8">
        <f>+SUM('inversion inicial'!$B$32:$B$33)</f>
        <v>1800</v>
      </c>
    </row>
    <row r="22" spans="1:13" ht="15">
      <c r="A22" s="8" t="s">
        <v>204</v>
      </c>
      <c r="B22" s="8">
        <f>'Determ de costo  y gastos'!$C$52*B4</f>
        <v>11480.85784994475</v>
      </c>
      <c r="C22" s="8">
        <f>'Determ de costo  y gastos'!$C$52*C4</f>
        <v>11710.475006943645</v>
      </c>
      <c r="D22" s="8">
        <f>'Determ de costo  y gastos'!$C$52*D4</f>
        <v>12061.789257151953</v>
      </c>
      <c r="E22" s="8">
        <f>'Determ de costo  y gastos'!$C$52*E4</f>
        <v>12423.642934866513</v>
      </c>
      <c r="F22" s="8">
        <f>'Determ de costo  y gastos'!$C$52*F4</f>
        <v>12796.35222291251</v>
      </c>
      <c r="G22" s="8">
        <f>'Determ de costo  y gastos'!$C$52*G4</f>
        <v>13180.242789599884</v>
      </c>
      <c r="H22" s="8">
        <f>'Determ de costo  y gastos'!$C$52*H4</f>
        <v>13575.650073287881</v>
      </c>
      <c r="I22" s="8">
        <f>'Determ de costo  y gastos'!$C$52*I4</f>
        <v>13982.919575486518</v>
      </c>
      <c r="J22" s="8">
        <f>'Determ de costo  y gastos'!$C$52*J4</f>
        <v>14402.407162751115</v>
      </c>
      <c r="K22" s="8">
        <f>'Determ de costo  y gastos'!$C$52*K4</f>
        <v>14834.479377633646</v>
      </c>
      <c r="L22" s="8">
        <f>'Determ de costo  y gastos'!$C$52*L4</f>
        <v>15279.513758962657</v>
      </c>
      <c r="M22" s="8">
        <f>'Determ de costo  y gastos'!$C$52*M4</f>
        <v>15737.899171731538</v>
      </c>
    </row>
    <row r="23" spans="1:13" ht="15">
      <c r="A23" s="8" t="str">
        <f>+'Determ de costo  y gastos'!A7</f>
        <v>Gastos de Ventas</v>
      </c>
      <c r="B23" s="72">
        <f>+'Determ de costo  y gastos'!B13</f>
        <v>1600</v>
      </c>
      <c r="C23" s="72">
        <f>+'Determ de costo  y gastos'!C13</f>
        <v>700</v>
      </c>
      <c r="D23" s="72">
        <f>+'Determ de costo  y gastos'!D13</f>
        <v>700</v>
      </c>
      <c r="E23" s="72">
        <f>+'Determ de costo  y gastos'!E13</f>
        <v>700</v>
      </c>
      <c r="F23" s="72">
        <f>+'Determ de costo  y gastos'!F13</f>
        <v>700</v>
      </c>
      <c r="G23" s="72">
        <f>+'Determ de costo  y gastos'!G13</f>
        <v>1100</v>
      </c>
      <c r="H23" s="72">
        <f>+'Determ de costo  y gastos'!H13</f>
        <v>600</v>
      </c>
      <c r="I23" s="72">
        <f>+'Determ de costo  y gastos'!I13</f>
        <v>600</v>
      </c>
      <c r="J23" s="72">
        <f>+'Determ de costo  y gastos'!J13</f>
        <v>500</v>
      </c>
      <c r="K23" s="72">
        <f>+'Determ de costo  y gastos'!K13</f>
        <v>1000</v>
      </c>
      <c r="L23" s="72">
        <f>+'Determ de costo  y gastos'!L13</f>
        <v>1000</v>
      </c>
      <c r="M23" s="72">
        <f>+'Determ de costo  y gastos'!M13</f>
        <v>6000</v>
      </c>
    </row>
    <row r="24" spans="1:13" ht="15">
      <c r="A24" s="75" t="s">
        <v>207</v>
      </c>
      <c r="B24" s="75">
        <f>+SUM(B18:B23)</f>
        <v>37995.757849944755</v>
      </c>
      <c r="C24" s="75">
        <f aca="true" t="shared" si="4" ref="C24:M24">+SUM(C18:C23)</f>
        <v>37572.673006943645</v>
      </c>
      <c r="D24" s="75">
        <f t="shared" si="4"/>
        <v>38302.353197151955</v>
      </c>
      <c r="E24" s="75">
        <f t="shared" si="4"/>
        <v>39053.92379306651</v>
      </c>
      <c r="F24" s="75">
        <f t="shared" si="4"/>
        <v>39828.04150685851</v>
      </c>
      <c r="G24" s="75">
        <f t="shared" si="4"/>
        <v>41025.382752064266</v>
      </c>
      <c r="H24" s="75">
        <f t="shared" si="4"/>
        <v>41346.64423462619</v>
      </c>
      <c r="I24" s="75">
        <f t="shared" si="4"/>
        <v>42192.54356166498</v>
      </c>
      <c r="J24" s="75">
        <f t="shared" si="4"/>
        <v>42963.81986851493</v>
      </c>
      <c r="K24" s="75">
        <f t="shared" si="4"/>
        <v>44361.23446457038</v>
      </c>
      <c r="L24" s="75">
        <f t="shared" si="4"/>
        <v>45285.57149850749</v>
      </c>
      <c r="M24" s="75">
        <f t="shared" si="4"/>
        <v>51237.63864346272</v>
      </c>
    </row>
    <row r="26" ht="15.75" thickBot="1"/>
    <row r="27" spans="1:14" ht="15">
      <c r="A27" s="173"/>
      <c r="B27" s="174" t="s">
        <v>189</v>
      </c>
      <c r="C27" s="174" t="s">
        <v>190</v>
      </c>
      <c r="D27" s="174" t="s">
        <v>191</v>
      </c>
      <c r="E27" s="174" t="s">
        <v>192</v>
      </c>
      <c r="F27" s="174" t="s">
        <v>193</v>
      </c>
      <c r="G27" s="174" t="s">
        <v>194</v>
      </c>
      <c r="H27" s="174" t="s">
        <v>195</v>
      </c>
      <c r="I27" s="174" t="s">
        <v>196</v>
      </c>
      <c r="J27" s="174" t="s">
        <v>197</v>
      </c>
      <c r="K27" s="174" t="s">
        <v>198</v>
      </c>
      <c r="L27" s="174" t="s">
        <v>199</v>
      </c>
      <c r="M27" s="174" t="s">
        <v>200</v>
      </c>
      <c r="N27" s="175" t="s">
        <v>217</v>
      </c>
    </row>
    <row r="28" spans="1:14" ht="15">
      <c r="A28" s="168" t="s">
        <v>213</v>
      </c>
      <c r="B28" s="102">
        <f aca="true" t="shared" si="5" ref="B28:M28">+B14</f>
        <v>29680</v>
      </c>
      <c r="C28" s="102">
        <f t="shared" si="5"/>
        <v>37693.600000000006</v>
      </c>
      <c r="D28" s="102">
        <f t="shared" si="5"/>
        <v>38750.208</v>
      </c>
      <c r="E28" s="102">
        <f t="shared" si="5"/>
        <v>39912.71424</v>
      </c>
      <c r="F28" s="102">
        <f t="shared" si="5"/>
        <v>41110.0956672</v>
      </c>
      <c r="G28" s="102">
        <f t="shared" si="5"/>
        <v>42343.39853721601</v>
      </c>
      <c r="H28" s="102">
        <f t="shared" si="5"/>
        <v>43613.700493332486</v>
      </c>
      <c r="I28" s="102">
        <f t="shared" si="5"/>
        <v>44922.11150813246</v>
      </c>
      <c r="J28" s="102">
        <f t="shared" si="5"/>
        <v>46269.77485337643</v>
      </c>
      <c r="K28" s="102">
        <f t="shared" si="5"/>
        <v>47657.86809897773</v>
      </c>
      <c r="L28" s="102">
        <f t="shared" si="5"/>
        <v>49087.604141947064</v>
      </c>
      <c r="M28" s="102">
        <f t="shared" si="5"/>
        <v>50560.23226620548</v>
      </c>
      <c r="N28" s="169">
        <f>+SUM(B28:M28)</f>
        <v>511601.30780638766</v>
      </c>
    </row>
    <row r="29" spans="1:14" ht="15">
      <c r="A29" s="168" t="s">
        <v>214</v>
      </c>
      <c r="B29" s="103">
        <f aca="true" t="shared" si="6" ref="B29:M29">+B24</f>
        <v>37995.757849944755</v>
      </c>
      <c r="C29" s="103">
        <f t="shared" si="6"/>
        <v>37572.673006943645</v>
      </c>
      <c r="D29" s="103">
        <f t="shared" si="6"/>
        <v>38302.353197151955</v>
      </c>
      <c r="E29" s="103">
        <f t="shared" si="6"/>
        <v>39053.92379306651</v>
      </c>
      <c r="F29" s="103">
        <f t="shared" si="6"/>
        <v>39828.04150685851</v>
      </c>
      <c r="G29" s="103">
        <f t="shared" si="6"/>
        <v>41025.382752064266</v>
      </c>
      <c r="H29" s="103">
        <f t="shared" si="6"/>
        <v>41346.64423462619</v>
      </c>
      <c r="I29" s="103">
        <f t="shared" si="6"/>
        <v>42192.54356166498</v>
      </c>
      <c r="J29" s="103">
        <f t="shared" si="6"/>
        <v>42963.81986851493</v>
      </c>
      <c r="K29" s="103">
        <f t="shared" si="6"/>
        <v>44361.23446457038</v>
      </c>
      <c r="L29" s="103">
        <f t="shared" si="6"/>
        <v>45285.57149850749</v>
      </c>
      <c r="M29" s="103">
        <f t="shared" si="6"/>
        <v>51237.63864346272</v>
      </c>
      <c r="N29" s="169">
        <f>+SUM(B29:M29)</f>
        <v>501165.5843773763</v>
      </c>
    </row>
    <row r="30" spans="1:14" ht="15">
      <c r="A30" s="168" t="s">
        <v>215</v>
      </c>
      <c r="B30" s="103">
        <f aca="true" t="shared" si="7" ref="B30:M30">+B28-B29</f>
        <v>-8315.757849944755</v>
      </c>
      <c r="C30" s="103">
        <f t="shared" si="7"/>
        <v>120.92699305636052</v>
      </c>
      <c r="D30" s="103">
        <f t="shared" si="7"/>
        <v>447.8548028480436</v>
      </c>
      <c r="E30" s="103">
        <f t="shared" si="7"/>
        <v>858.7904469334899</v>
      </c>
      <c r="F30" s="103">
        <f t="shared" si="7"/>
        <v>1282.0541603414895</v>
      </c>
      <c r="G30" s="103">
        <f t="shared" si="7"/>
        <v>1318.0157851517433</v>
      </c>
      <c r="H30" s="103">
        <f t="shared" si="7"/>
        <v>2267.056258706296</v>
      </c>
      <c r="I30" s="103">
        <f t="shared" si="7"/>
        <v>2729.567946467483</v>
      </c>
      <c r="J30" s="103">
        <f t="shared" si="7"/>
        <v>3305.954984861499</v>
      </c>
      <c r="K30" s="103">
        <f t="shared" si="7"/>
        <v>3296.6336344073497</v>
      </c>
      <c r="L30" s="103">
        <f t="shared" si="7"/>
        <v>3802.0326434395756</v>
      </c>
      <c r="M30" s="103">
        <f t="shared" si="7"/>
        <v>-677.4063772572408</v>
      </c>
      <c r="N30" s="169">
        <f>+SUM(B30:M30)</f>
        <v>10435.723429011334</v>
      </c>
    </row>
    <row r="31" spans="1:14" ht="15.75" thickBot="1">
      <c r="A31" s="170" t="s">
        <v>216</v>
      </c>
      <c r="B31" s="171">
        <f>+B30</f>
        <v>-8315.757849944755</v>
      </c>
      <c r="C31" s="171">
        <f aca="true" t="shared" si="8" ref="C31:M31">+C30+B31</f>
        <v>-8194.830856888395</v>
      </c>
      <c r="D31" s="171">
        <f t="shared" si="8"/>
        <v>-7746.976054040351</v>
      </c>
      <c r="E31" s="171">
        <f t="shared" si="8"/>
        <v>-6888.185607106861</v>
      </c>
      <c r="F31" s="171">
        <f t="shared" si="8"/>
        <v>-5606.131446765372</v>
      </c>
      <c r="G31" s="171">
        <f t="shared" si="8"/>
        <v>-4288.115661613629</v>
      </c>
      <c r="H31" s="171">
        <f t="shared" si="8"/>
        <v>-2021.0594029073327</v>
      </c>
      <c r="I31" s="171">
        <f t="shared" si="8"/>
        <v>708.5085435601504</v>
      </c>
      <c r="J31" s="171">
        <f t="shared" si="8"/>
        <v>4014.4635284216492</v>
      </c>
      <c r="K31" s="171">
        <f t="shared" si="8"/>
        <v>7311.097162828999</v>
      </c>
      <c r="L31" s="171">
        <f t="shared" si="8"/>
        <v>11113.129806268575</v>
      </c>
      <c r="M31" s="171">
        <f t="shared" si="8"/>
        <v>10435.723429011334</v>
      </c>
      <c r="N31" s="172"/>
    </row>
    <row r="32" ht="15">
      <c r="C32" s="3"/>
    </row>
    <row r="34" spans="1:2" ht="15">
      <c r="A34" t="s">
        <v>238</v>
      </c>
      <c r="B34" s="3">
        <f>+SUM(B31:H31)</f>
        <v>-43061.056879266696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9"/>
  <sheetViews>
    <sheetView showGridLines="0" tabSelected="1" zoomScalePageLayoutView="0" workbookViewId="0" topLeftCell="A15">
      <selection activeCell="C24" sqref="C24"/>
    </sheetView>
  </sheetViews>
  <sheetFormatPr defaultColWidth="11.421875" defaultRowHeight="15"/>
  <cols>
    <col min="1" max="1" width="29.7109375" style="0" bestFit="1" customWidth="1"/>
    <col min="2" max="5" width="13.7109375" style="0" bestFit="1" customWidth="1"/>
    <col min="6" max="7" width="14.57421875" style="0" bestFit="1" customWidth="1"/>
  </cols>
  <sheetData>
    <row r="1" ht="15">
      <c r="C1" s="3"/>
    </row>
    <row r="2" spans="1:3" ht="15">
      <c r="A2" t="s">
        <v>249</v>
      </c>
      <c r="C2" s="4"/>
    </row>
    <row r="3" spans="3:7" ht="15">
      <c r="C3" s="1">
        <v>1</v>
      </c>
      <c r="D3" s="1">
        <v>2</v>
      </c>
      <c r="E3" s="1">
        <v>3</v>
      </c>
      <c r="F3" s="1">
        <v>4</v>
      </c>
      <c r="G3" s="1">
        <v>5</v>
      </c>
    </row>
    <row r="4" spans="3:7" ht="15">
      <c r="C4" s="110">
        <f>+'Determ de los ingresos'!P9</f>
        <v>74538.94350454511</v>
      </c>
      <c r="D4" s="110">
        <f>+'Determ de los ingresos'!P10</f>
        <v>102119.49784749236</v>
      </c>
      <c r="E4" s="110">
        <f>+'Determ de los ingresos'!P11</f>
        <v>129795.05009421529</v>
      </c>
      <c r="F4" s="110">
        <f>+'Determ de los ingresos'!P12</f>
        <v>174019.0517258011</v>
      </c>
      <c r="G4" s="110">
        <f>+'Determ de los ingresos'!P13</f>
        <v>230161.55450453953</v>
      </c>
    </row>
    <row r="5" spans="1:7" ht="15">
      <c r="A5" t="s">
        <v>250</v>
      </c>
      <c r="C5" s="4">
        <f>+C4*'Determ de costo  y gastos'!$G$17</f>
        <v>521772.60453181574</v>
      </c>
      <c r="D5" s="4">
        <f>+D4*'Determ de costo  y gastos'!$G$17</f>
        <v>714836.4849324465</v>
      </c>
      <c r="E5" s="4">
        <f>+E4*'Determ de costo  y gastos'!$G$17</f>
        <v>908565.350659507</v>
      </c>
      <c r="F5" s="4">
        <f>+F4*'Determ de costo  y gastos'!$G$17</f>
        <v>1218133.3620806078</v>
      </c>
      <c r="G5" s="4">
        <f>+G4*'Determ de costo  y gastos'!$G$17</f>
        <v>1611130.8815317766</v>
      </c>
    </row>
    <row r="6" spans="1:7" ht="15.75" thickBot="1">
      <c r="A6" s="108" t="s">
        <v>251</v>
      </c>
      <c r="B6" s="108"/>
      <c r="C6" s="109">
        <f>+C5</f>
        <v>521772.60453181574</v>
      </c>
      <c r="D6" s="109">
        <f>+D5</f>
        <v>714836.4849324465</v>
      </c>
      <c r="E6" s="109">
        <f>+E5</f>
        <v>908565.350659507</v>
      </c>
      <c r="F6" s="109">
        <f>+F5</f>
        <v>1218133.3620806078</v>
      </c>
      <c r="G6" s="109">
        <f>+G5</f>
        <v>1611130.8815317766</v>
      </c>
    </row>
    <row r="7" spans="1:7" ht="15.75" thickTop="1">
      <c r="A7" s="108" t="s">
        <v>252</v>
      </c>
      <c r="B7" s="108"/>
      <c r="C7" s="4"/>
      <c r="D7" s="4"/>
      <c r="E7" s="4"/>
      <c r="F7" s="4"/>
      <c r="G7" s="4"/>
    </row>
    <row r="8" spans="1:7" ht="15">
      <c r="A8" t="s">
        <v>253</v>
      </c>
      <c r="C8" s="4">
        <f>+'Determ de costo  y gastos'!H22</f>
        <v>173899.35519610374</v>
      </c>
      <c r="D8" s="4">
        <f>+'Determ de costo  y gastos'!I22</f>
        <v>238244.78847819968</v>
      </c>
      <c r="E8" s="4">
        <f>+'Determ de costo  y gastos'!J22</f>
        <v>302811.85186980426</v>
      </c>
      <c r="F8" s="4">
        <f>+'Determ de costo  y gastos'!K22</f>
        <v>405986.447676294</v>
      </c>
      <c r="G8" s="4">
        <f>+'Determ de costo  y gastos'!L22</f>
        <v>536966.9066590908</v>
      </c>
    </row>
    <row r="9" spans="1:7" ht="15">
      <c r="A9" t="s">
        <v>177</v>
      </c>
      <c r="C9" s="4">
        <f>+'Determ de costo  y gastos'!H23</f>
        <v>7199.999999999999</v>
      </c>
      <c r="D9" s="4">
        <f>+'Determ de costo  y gastos'!I23</f>
        <v>11250</v>
      </c>
      <c r="E9" s="4">
        <f>+'Determ de costo  y gastos'!J23</f>
        <v>16200</v>
      </c>
      <c r="F9" s="4">
        <f>+'Determ de costo  y gastos'!K23</f>
        <v>22050</v>
      </c>
      <c r="G9" s="4">
        <f>+'Determ de costo  y gastos'!L23</f>
        <v>28800</v>
      </c>
    </row>
    <row r="10" spans="1:7" ht="15">
      <c r="A10" t="s">
        <v>254</v>
      </c>
      <c r="C10" s="4">
        <f>+'Determ de costo  y gastos'!H24</f>
        <v>4800</v>
      </c>
      <c r="D10" s="4">
        <f>+'Determ de costo  y gastos'!I24</f>
        <v>4800</v>
      </c>
      <c r="E10" s="4">
        <f>+'Determ de costo  y gastos'!J24</f>
        <v>4800</v>
      </c>
      <c r="F10" s="4">
        <f>+'Determ de costo  y gastos'!K24</f>
        <v>4800</v>
      </c>
      <c r="G10" s="4">
        <f>+'Determ de costo  y gastos'!L24</f>
        <v>4800</v>
      </c>
    </row>
    <row r="11" spans="1:7" ht="15.75" thickBot="1">
      <c r="A11" s="108" t="s">
        <v>255</v>
      </c>
      <c r="B11" s="178"/>
      <c r="C11" s="109">
        <f>+C6-SUM(C7:C10)</f>
        <v>335873.249335712</v>
      </c>
      <c r="D11" s="109">
        <f>+D6-SUM(D7:D10)</f>
        <v>460541.6964542468</v>
      </c>
      <c r="E11" s="109">
        <f>+E6-SUM(E7:E10)</f>
        <v>584753.4987897028</v>
      </c>
      <c r="F11" s="109">
        <f>+F6-SUM(F7:F10)</f>
        <v>785296.9144043138</v>
      </c>
      <c r="G11" s="109">
        <f>+G6-SUM(G7:G10)</f>
        <v>1040563.9748726859</v>
      </c>
    </row>
    <row r="12" spans="1:7" ht="15.75" thickTop="1">
      <c r="A12" t="s">
        <v>256</v>
      </c>
      <c r="C12" s="4">
        <f>+C5*4%</f>
        <v>20870.904181272632</v>
      </c>
      <c r="D12" s="4">
        <f>+D5*4%</f>
        <v>28593.459397297862</v>
      </c>
      <c r="E12" s="4">
        <f>+E5*4%</f>
        <v>36342.61402638028</v>
      </c>
      <c r="F12" s="4">
        <f>+F5*4%</f>
        <v>48725.33448322431</v>
      </c>
      <c r="G12" s="4">
        <f>+G5*4%</f>
        <v>64445.23526127107</v>
      </c>
    </row>
    <row r="13" spans="1:7" ht="15.75" thickBot="1">
      <c r="A13" s="108" t="s">
        <v>257</v>
      </c>
      <c r="B13" s="108"/>
      <c r="C13" s="109">
        <f>+C11-C12</f>
        <v>315002.3451544394</v>
      </c>
      <c r="D13" s="109">
        <f>+D11-D12</f>
        <v>431948.23705694894</v>
      </c>
      <c r="E13" s="109">
        <f>+E11-E12</f>
        <v>548410.8847633225</v>
      </c>
      <c r="F13" s="109">
        <f>+F11-F12</f>
        <v>736571.5799210895</v>
      </c>
      <c r="G13" s="109">
        <f>+G11-G12</f>
        <v>976118.7396114147</v>
      </c>
    </row>
    <row r="14" spans="1:7" ht="15.75" thickTop="1">
      <c r="A14" t="s">
        <v>258</v>
      </c>
      <c r="C14" s="4">
        <f>+'inversion inicial'!$D$20*12</f>
        <v>1200</v>
      </c>
      <c r="D14" s="4">
        <f>+'inversion inicial'!$D$20*12</f>
        <v>1200</v>
      </c>
      <c r="E14" s="4">
        <f>+'inversion inicial'!$D$20*12</f>
        <v>1200</v>
      </c>
      <c r="F14" s="4">
        <f>+'inversion inicial'!$D$20*12</f>
        <v>1200</v>
      </c>
      <c r="G14" s="4">
        <f>+'inversion inicial'!$D$20*12</f>
        <v>1200</v>
      </c>
    </row>
    <row r="15" spans="1:7" ht="15">
      <c r="A15" t="s">
        <v>259</v>
      </c>
      <c r="C15" s="4">
        <v>3600</v>
      </c>
      <c r="D15" s="4">
        <v>3600</v>
      </c>
      <c r="E15" s="4">
        <v>3600</v>
      </c>
      <c r="F15" s="4">
        <v>3600</v>
      </c>
      <c r="G15" s="4">
        <v>3600</v>
      </c>
    </row>
    <row r="16" spans="1:7" ht="15">
      <c r="A16" t="s">
        <v>273</v>
      </c>
      <c r="C16" s="4">
        <v>3500</v>
      </c>
      <c r="D16" s="4">
        <v>3500</v>
      </c>
      <c r="E16" s="4">
        <v>3500</v>
      </c>
      <c r="F16" s="4">
        <v>3500</v>
      </c>
      <c r="G16" s="4">
        <v>3500</v>
      </c>
    </row>
    <row r="17" spans="1:7" ht="15">
      <c r="A17" t="s">
        <v>61</v>
      </c>
      <c r="C17" s="4">
        <f>+'inversion inicial'!$B$34*12</f>
        <v>21600</v>
      </c>
      <c r="D17" s="4">
        <f>+'inversion inicial'!$B$34*12</f>
        <v>21600</v>
      </c>
      <c r="E17" s="4">
        <f>+'inversion inicial'!$B$34*12</f>
        <v>21600</v>
      </c>
      <c r="F17" s="4">
        <f>+'inversion inicial'!$B$34*12</f>
        <v>21600</v>
      </c>
      <c r="G17" s="4">
        <f>+'inversion inicial'!$B$34*12</f>
        <v>21600</v>
      </c>
    </row>
    <row r="18" spans="1:7" ht="15">
      <c r="A18" t="s">
        <v>260</v>
      </c>
      <c r="C18" s="4">
        <f>+'Determ de costo  y gastos'!H25</f>
        <v>156666.22918127262</v>
      </c>
      <c r="D18" s="4">
        <f>+'Determ de costo  y gastos'!I25</f>
        <v>170969.85590552283</v>
      </c>
      <c r="E18" s="4">
        <f>+'Determ de costo  y gastos'!J25</f>
        <v>186579.40374969709</v>
      </c>
      <c r="F18" s="4">
        <f>+'Determ de costo  y gastos'!K25</f>
        <v>203614.10331204435</v>
      </c>
      <c r="G18" s="4">
        <f>+'Determ de costo  y gastos'!L25</f>
        <v>222204.07094443406</v>
      </c>
    </row>
    <row r="19" spans="1:7" ht="15">
      <c r="A19" t="s">
        <v>261</v>
      </c>
      <c r="C19" s="4">
        <f>+'Determ de costo  y gastos'!B8</f>
        <v>15200</v>
      </c>
      <c r="D19" s="4">
        <f>+'Determ de costo  y gastos'!C8</f>
        <v>15048</v>
      </c>
      <c r="E19" s="4">
        <f>+'Determ de costo  y gastos'!D8</f>
        <v>14897.52</v>
      </c>
      <c r="F19" s="4">
        <f>+'Determ de costo  y gastos'!E8</f>
        <v>14748.5448</v>
      </c>
      <c r="G19" s="4">
        <f>+'Determ de costo  y gastos'!F8</f>
        <v>14601.059352</v>
      </c>
    </row>
    <row r="20" spans="1:7" ht="15.75" thickBot="1">
      <c r="A20" s="108" t="s">
        <v>262</v>
      </c>
      <c r="B20" s="108"/>
      <c r="C20" s="109">
        <f>+C13-SUM(C14:C19)</f>
        <v>113236.11597316677</v>
      </c>
      <c r="D20" s="109">
        <f>+D13-SUM(D14:D19)</f>
        <v>216030.38115142612</v>
      </c>
      <c r="E20" s="109">
        <f>+E13-SUM(E14:E19)</f>
        <v>317033.9610136255</v>
      </c>
      <c r="F20" s="109">
        <f>+F13-SUM(F14:F19)</f>
        <v>488308.93180904514</v>
      </c>
      <c r="G20" s="109">
        <f>+G13-SUM(G14:G19)</f>
        <v>709413.6093149807</v>
      </c>
    </row>
    <row r="21" spans="1:7" ht="15.75" thickTop="1">
      <c r="A21" t="s">
        <v>263</v>
      </c>
      <c r="C21" s="4">
        <f>+'Depreciacion &amp; Amortizacion'!$B$66</f>
        <v>11101.8</v>
      </c>
      <c r="D21" s="4">
        <f>+'Depreciacion &amp; Amortizacion'!$B$66</f>
        <v>11101.8</v>
      </c>
      <c r="E21" s="4">
        <f>+'Depreciacion &amp; Amortizacion'!$B$66</f>
        <v>11101.8</v>
      </c>
      <c r="F21" s="4">
        <f>+'Depreciacion &amp; Amortizacion'!$B$66</f>
        <v>11101.8</v>
      </c>
      <c r="G21" s="4">
        <f>+F26-SUM(Activos!F52:F55)</f>
        <v>8941.8</v>
      </c>
    </row>
    <row r="22" spans="1:7" ht="15">
      <c r="A22" t="s">
        <v>264</v>
      </c>
      <c r="C22" s="4">
        <f>+'Depreciacion &amp; Amortizacion'!H6</f>
        <v>340</v>
      </c>
      <c r="D22" s="4">
        <f>+'Depreciacion &amp; Amortizacion'!I6</f>
        <v>340</v>
      </c>
      <c r="E22" s="4">
        <f>+'Depreciacion &amp; Amortizacion'!J6</f>
        <v>340</v>
      </c>
      <c r="F22" s="4">
        <f>+'Depreciacion &amp; Amortizacion'!K6</f>
        <v>340</v>
      </c>
      <c r="G22" s="4">
        <f>+'Depreciacion &amp; Amortizacion'!L6</f>
        <v>340</v>
      </c>
    </row>
    <row r="23" spans="1:7" ht="15.75" thickBot="1">
      <c r="A23" s="108" t="s">
        <v>265</v>
      </c>
      <c r="B23" s="108"/>
      <c r="C23" s="109">
        <f>+C6-SUM(C8:C10)-C12-SUM(C14:C19)-SUM(C21:C22)</f>
        <v>101794.31597316677</v>
      </c>
      <c r="D23" s="109">
        <f>+D6-SUM(D8:D10)-D12-SUM(D14:D19)-SUM(D21:D22)</f>
        <v>204588.58115142613</v>
      </c>
      <c r="E23" s="109">
        <f>+E6-SUM(E8:E10)-E12-SUM(E14:E19)-SUM(E21:E22)</f>
        <v>305592.1610136255</v>
      </c>
      <c r="F23" s="109">
        <f>+F6-SUM(F8:F10)-F12-SUM(F14:F19)-SUM(F21:F22)</f>
        <v>476867.13180904515</v>
      </c>
      <c r="G23" s="109">
        <f>+G6-SUM(G8:G10)-G12-SUM(G14:G19)-SUM(G21:G22)</f>
        <v>700131.8093149806</v>
      </c>
    </row>
    <row r="24" spans="1:7" ht="15.75" thickTop="1">
      <c r="A24" t="s">
        <v>266</v>
      </c>
      <c r="C24" s="4">
        <f>+ROUND(C23*0.25,2)</f>
        <v>25448.58</v>
      </c>
      <c r="D24" s="4">
        <f>+ROUND(D23*0.25,2)</f>
        <v>51147.15</v>
      </c>
      <c r="E24" s="4">
        <f>+ROUND(E23*0.25,2)</f>
        <v>76398.04</v>
      </c>
      <c r="F24" s="4">
        <f>+ROUND(F23*0.25,2)</f>
        <v>119216.78</v>
      </c>
      <c r="G24" s="4">
        <f>+ROUND(G23*0.25,2)</f>
        <v>175032.95</v>
      </c>
    </row>
    <row r="25" spans="1:9" ht="15.75" thickBot="1">
      <c r="A25" s="108" t="s">
        <v>267</v>
      </c>
      <c r="B25" s="108"/>
      <c r="C25" s="109">
        <f>+C23*(1+$I$25)-C24</f>
        <v>76345.73597316677</v>
      </c>
      <c r="D25" s="109">
        <f>+D23*(1+$I$25)-D24</f>
        <v>153441.43115142614</v>
      </c>
      <c r="E25" s="109">
        <f>+E23*(1+$I$25)-E24</f>
        <v>229194.12101362552</v>
      </c>
      <c r="F25" s="109">
        <f>+F23*(1+$I$25)-F24</f>
        <v>357650.3518090452</v>
      </c>
      <c r="G25" s="109">
        <f>+G23*(1+$I$25)-G24</f>
        <v>525098.8593149807</v>
      </c>
      <c r="I25" s="111"/>
    </row>
    <row r="26" spans="1:6" ht="15.75" thickTop="1">
      <c r="A26" t="s">
        <v>263</v>
      </c>
      <c r="C26" s="4">
        <f aca="true" t="shared" si="0" ref="C26:G27">+C21</f>
        <v>11101.8</v>
      </c>
      <c r="D26" s="4">
        <f t="shared" si="0"/>
        <v>11101.8</v>
      </c>
      <c r="E26" s="4">
        <f t="shared" si="0"/>
        <v>11101.8</v>
      </c>
      <c r="F26" s="4">
        <f t="shared" si="0"/>
        <v>11101.8</v>
      </c>
    </row>
    <row r="27" spans="1:7" ht="15">
      <c r="A27" t="s">
        <v>264</v>
      </c>
      <c r="C27" s="4">
        <f t="shared" si="0"/>
        <v>340</v>
      </c>
      <c r="D27" s="4">
        <f t="shared" si="0"/>
        <v>340</v>
      </c>
      <c r="E27" s="4">
        <f t="shared" si="0"/>
        <v>340</v>
      </c>
      <c r="F27" s="4">
        <f t="shared" si="0"/>
        <v>340</v>
      </c>
      <c r="G27" s="4">
        <f t="shared" si="0"/>
        <v>340</v>
      </c>
    </row>
    <row r="28" spans="3:7" ht="15">
      <c r="C28" s="4"/>
      <c r="D28" s="4"/>
      <c r="E28" s="4"/>
      <c r="F28" s="4"/>
      <c r="G28" s="4"/>
    </row>
    <row r="29" spans="3:7" ht="15">
      <c r="C29" s="4"/>
      <c r="D29" s="4"/>
      <c r="E29" s="4"/>
      <c r="F29" s="4"/>
      <c r="G29" s="4"/>
    </row>
    <row r="30" spans="3:7" ht="15">
      <c r="C30" s="4"/>
      <c r="D30" s="4"/>
      <c r="E30" s="4"/>
      <c r="F30" s="4"/>
      <c r="G30" s="4"/>
    </row>
    <row r="31" spans="1:7" ht="15">
      <c r="A31" s="185" t="s">
        <v>62</v>
      </c>
      <c r="B31" s="186">
        <f>+'inversion inicial'!G11</f>
        <v>139990.95</v>
      </c>
      <c r="C31" s="187"/>
      <c r="D31" s="187"/>
      <c r="E31" s="187"/>
      <c r="F31" s="187"/>
      <c r="G31" s="188"/>
    </row>
    <row r="32" spans="1:7" ht="15">
      <c r="A32" s="189" t="s">
        <v>268</v>
      </c>
      <c r="B32" s="6">
        <v>0</v>
      </c>
      <c r="C32" s="43"/>
      <c r="D32" s="43"/>
      <c r="E32" s="43"/>
      <c r="F32" s="43"/>
      <c r="G32" s="190"/>
    </row>
    <row r="33" spans="1:7" ht="15">
      <c r="A33" s="191" t="s">
        <v>269</v>
      </c>
      <c r="B33" s="192">
        <f>-'capital de trabajo'!B34</f>
        <v>43061.056879266696</v>
      </c>
      <c r="C33" s="43"/>
      <c r="D33" s="43"/>
      <c r="E33" s="43"/>
      <c r="F33" s="43"/>
      <c r="G33" s="190"/>
    </row>
    <row r="34" spans="1:7" ht="15">
      <c r="A34" s="189" t="s">
        <v>270</v>
      </c>
      <c r="B34" s="6"/>
      <c r="C34" s="6"/>
      <c r="D34" s="6"/>
      <c r="E34" s="6"/>
      <c r="F34" s="6"/>
      <c r="G34" s="193"/>
    </row>
    <row r="35" spans="1:7" ht="15">
      <c r="A35" s="194" t="s">
        <v>271</v>
      </c>
      <c r="B35" s="195">
        <f>-SUM(B31:B33)</f>
        <v>-183052.0068792667</v>
      </c>
      <c r="C35" s="196">
        <f>+C25+C26+C27</f>
        <v>87787.53597316677</v>
      </c>
      <c r="D35" s="196">
        <f>+D25+D26+D27</f>
        <v>164883.23115142612</v>
      </c>
      <c r="E35" s="196">
        <f>+E25+E26+E27</f>
        <v>240635.9210136255</v>
      </c>
      <c r="F35" s="196">
        <f>+F25+F26+F27</f>
        <v>369092.1518090452</v>
      </c>
      <c r="G35" s="197">
        <f>+G25+G21+G27</f>
        <v>534380.6593149807</v>
      </c>
    </row>
    <row r="37" ht="15">
      <c r="B37" s="5"/>
    </row>
    <row r="38" spans="1:2" ht="15">
      <c r="A38" t="s">
        <v>282</v>
      </c>
      <c r="B38" s="12">
        <f>+IRR(B35:G35)</f>
        <v>0.8753692300317917</v>
      </c>
    </row>
    <row r="39" spans="1:2" ht="15">
      <c r="A39" t="s">
        <v>283</v>
      </c>
      <c r="B39" s="12">
        <v>0.2707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60"/>
  <sheetViews>
    <sheetView zoomScalePageLayoutView="0" workbookViewId="0" topLeftCell="P1">
      <selection activeCell="U1" sqref="U1:AA6"/>
    </sheetView>
  </sheetViews>
  <sheetFormatPr defaultColWidth="11.421875" defaultRowHeight="15"/>
  <cols>
    <col min="1" max="1" width="29.421875" style="0" bestFit="1" customWidth="1"/>
    <col min="2" max="2" width="8.8515625" style="0" bestFit="1" customWidth="1"/>
    <col min="3" max="4" width="12.00390625" style="0" bestFit="1" customWidth="1"/>
    <col min="5" max="5" width="5.8515625" style="0" customWidth="1"/>
    <col min="6" max="7" width="12.00390625" style="0" bestFit="1" customWidth="1"/>
    <col min="9" max="9" width="22.140625" style="0" bestFit="1" customWidth="1"/>
    <col min="10" max="10" width="13.00390625" style="0" bestFit="1" customWidth="1"/>
    <col min="11" max="12" width="13.140625" style="0" bestFit="1" customWidth="1"/>
    <col min="13" max="13" width="13.28125" style="0" bestFit="1" customWidth="1"/>
    <col min="14" max="14" width="13.140625" style="0" bestFit="1" customWidth="1"/>
    <col min="15" max="15" width="11.57421875" style="0" bestFit="1" customWidth="1"/>
    <col min="16" max="16" width="14.57421875" style="0" bestFit="1" customWidth="1"/>
    <col min="17" max="17" width="11.00390625" style="0" bestFit="1" customWidth="1"/>
    <col min="18" max="18" width="12.00390625" style="0" bestFit="1" customWidth="1"/>
    <col min="19" max="19" width="13.00390625" style="0" bestFit="1" customWidth="1"/>
    <col min="21" max="21" width="11.00390625" style="0" bestFit="1" customWidth="1"/>
    <col min="22" max="22" width="13.421875" style="0" bestFit="1" customWidth="1"/>
    <col min="23" max="23" width="20.28125" style="0" bestFit="1" customWidth="1"/>
    <col min="24" max="24" width="15.421875" style="0" bestFit="1" customWidth="1"/>
    <col min="26" max="26" width="10.8515625" style="0" bestFit="1" customWidth="1"/>
    <col min="27" max="27" width="13.00390625" style="0" bestFit="1" customWidth="1"/>
  </cols>
  <sheetData>
    <row r="1" spans="1:27" ht="45">
      <c r="A1" s="140" t="s">
        <v>0</v>
      </c>
      <c r="B1" s="141" t="s">
        <v>1</v>
      </c>
      <c r="C1" s="142" t="s">
        <v>2</v>
      </c>
      <c r="D1" s="142" t="s">
        <v>231</v>
      </c>
      <c r="E1" s="142" t="s">
        <v>232</v>
      </c>
      <c r="F1" s="142" t="s">
        <v>14</v>
      </c>
      <c r="G1" s="143" t="s">
        <v>236</v>
      </c>
      <c r="I1" s="152" t="s">
        <v>247</v>
      </c>
      <c r="J1" s="152" t="s">
        <v>102</v>
      </c>
      <c r="K1" s="152" t="s">
        <v>111</v>
      </c>
      <c r="L1" s="152" t="s">
        <v>112</v>
      </c>
      <c r="M1" s="152" t="s">
        <v>113</v>
      </c>
      <c r="N1" s="152" t="s">
        <v>114</v>
      </c>
      <c r="U1" s="149" t="s">
        <v>132</v>
      </c>
      <c r="V1" s="149" t="s">
        <v>166</v>
      </c>
      <c r="W1" s="203" t="s">
        <v>167</v>
      </c>
      <c r="X1" s="203" t="s">
        <v>168</v>
      </c>
      <c r="Y1" s="204" t="s">
        <v>169</v>
      </c>
      <c r="Z1" s="203" t="s">
        <v>157</v>
      </c>
      <c r="AA1" s="203" t="s">
        <v>170</v>
      </c>
    </row>
    <row r="2" spans="1:27" ht="15">
      <c r="A2" s="138" t="s">
        <v>226</v>
      </c>
      <c r="B2" s="9">
        <v>1</v>
      </c>
      <c r="C2" s="51">
        <v>22500</v>
      </c>
      <c r="D2" s="51">
        <v>22500</v>
      </c>
      <c r="E2" s="9">
        <v>5</v>
      </c>
      <c r="F2" s="51">
        <v>11250</v>
      </c>
      <c r="G2" s="144">
        <v>11250</v>
      </c>
      <c r="I2" s="8" t="s">
        <v>3</v>
      </c>
      <c r="J2" s="51">
        <v>28705</v>
      </c>
      <c r="K2" s="51">
        <v>31325.766499999998</v>
      </c>
      <c r="L2" s="51">
        <v>34185.80898145</v>
      </c>
      <c r="M2" s="51">
        <v>37306.97334145638</v>
      </c>
      <c r="N2" s="51">
        <v>40713.10000753135</v>
      </c>
      <c r="U2" s="9">
        <v>1</v>
      </c>
      <c r="V2" s="51">
        <v>2.333</v>
      </c>
      <c r="W2" s="51">
        <v>0.024148450667136737</v>
      </c>
      <c r="X2" s="51">
        <v>2.166199594329198</v>
      </c>
      <c r="Y2" s="205">
        <v>4.8006292801546095</v>
      </c>
      <c r="Z2" s="46">
        <v>74538.94350454511</v>
      </c>
      <c r="AA2" s="51">
        <v>357833.8346997095</v>
      </c>
    </row>
    <row r="3" spans="1:27" ht="15">
      <c r="A3" s="138" t="s">
        <v>77</v>
      </c>
      <c r="B3" s="9">
        <v>1</v>
      </c>
      <c r="C3" s="51">
        <v>50000</v>
      </c>
      <c r="D3" s="51">
        <v>50000</v>
      </c>
      <c r="E3" s="9">
        <v>5</v>
      </c>
      <c r="F3" s="51">
        <v>25000</v>
      </c>
      <c r="G3" s="144">
        <v>25000</v>
      </c>
      <c r="I3" s="8" t="s">
        <v>4</v>
      </c>
      <c r="J3" s="51">
        <v>21583.25</v>
      </c>
      <c r="K3" s="51">
        <v>23553.800724999997</v>
      </c>
      <c r="L3" s="51">
        <v>25704.262731192495</v>
      </c>
      <c r="M3" s="51">
        <v>28051.061918550367</v>
      </c>
      <c r="N3" s="51">
        <v>30612.123871714015</v>
      </c>
      <c r="U3" s="9">
        <v>2</v>
      </c>
      <c r="V3" s="51">
        <v>2.333</v>
      </c>
      <c r="W3" s="51">
        <v>0.024044624697107195</v>
      </c>
      <c r="X3" s="51">
        <v>1.7212173934503834</v>
      </c>
      <c r="Y3" s="205">
        <v>4.328259479859932</v>
      </c>
      <c r="Z3" s="46">
        <v>102119.49784749236</v>
      </c>
      <c r="AA3" s="51">
        <v>441999.68463694473</v>
      </c>
    </row>
    <row r="4" spans="1:27" ht="15">
      <c r="A4" s="138" t="s">
        <v>79</v>
      </c>
      <c r="B4" s="9">
        <v>1</v>
      </c>
      <c r="C4" s="51">
        <v>12000</v>
      </c>
      <c r="D4" s="51">
        <v>12000</v>
      </c>
      <c r="E4" s="9">
        <v>5</v>
      </c>
      <c r="F4" s="51">
        <v>6000</v>
      </c>
      <c r="G4" s="144">
        <v>6000</v>
      </c>
      <c r="I4" s="8" t="s">
        <v>13</v>
      </c>
      <c r="J4" s="51">
        <v>5915.400000000001</v>
      </c>
      <c r="K4" s="51">
        <v>6455.47602</v>
      </c>
      <c r="L4" s="51">
        <v>7044.860980625999</v>
      </c>
      <c r="M4" s="51">
        <v>7688.056788157152</v>
      </c>
      <c r="N4" s="51">
        <v>8389.9763729159</v>
      </c>
      <c r="U4" s="9">
        <v>3</v>
      </c>
      <c r="V4" s="51">
        <v>2.333</v>
      </c>
      <c r="W4" s="51">
        <v>0.022701250917205203</v>
      </c>
      <c r="X4" s="51">
        <v>1.47447382323732</v>
      </c>
      <c r="Y4" s="205">
        <v>4.064964806200198</v>
      </c>
      <c r="Z4" s="46">
        <v>129795.05009421529</v>
      </c>
      <c r="AA4" s="51">
        <v>527612.3106519768</v>
      </c>
    </row>
    <row r="5" spans="1:27" ht="15">
      <c r="A5" s="138" t="s">
        <v>227</v>
      </c>
      <c r="B5" s="9">
        <v>2</v>
      </c>
      <c r="C5" s="51">
        <v>19000</v>
      </c>
      <c r="D5" s="51">
        <v>38000</v>
      </c>
      <c r="E5" s="9">
        <v>5</v>
      </c>
      <c r="F5" s="51">
        <v>9500</v>
      </c>
      <c r="G5" s="144">
        <v>19000</v>
      </c>
      <c r="I5" s="8" t="s">
        <v>5</v>
      </c>
      <c r="J5" s="51">
        <v>8764.1</v>
      </c>
      <c r="K5" s="51">
        <v>9564.26233</v>
      </c>
      <c r="L5" s="51">
        <v>10437.479480728998</v>
      </c>
      <c r="M5" s="51">
        <v>11390.421357319556</v>
      </c>
      <c r="N5" s="51">
        <v>12430.366827242831</v>
      </c>
      <c r="U5" s="9">
        <v>4</v>
      </c>
      <c r="V5" s="51">
        <v>2.333</v>
      </c>
      <c r="W5" s="51">
        <v>0.019754130170853708</v>
      </c>
      <c r="X5" s="51">
        <v>1.1976510689211142</v>
      </c>
      <c r="Y5" s="205">
        <v>3.7680450377963055</v>
      </c>
      <c r="Z5" s="46">
        <v>174019.0517258011</v>
      </c>
      <c r="AA5" s="51">
        <v>655711.6243374235</v>
      </c>
    </row>
    <row r="6" spans="1:27" ht="15.75" thickBot="1">
      <c r="A6" s="138" t="s">
        <v>37</v>
      </c>
      <c r="B6" s="9">
        <v>1</v>
      </c>
      <c r="C6" s="51">
        <v>50</v>
      </c>
      <c r="D6" s="51">
        <v>50</v>
      </c>
      <c r="E6" s="9">
        <v>5</v>
      </c>
      <c r="F6" s="51">
        <v>25</v>
      </c>
      <c r="G6" s="144">
        <v>25</v>
      </c>
      <c r="I6" s="8" t="s">
        <v>11</v>
      </c>
      <c r="J6" s="51">
        <v>45890.154181272635</v>
      </c>
      <c r="K6" s="51">
        <v>50079.92525802283</v>
      </c>
      <c r="L6" s="51">
        <v>54652.22243408031</v>
      </c>
      <c r="M6" s="51">
        <v>59641.97034231183</v>
      </c>
      <c r="N6" s="51">
        <v>65087.282234564904</v>
      </c>
      <c r="U6" s="199">
        <v>5</v>
      </c>
      <c r="V6" s="206">
        <v>2.333</v>
      </c>
      <c r="W6" s="206">
        <v>0.017069227779839807</v>
      </c>
      <c r="X6" s="206">
        <v>0.9862814466694819</v>
      </c>
      <c r="Y6" s="207">
        <v>3.5408689707930647</v>
      </c>
      <c r="Z6" s="201">
        <v>230161.55450453953</v>
      </c>
      <c r="AA6" s="206">
        <v>814971.9066146207</v>
      </c>
    </row>
    <row r="7" spans="1:14" ht="15.75" thickTop="1">
      <c r="A7" s="138" t="s">
        <v>38</v>
      </c>
      <c r="B7" s="9">
        <v>2</v>
      </c>
      <c r="C7" s="51">
        <v>600</v>
      </c>
      <c r="D7" s="51">
        <v>1200</v>
      </c>
      <c r="E7" s="9">
        <v>5</v>
      </c>
      <c r="F7" s="51">
        <v>300</v>
      </c>
      <c r="G7" s="144">
        <v>600</v>
      </c>
      <c r="I7" s="8" t="s">
        <v>6</v>
      </c>
      <c r="J7" s="51">
        <v>22582.725000000002</v>
      </c>
      <c r="K7" s="51">
        <v>24644.5277925</v>
      </c>
      <c r="L7" s="51">
        <v>26894.57317995525</v>
      </c>
      <c r="M7" s="51">
        <v>29350.047711285162</v>
      </c>
      <c r="N7" s="51">
        <v>32029.707067325497</v>
      </c>
    </row>
    <row r="8" spans="1:14" ht="15">
      <c r="A8" s="138" t="s">
        <v>43</v>
      </c>
      <c r="B8" s="9">
        <v>4</v>
      </c>
      <c r="C8" s="51">
        <v>130</v>
      </c>
      <c r="D8" s="51">
        <v>520</v>
      </c>
      <c r="E8" s="9">
        <v>3</v>
      </c>
      <c r="F8" s="51">
        <v>93.6</v>
      </c>
      <c r="G8" s="144">
        <v>145.60000000000002</v>
      </c>
      <c r="I8" s="8" t="s">
        <v>7</v>
      </c>
      <c r="J8" s="51">
        <v>11612.800000000001</v>
      </c>
      <c r="K8" s="51">
        <v>12673.04864</v>
      </c>
      <c r="L8" s="51">
        <v>13830.097980832</v>
      </c>
      <c r="M8" s="51">
        <v>15092.785926481962</v>
      </c>
      <c r="N8" s="51">
        <v>16470.757281569764</v>
      </c>
    </row>
    <row r="9" spans="1:14" ht="15">
      <c r="A9" s="138" t="s">
        <v>82</v>
      </c>
      <c r="B9" s="9">
        <v>1</v>
      </c>
      <c r="C9" s="51">
        <v>1000</v>
      </c>
      <c r="D9" s="51">
        <v>1000</v>
      </c>
      <c r="E9" s="9">
        <v>3</v>
      </c>
      <c r="F9" s="51">
        <v>720</v>
      </c>
      <c r="G9" s="144">
        <v>280</v>
      </c>
      <c r="I9" s="8" t="s">
        <v>8</v>
      </c>
      <c r="J9" s="51">
        <v>31910.3</v>
      </c>
      <c r="K9" s="51">
        <v>40716.730390000004</v>
      </c>
      <c r="L9" s="51">
        <v>50327.187874607</v>
      </c>
      <c r="M9" s="51">
        <v>60815.08012755861</v>
      </c>
      <c r="N9" s="51">
        <v>72260.51694320471</v>
      </c>
    </row>
    <row r="10" spans="1:14" ht="15">
      <c r="A10" s="138" t="s">
        <v>41</v>
      </c>
      <c r="B10" s="9">
        <v>1</v>
      </c>
      <c r="C10" s="51">
        <v>60</v>
      </c>
      <c r="D10" s="51">
        <v>60</v>
      </c>
      <c r="E10" s="9">
        <v>3</v>
      </c>
      <c r="F10" s="51">
        <v>28.799999999999997</v>
      </c>
      <c r="G10" s="144">
        <v>31.200000000000003</v>
      </c>
      <c r="I10" s="8" t="s">
        <v>9</v>
      </c>
      <c r="J10" s="51">
        <v>11612.800000000001</v>
      </c>
      <c r="K10" s="51">
        <v>12673.04864</v>
      </c>
      <c r="L10" s="51">
        <v>13830.097980832</v>
      </c>
      <c r="M10" s="51">
        <v>15092.785926481962</v>
      </c>
      <c r="N10" s="51">
        <v>16470.757281569764</v>
      </c>
    </row>
    <row r="11" spans="1:7" ht="15">
      <c r="A11" s="138" t="s">
        <v>42</v>
      </c>
      <c r="B11" s="9">
        <v>7</v>
      </c>
      <c r="C11" s="51">
        <v>700</v>
      </c>
      <c r="D11" s="51">
        <v>4900</v>
      </c>
      <c r="E11" s="9">
        <v>3</v>
      </c>
      <c r="F11" s="51">
        <v>504</v>
      </c>
      <c r="G11" s="144">
        <v>1372</v>
      </c>
    </row>
    <row r="12" spans="1:7" ht="15.75" thickBot="1">
      <c r="A12" s="138" t="s">
        <v>44</v>
      </c>
      <c r="B12" s="9">
        <v>1</v>
      </c>
      <c r="C12" s="51">
        <v>600</v>
      </c>
      <c r="D12" s="51">
        <v>600</v>
      </c>
      <c r="E12" s="9">
        <v>5</v>
      </c>
      <c r="F12" s="51">
        <v>300</v>
      </c>
      <c r="G12" s="144">
        <v>300</v>
      </c>
    </row>
    <row r="13" spans="1:19" ht="60">
      <c r="A13" s="138" t="s">
        <v>45</v>
      </c>
      <c r="B13" s="9">
        <v>1</v>
      </c>
      <c r="C13" s="51">
        <v>60</v>
      </c>
      <c r="D13" s="51">
        <v>60</v>
      </c>
      <c r="E13" s="9">
        <v>5</v>
      </c>
      <c r="F13" s="51">
        <v>30</v>
      </c>
      <c r="G13" s="144">
        <v>30</v>
      </c>
      <c r="I13" s="155" t="s">
        <v>12</v>
      </c>
      <c r="J13" s="156" t="s">
        <v>276</v>
      </c>
      <c r="K13" s="156" t="s">
        <v>277</v>
      </c>
      <c r="L13" s="156" t="s">
        <v>278</v>
      </c>
      <c r="M13" s="156" t="s">
        <v>279</v>
      </c>
      <c r="N13" s="156" t="s">
        <v>24</v>
      </c>
      <c r="O13" s="156" t="s">
        <v>25</v>
      </c>
      <c r="P13" s="157" t="s">
        <v>90</v>
      </c>
      <c r="Q13" s="156" t="s">
        <v>275</v>
      </c>
      <c r="R13" s="156" t="s">
        <v>89</v>
      </c>
      <c r="S13" s="158" t="s">
        <v>229</v>
      </c>
    </row>
    <row r="14" spans="1:19" ht="15">
      <c r="A14" s="138" t="s">
        <v>46</v>
      </c>
      <c r="B14" s="9">
        <v>2</v>
      </c>
      <c r="C14" s="51">
        <v>350</v>
      </c>
      <c r="D14" s="51">
        <v>700</v>
      </c>
      <c r="E14" s="9">
        <v>5</v>
      </c>
      <c r="F14" s="51">
        <v>175</v>
      </c>
      <c r="G14" s="144">
        <v>350</v>
      </c>
      <c r="I14" s="153" t="s">
        <v>3</v>
      </c>
      <c r="J14" s="159">
        <v>1</v>
      </c>
      <c r="K14" s="51">
        <v>2000</v>
      </c>
      <c r="L14" s="51">
        <v>2000</v>
      </c>
      <c r="M14" s="51">
        <v>24000</v>
      </c>
      <c r="N14" s="51">
        <v>2000</v>
      </c>
      <c r="O14" s="51">
        <v>218</v>
      </c>
      <c r="P14" s="51">
        <v>2244</v>
      </c>
      <c r="Q14" s="51">
        <v>243</v>
      </c>
      <c r="R14" s="51">
        <v>0</v>
      </c>
      <c r="S14" s="144">
        <v>28705</v>
      </c>
    </row>
    <row r="15" spans="1:19" ht="15">
      <c r="A15" s="138" t="s">
        <v>219</v>
      </c>
      <c r="B15" s="9">
        <v>5</v>
      </c>
      <c r="C15" s="51">
        <v>150</v>
      </c>
      <c r="D15" s="51">
        <v>750</v>
      </c>
      <c r="E15" s="9">
        <v>5</v>
      </c>
      <c r="F15" s="51">
        <v>75</v>
      </c>
      <c r="G15" s="144">
        <v>375</v>
      </c>
      <c r="I15" s="153" t="s">
        <v>4</v>
      </c>
      <c r="J15" s="159">
        <v>1</v>
      </c>
      <c r="K15" s="51">
        <v>1500</v>
      </c>
      <c r="L15" s="51">
        <v>1500</v>
      </c>
      <c r="M15" s="51">
        <v>18000</v>
      </c>
      <c r="N15" s="51">
        <v>1500</v>
      </c>
      <c r="O15" s="51">
        <v>218</v>
      </c>
      <c r="P15" s="51">
        <v>1683</v>
      </c>
      <c r="Q15" s="51">
        <v>182.25</v>
      </c>
      <c r="R15" s="51">
        <v>0</v>
      </c>
      <c r="S15" s="144">
        <v>21583.25</v>
      </c>
    </row>
    <row r="16" spans="1:19" ht="15">
      <c r="A16" s="138" t="s">
        <v>47</v>
      </c>
      <c r="B16" s="9">
        <v>2</v>
      </c>
      <c r="C16" s="51">
        <v>150</v>
      </c>
      <c r="D16" s="51">
        <v>300</v>
      </c>
      <c r="E16" s="9">
        <v>5</v>
      </c>
      <c r="F16" s="51">
        <v>75</v>
      </c>
      <c r="G16" s="144">
        <v>150</v>
      </c>
      <c r="I16" s="153" t="s">
        <v>13</v>
      </c>
      <c r="J16" s="159">
        <v>1</v>
      </c>
      <c r="K16" s="51">
        <v>400</v>
      </c>
      <c r="L16" s="51">
        <v>400</v>
      </c>
      <c r="M16" s="51">
        <v>4800</v>
      </c>
      <c r="N16" s="51">
        <v>400</v>
      </c>
      <c r="O16" s="51">
        <v>218</v>
      </c>
      <c r="P16" s="51">
        <v>448.79999999999995</v>
      </c>
      <c r="Q16" s="51">
        <v>48.6</v>
      </c>
      <c r="R16" s="51">
        <v>0</v>
      </c>
      <c r="S16" s="144">
        <v>5915.400000000001</v>
      </c>
    </row>
    <row r="17" spans="1:19" ht="15">
      <c r="A17" s="138" t="s">
        <v>48</v>
      </c>
      <c r="B17" s="9">
        <v>5</v>
      </c>
      <c r="C17" s="51">
        <v>90</v>
      </c>
      <c r="D17" s="51">
        <v>450</v>
      </c>
      <c r="E17" s="9">
        <v>5</v>
      </c>
      <c r="F17" s="51">
        <v>45</v>
      </c>
      <c r="G17" s="144">
        <v>225</v>
      </c>
      <c r="I17" s="153" t="s">
        <v>5</v>
      </c>
      <c r="J17" s="159">
        <v>1</v>
      </c>
      <c r="K17" s="51">
        <v>600</v>
      </c>
      <c r="L17" s="51">
        <v>600</v>
      </c>
      <c r="M17" s="51">
        <v>7200</v>
      </c>
      <c r="N17" s="51">
        <v>600</v>
      </c>
      <c r="O17" s="51">
        <v>218</v>
      </c>
      <c r="P17" s="51">
        <v>673.2</v>
      </c>
      <c r="Q17" s="51">
        <v>72.89999999999999</v>
      </c>
      <c r="R17" s="51">
        <v>0</v>
      </c>
      <c r="S17" s="144">
        <v>8764.1</v>
      </c>
    </row>
    <row r="18" spans="1:19" ht="15">
      <c r="A18" s="138" t="s">
        <v>49</v>
      </c>
      <c r="B18" s="9">
        <v>1</v>
      </c>
      <c r="C18" s="51">
        <v>200</v>
      </c>
      <c r="D18" s="51">
        <v>200</v>
      </c>
      <c r="E18" s="9">
        <v>5</v>
      </c>
      <c r="F18" s="51">
        <v>100</v>
      </c>
      <c r="G18" s="144">
        <v>100</v>
      </c>
      <c r="I18" s="153" t="s">
        <v>11</v>
      </c>
      <c r="J18" s="159">
        <v>3</v>
      </c>
      <c r="K18" s="51">
        <v>500</v>
      </c>
      <c r="L18" s="51">
        <v>1500</v>
      </c>
      <c r="M18" s="51">
        <v>18000</v>
      </c>
      <c r="N18" s="51">
        <v>4500</v>
      </c>
      <c r="O18" s="51">
        <v>654</v>
      </c>
      <c r="P18" s="51">
        <v>1683</v>
      </c>
      <c r="Q18" s="51">
        <v>182.25</v>
      </c>
      <c r="R18" s="51">
        <v>20870.904181272632</v>
      </c>
      <c r="S18" s="144">
        <v>45890.154181272635</v>
      </c>
    </row>
    <row r="19" spans="1:19" ht="15.75" thickBot="1">
      <c r="A19" s="139" t="s">
        <v>50</v>
      </c>
      <c r="B19" s="145">
        <v>1</v>
      </c>
      <c r="C19" s="146">
        <v>750</v>
      </c>
      <c r="D19" s="146">
        <v>750</v>
      </c>
      <c r="E19" s="145">
        <v>5</v>
      </c>
      <c r="F19" s="146">
        <v>375</v>
      </c>
      <c r="G19" s="147">
        <v>375</v>
      </c>
      <c r="I19" s="153" t="s">
        <v>6</v>
      </c>
      <c r="J19" s="159">
        <v>3</v>
      </c>
      <c r="K19" s="51">
        <v>450</v>
      </c>
      <c r="L19" s="51">
        <v>1350</v>
      </c>
      <c r="M19" s="51">
        <v>16200</v>
      </c>
      <c r="N19" s="51">
        <v>4050</v>
      </c>
      <c r="O19" s="51">
        <v>654</v>
      </c>
      <c r="P19" s="51">
        <v>1514.6999999999998</v>
      </c>
      <c r="Q19" s="51">
        <v>164.025</v>
      </c>
      <c r="R19" s="51">
        <v>0</v>
      </c>
      <c r="S19" s="144">
        <v>22582.725000000002</v>
      </c>
    </row>
    <row r="20" spans="9:19" ht="15">
      <c r="I20" s="153" t="s">
        <v>7</v>
      </c>
      <c r="J20" s="159">
        <v>1</v>
      </c>
      <c r="K20" s="51">
        <v>800</v>
      </c>
      <c r="L20" s="51">
        <v>800</v>
      </c>
      <c r="M20" s="51">
        <v>9600</v>
      </c>
      <c r="N20" s="51">
        <v>800</v>
      </c>
      <c r="O20" s="51">
        <v>218</v>
      </c>
      <c r="P20" s="51">
        <v>897.5999999999999</v>
      </c>
      <c r="Q20" s="51">
        <v>97.2</v>
      </c>
      <c r="R20" s="51">
        <v>0</v>
      </c>
      <c r="S20" s="144">
        <v>11612.800000000001</v>
      </c>
    </row>
    <row r="21" spans="1:19" ht="15">
      <c r="A21" s="149" t="s">
        <v>0</v>
      </c>
      <c r="B21" s="149">
        <v>1</v>
      </c>
      <c r="C21" s="149">
        <v>2</v>
      </c>
      <c r="D21" s="149">
        <v>3</v>
      </c>
      <c r="E21" s="149">
        <v>4</v>
      </c>
      <c r="F21" s="149">
        <v>5</v>
      </c>
      <c r="I21" s="153" t="s">
        <v>8</v>
      </c>
      <c r="J21" s="159">
        <v>4</v>
      </c>
      <c r="K21" s="51">
        <v>450</v>
      </c>
      <c r="L21" s="51">
        <v>1800</v>
      </c>
      <c r="M21" s="51">
        <v>21600</v>
      </c>
      <c r="N21" s="51">
        <v>7200</v>
      </c>
      <c r="O21" s="51">
        <v>872</v>
      </c>
      <c r="P21" s="51">
        <v>2019.6000000000001</v>
      </c>
      <c r="Q21" s="51">
        <v>218.7</v>
      </c>
      <c r="R21" s="51">
        <v>0</v>
      </c>
      <c r="S21" s="144">
        <v>31910.3</v>
      </c>
    </row>
    <row r="22" spans="1:19" ht="15">
      <c r="A22" s="7" t="s">
        <v>226</v>
      </c>
      <c r="B22" s="51" t="s">
        <v>110</v>
      </c>
      <c r="C22" s="51" t="s">
        <v>110</v>
      </c>
      <c r="D22" s="51" t="s">
        <v>110</v>
      </c>
      <c r="E22" s="51" t="s">
        <v>110</v>
      </c>
      <c r="F22" s="51">
        <v>22500</v>
      </c>
      <c r="I22" s="153" t="s">
        <v>9</v>
      </c>
      <c r="J22" s="159">
        <v>1</v>
      </c>
      <c r="K22" s="51">
        <v>800</v>
      </c>
      <c r="L22" s="51">
        <v>800</v>
      </c>
      <c r="M22" s="51">
        <v>9600</v>
      </c>
      <c r="N22" s="51">
        <v>800</v>
      </c>
      <c r="O22" s="51">
        <v>218</v>
      </c>
      <c r="P22" s="51">
        <v>897.5999999999999</v>
      </c>
      <c r="Q22" s="51">
        <v>97.2</v>
      </c>
      <c r="R22" s="51">
        <v>0</v>
      </c>
      <c r="S22" s="144">
        <v>11612.800000000001</v>
      </c>
    </row>
    <row r="23" spans="1:19" ht="15.75" thickBot="1">
      <c r="A23" s="7" t="s">
        <v>77</v>
      </c>
      <c r="B23" s="51" t="s">
        <v>110</v>
      </c>
      <c r="C23" s="51" t="s">
        <v>110</v>
      </c>
      <c r="D23" s="51" t="s">
        <v>110</v>
      </c>
      <c r="E23" s="51" t="s">
        <v>110</v>
      </c>
      <c r="F23" s="51">
        <v>50000</v>
      </c>
      <c r="I23" s="154" t="s">
        <v>17</v>
      </c>
      <c r="J23" s="160">
        <v>16</v>
      </c>
      <c r="K23" s="146"/>
      <c r="L23" s="146">
        <v>10750</v>
      </c>
      <c r="M23" s="146">
        <v>129000</v>
      </c>
      <c r="N23" s="146">
        <v>21850</v>
      </c>
      <c r="O23" s="146">
        <v>3488</v>
      </c>
      <c r="P23" s="146">
        <v>12061.500000000002</v>
      </c>
      <c r="Q23" s="146">
        <v>1306.125</v>
      </c>
      <c r="R23" s="146">
        <v>20870.904181272632</v>
      </c>
      <c r="S23" s="147">
        <v>188576.5291812726</v>
      </c>
    </row>
    <row r="24" spans="1:6" ht="15">
      <c r="A24" s="7" t="s">
        <v>79</v>
      </c>
      <c r="B24" s="51" t="s">
        <v>110</v>
      </c>
      <c r="C24" s="51" t="s">
        <v>110</v>
      </c>
      <c r="D24" s="51" t="s">
        <v>110</v>
      </c>
      <c r="E24" s="51" t="s">
        <v>110</v>
      </c>
      <c r="F24" s="51">
        <v>12000</v>
      </c>
    </row>
    <row r="25" spans="1:6" ht="15">
      <c r="A25" s="7" t="s">
        <v>227</v>
      </c>
      <c r="B25" s="51" t="s">
        <v>110</v>
      </c>
      <c r="C25" s="51" t="s">
        <v>110</v>
      </c>
      <c r="D25" s="51" t="s">
        <v>110</v>
      </c>
      <c r="E25" s="51" t="s">
        <v>110</v>
      </c>
      <c r="F25" s="51">
        <v>38000</v>
      </c>
    </row>
    <row r="26" spans="1:6" ht="15">
      <c r="A26" s="7" t="s">
        <v>37</v>
      </c>
      <c r="B26" s="51" t="s">
        <v>110</v>
      </c>
      <c r="C26" s="51" t="s">
        <v>110</v>
      </c>
      <c r="D26" s="51" t="s">
        <v>110</v>
      </c>
      <c r="E26" s="51" t="s">
        <v>110</v>
      </c>
      <c r="F26" s="51">
        <v>50</v>
      </c>
    </row>
    <row r="27" spans="1:14" ht="15">
      <c r="A27" s="7" t="s">
        <v>38</v>
      </c>
      <c r="B27" s="51" t="s">
        <v>110</v>
      </c>
      <c r="C27" s="51" t="s">
        <v>110</v>
      </c>
      <c r="D27" s="51" t="s">
        <v>110</v>
      </c>
      <c r="E27" s="51" t="s">
        <v>110</v>
      </c>
      <c r="F27" s="51">
        <v>1200</v>
      </c>
      <c r="I27" s="152"/>
      <c r="J27" s="152" t="s">
        <v>102</v>
      </c>
      <c r="K27" s="152" t="s">
        <v>111</v>
      </c>
      <c r="L27" s="152" t="s">
        <v>112</v>
      </c>
      <c r="M27" s="152" t="s">
        <v>113</v>
      </c>
      <c r="N27" s="152" t="s">
        <v>114</v>
      </c>
    </row>
    <row r="28" spans="1:14" ht="15">
      <c r="A28" s="7" t="s">
        <v>43</v>
      </c>
      <c r="B28" s="51" t="s">
        <v>110</v>
      </c>
      <c r="C28" s="51" t="s">
        <v>110</v>
      </c>
      <c r="D28" s="51">
        <v>520</v>
      </c>
      <c r="E28" s="51" t="s">
        <v>110</v>
      </c>
      <c r="F28" s="51"/>
      <c r="I28" s="164" t="s">
        <v>159</v>
      </c>
      <c r="J28" s="51"/>
      <c r="K28" s="51"/>
      <c r="L28" s="51"/>
      <c r="M28" s="51"/>
      <c r="N28" s="51"/>
    </row>
    <row r="29" spans="1:14" ht="15">
      <c r="A29" s="7" t="s">
        <v>82</v>
      </c>
      <c r="B29" s="51" t="s">
        <v>110</v>
      </c>
      <c r="C29" s="51" t="s">
        <v>110</v>
      </c>
      <c r="D29" s="51">
        <v>1000</v>
      </c>
      <c r="E29" s="51" t="s">
        <v>110</v>
      </c>
      <c r="F29" s="51"/>
      <c r="I29" s="164" t="s">
        <v>160</v>
      </c>
      <c r="J29" s="51">
        <v>9400</v>
      </c>
      <c r="K29" s="51">
        <v>156666.22918127262</v>
      </c>
      <c r="L29" s="51">
        <v>170969.85590552283</v>
      </c>
      <c r="M29" s="51">
        <v>186579.40374969709</v>
      </c>
      <c r="N29" s="51">
        <v>203614.10331204435</v>
      </c>
    </row>
    <row r="30" spans="1:14" ht="15">
      <c r="A30" s="7" t="s">
        <v>41</v>
      </c>
      <c r="B30" s="51" t="s">
        <v>110</v>
      </c>
      <c r="C30" s="51" t="s">
        <v>110</v>
      </c>
      <c r="D30" s="51">
        <v>60</v>
      </c>
      <c r="E30" s="51" t="s">
        <v>110</v>
      </c>
      <c r="F30" s="51"/>
      <c r="I30" s="164" t="s">
        <v>161</v>
      </c>
      <c r="J30" s="51"/>
      <c r="K30" s="51"/>
      <c r="L30" s="51"/>
      <c r="M30" s="51"/>
      <c r="N30" s="51"/>
    </row>
    <row r="31" spans="1:14" ht="15">
      <c r="A31" s="7" t="s">
        <v>42</v>
      </c>
      <c r="B31" s="51" t="s">
        <v>110</v>
      </c>
      <c r="C31" s="51" t="s">
        <v>110</v>
      </c>
      <c r="D31" s="51">
        <v>4900</v>
      </c>
      <c r="E31" s="51" t="s">
        <v>110</v>
      </c>
      <c r="F31" s="51"/>
      <c r="I31" s="164" t="s">
        <v>162</v>
      </c>
      <c r="J31" s="51">
        <v>15200</v>
      </c>
      <c r="K31" s="51">
        <v>15048</v>
      </c>
      <c r="L31" s="51">
        <v>14897.52</v>
      </c>
      <c r="M31" s="51">
        <v>14748.5448</v>
      </c>
      <c r="N31" s="51">
        <v>14601.059352</v>
      </c>
    </row>
    <row r="32" spans="1:6" ht="15.75" thickBot="1">
      <c r="A32" s="7" t="s">
        <v>44</v>
      </c>
      <c r="B32" s="51" t="s">
        <v>110</v>
      </c>
      <c r="C32" s="51" t="s">
        <v>110</v>
      </c>
      <c r="D32" s="51" t="s">
        <v>110</v>
      </c>
      <c r="E32" s="51" t="s">
        <v>110</v>
      </c>
      <c r="F32" s="51">
        <v>600</v>
      </c>
    </row>
    <row r="33" spans="1:21" ht="15">
      <c r="A33" s="7" t="s">
        <v>45</v>
      </c>
      <c r="B33" s="51" t="s">
        <v>110</v>
      </c>
      <c r="C33" s="51" t="s">
        <v>110</v>
      </c>
      <c r="D33" s="51" t="s">
        <v>110</v>
      </c>
      <c r="E33" s="51" t="s">
        <v>110</v>
      </c>
      <c r="F33" s="51">
        <v>60</v>
      </c>
      <c r="I33" s="155" t="s">
        <v>208</v>
      </c>
      <c r="J33" s="157" t="s">
        <v>189</v>
      </c>
      <c r="K33" s="157" t="s">
        <v>190</v>
      </c>
      <c r="L33" s="157" t="s">
        <v>191</v>
      </c>
      <c r="M33" s="157" t="s">
        <v>192</v>
      </c>
      <c r="N33" s="157" t="s">
        <v>193</v>
      </c>
      <c r="O33" s="157" t="s">
        <v>194</v>
      </c>
      <c r="P33" s="157" t="s">
        <v>195</v>
      </c>
      <c r="Q33" s="157" t="s">
        <v>196</v>
      </c>
      <c r="R33" s="157" t="s">
        <v>197</v>
      </c>
      <c r="S33" s="157" t="s">
        <v>198</v>
      </c>
      <c r="T33" s="157" t="s">
        <v>199</v>
      </c>
      <c r="U33" s="165" t="s">
        <v>200</v>
      </c>
    </row>
    <row r="34" spans="1:21" ht="15">
      <c r="A34" s="7" t="s">
        <v>46</v>
      </c>
      <c r="B34" s="51" t="s">
        <v>110</v>
      </c>
      <c r="C34" s="51" t="s">
        <v>110</v>
      </c>
      <c r="D34" s="51" t="s">
        <v>110</v>
      </c>
      <c r="E34" s="51" t="s">
        <v>110</v>
      </c>
      <c r="F34" s="51">
        <v>700</v>
      </c>
      <c r="I34" s="153" t="s">
        <v>209</v>
      </c>
      <c r="J34" s="51">
        <v>400</v>
      </c>
      <c r="K34" s="51">
        <v>0</v>
      </c>
      <c r="L34" s="51">
        <v>0</v>
      </c>
      <c r="M34" s="51">
        <v>0</v>
      </c>
      <c r="N34" s="51">
        <v>0</v>
      </c>
      <c r="O34" s="51">
        <v>400</v>
      </c>
      <c r="P34" s="51">
        <v>0</v>
      </c>
      <c r="Q34" s="51">
        <v>0</v>
      </c>
      <c r="R34" s="51">
        <v>0</v>
      </c>
      <c r="S34" s="51">
        <v>0</v>
      </c>
      <c r="T34" s="51">
        <v>0</v>
      </c>
      <c r="U34" s="144">
        <v>0</v>
      </c>
    </row>
    <row r="35" spans="1:21" ht="15">
      <c r="A35" s="7" t="s">
        <v>219</v>
      </c>
      <c r="B35" s="51" t="s">
        <v>110</v>
      </c>
      <c r="C35" s="51" t="s">
        <v>110</v>
      </c>
      <c r="D35" s="51" t="s">
        <v>110</v>
      </c>
      <c r="E35" s="51" t="s">
        <v>110</v>
      </c>
      <c r="F35" s="51">
        <v>750</v>
      </c>
      <c r="I35" s="153" t="s">
        <v>162</v>
      </c>
      <c r="J35" s="51">
        <v>1200</v>
      </c>
      <c r="K35" s="51">
        <v>700</v>
      </c>
      <c r="L35" s="51">
        <v>700</v>
      </c>
      <c r="M35" s="51">
        <v>700</v>
      </c>
      <c r="N35" s="51">
        <v>700</v>
      </c>
      <c r="O35" s="51">
        <v>700</v>
      </c>
      <c r="P35" s="51">
        <v>600</v>
      </c>
      <c r="Q35" s="51">
        <v>600</v>
      </c>
      <c r="R35" s="51">
        <v>500</v>
      </c>
      <c r="S35" s="51">
        <v>1000</v>
      </c>
      <c r="T35" s="51">
        <v>1000</v>
      </c>
      <c r="U35" s="144">
        <v>400</v>
      </c>
    </row>
    <row r="36" spans="1:21" ht="15">
      <c r="A36" s="7" t="s">
        <v>47</v>
      </c>
      <c r="B36" s="51" t="s">
        <v>110</v>
      </c>
      <c r="C36" s="51" t="s">
        <v>110</v>
      </c>
      <c r="D36" s="51" t="s">
        <v>110</v>
      </c>
      <c r="E36" s="51" t="s">
        <v>110</v>
      </c>
      <c r="F36" s="51">
        <v>300</v>
      </c>
      <c r="I36" s="153" t="s">
        <v>211</v>
      </c>
      <c r="J36" s="51">
        <v>1600</v>
      </c>
      <c r="K36" s="51">
        <v>700</v>
      </c>
      <c r="L36" s="51">
        <v>700</v>
      </c>
      <c r="M36" s="51">
        <v>700</v>
      </c>
      <c r="N36" s="51">
        <v>700</v>
      </c>
      <c r="O36" s="51">
        <v>1100</v>
      </c>
      <c r="P36" s="51">
        <v>600</v>
      </c>
      <c r="Q36" s="51">
        <v>600</v>
      </c>
      <c r="R36" s="51">
        <v>500</v>
      </c>
      <c r="S36" s="51">
        <v>1000</v>
      </c>
      <c r="T36" s="51">
        <v>1000</v>
      </c>
      <c r="U36" s="144">
        <v>6000</v>
      </c>
    </row>
    <row r="37" spans="1:21" ht="15.75" thickBot="1">
      <c r="A37" s="7" t="s">
        <v>48</v>
      </c>
      <c r="B37" s="51" t="s">
        <v>110</v>
      </c>
      <c r="C37" s="51" t="s">
        <v>110</v>
      </c>
      <c r="D37" s="51" t="s">
        <v>110</v>
      </c>
      <c r="E37" s="51" t="s">
        <v>110</v>
      </c>
      <c r="F37" s="51">
        <v>450</v>
      </c>
      <c r="I37" s="154" t="s">
        <v>212</v>
      </c>
      <c r="J37" s="146">
        <v>15200</v>
      </c>
      <c r="K37" s="146"/>
      <c r="L37" s="146"/>
      <c r="M37" s="146"/>
      <c r="N37" s="146"/>
      <c r="O37" s="146"/>
      <c r="P37" s="146"/>
      <c r="Q37" s="146"/>
      <c r="R37" s="146"/>
      <c r="S37" s="146"/>
      <c r="T37" s="146"/>
      <c r="U37" s="147"/>
    </row>
    <row r="38" spans="1:6" ht="15">
      <c r="A38" s="7" t="s">
        <v>49</v>
      </c>
      <c r="B38" s="51" t="s">
        <v>110</v>
      </c>
      <c r="C38" s="51" t="s">
        <v>110</v>
      </c>
      <c r="D38" s="51" t="s">
        <v>110</v>
      </c>
      <c r="E38" s="51" t="s">
        <v>110</v>
      </c>
      <c r="F38" s="51">
        <v>200</v>
      </c>
    </row>
    <row r="39" spans="1:6" ht="15.75" thickBot="1">
      <c r="A39" s="7" t="s">
        <v>50</v>
      </c>
      <c r="B39" s="51" t="s">
        <v>110</v>
      </c>
      <c r="C39" s="51" t="s">
        <v>110</v>
      </c>
      <c r="D39" s="51" t="s">
        <v>110</v>
      </c>
      <c r="E39" s="51" t="s">
        <v>110</v>
      </c>
      <c r="F39" s="51">
        <v>750</v>
      </c>
    </row>
    <row r="40" spans="9:14" ht="15">
      <c r="I40" s="155" t="s">
        <v>176</v>
      </c>
      <c r="J40" s="157" t="s">
        <v>102</v>
      </c>
      <c r="K40" s="157" t="s">
        <v>111</v>
      </c>
      <c r="L40" s="157" t="s">
        <v>112</v>
      </c>
      <c r="M40" s="157" t="s">
        <v>113</v>
      </c>
      <c r="N40" s="165" t="s">
        <v>114</v>
      </c>
    </row>
    <row r="41" spans="9:14" ht="15.75" thickBot="1">
      <c r="I41" s="153" t="s">
        <v>166</v>
      </c>
      <c r="J41" s="51">
        <v>173899.35519610374</v>
      </c>
      <c r="K41" s="51">
        <v>238244.78847819968</v>
      </c>
      <c r="L41" s="51">
        <v>302811.85186980426</v>
      </c>
      <c r="M41" s="51">
        <v>405986.447676294</v>
      </c>
      <c r="N41" s="144">
        <v>536966.9066590908</v>
      </c>
    </row>
    <row r="42" spans="1:14" ht="15">
      <c r="A42" s="140" t="s">
        <v>19</v>
      </c>
      <c r="B42" s="141">
        <v>1</v>
      </c>
      <c r="C42" s="141">
        <v>2</v>
      </c>
      <c r="D42" s="141">
        <v>3</v>
      </c>
      <c r="E42" s="141">
        <v>4</v>
      </c>
      <c r="F42" s="150">
        <v>5</v>
      </c>
      <c r="I42" s="153" t="s">
        <v>177</v>
      </c>
      <c r="J42" s="51">
        <v>7199.999999999999</v>
      </c>
      <c r="K42" s="51">
        <v>11250</v>
      </c>
      <c r="L42" s="51">
        <v>16200</v>
      </c>
      <c r="M42" s="51">
        <v>22050</v>
      </c>
      <c r="N42" s="144">
        <v>28800</v>
      </c>
    </row>
    <row r="43" spans="1:14" ht="21" customHeight="1">
      <c r="A43" s="138" t="s">
        <v>226</v>
      </c>
      <c r="B43" s="51"/>
      <c r="C43" s="51" t="s">
        <v>110</v>
      </c>
      <c r="D43" s="51"/>
      <c r="E43" s="51" t="s">
        <v>110</v>
      </c>
      <c r="F43" s="144">
        <v>11250</v>
      </c>
      <c r="I43" s="167" t="s">
        <v>178</v>
      </c>
      <c r="J43" s="51">
        <v>4800</v>
      </c>
      <c r="K43" s="51">
        <v>4800</v>
      </c>
      <c r="L43" s="51">
        <v>4800</v>
      </c>
      <c r="M43" s="51">
        <v>4800</v>
      </c>
      <c r="N43" s="144">
        <v>4800</v>
      </c>
    </row>
    <row r="44" spans="1:14" ht="15.75" thickBot="1">
      <c r="A44" s="138" t="s">
        <v>77</v>
      </c>
      <c r="B44" s="51" t="s">
        <v>110</v>
      </c>
      <c r="C44" s="51" t="s">
        <v>110</v>
      </c>
      <c r="D44" s="51" t="s">
        <v>110</v>
      </c>
      <c r="E44" s="51" t="s">
        <v>110</v>
      </c>
      <c r="F44" s="144">
        <v>25000</v>
      </c>
      <c r="I44" s="154" t="s">
        <v>152</v>
      </c>
      <c r="J44" s="146">
        <v>156666.22918127262</v>
      </c>
      <c r="K44" s="146">
        <v>170969.85590552283</v>
      </c>
      <c r="L44" s="146">
        <v>186579.40374969709</v>
      </c>
      <c r="M44" s="146">
        <v>203614.10331204435</v>
      </c>
      <c r="N44" s="147">
        <v>222204.07094443406</v>
      </c>
    </row>
    <row r="45" spans="1:6" ht="15">
      <c r="A45" s="138" t="s">
        <v>79</v>
      </c>
      <c r="B45" s="51" t="s">
        <v>110</v>
      </c>
      <c r="C45" s="51" t="s">
        <v>110</v>
      </c>
      <c r="D45" s="51" t="s">
        <v>110</v>
      </c>
      <c r="E45" s="51" t="s">
        <v>110</v>
      </c>
      <c r="F45" s="144">
        <v>6000</v>
      </c>
    </row>
    <row r="46" spans="1:6" ht="15">
      <c r="A46" s="138" t="s">
        <v>227</v>
      </c>
      <c r="B46" s="51" t="s">
        <v>110</v>
      </c>
      <c r="C46" s="51" t="s">
        <v>110</v>
      </c>
      <c r="D46" s="51" t="s">
        <v>110</v>
      </c>
      <c r="E46" s="51" t="s">
        <v>110</v>
      </c>
      <c r="F46" s="144">
        <v>19000</v>
      </c>
    </row>
    <row r="47" spans="1:10" ht="15">
      <c r="A47" s="138" t="s">
        <v>37</v>
      </c>
      <c r="B47" s="51" t="s">
        <v>110</v>
      </c>
      <c r="C47" s="51" t="s">
        <v>110</v>
      </c>
      <c r="D47" s="51" t="s">
        <v>110</v>
      </c>
      <c r="E47" s="51" t="s">
        <v>110</v>
      </c>
      <c r="F47" s="144">
        <v>25</v>
      </c>
      <c r="I47" s="224" t="s">
        <v>254</v>
      </c>
      <c r="J47" s="224"/>
    </row>
    <row r="48" spans="1:10" ht="15">
      <c r="A48" s="138" t="s">
        <v>38</v>
      </c>
      <c r="B48" s="51" t="s">
        <v>110</v>
      </c>
      <c r="C48" s="51" t="s">
        <v>110</v>
      </c>
      <c r="D48" s="51" t="s">
        <v>110</v>
      </c>
      <c r="E48" s="51" t="s">
        <v>110</v>
      </c>
      <c r="F48" s="144">
        <v>600</v>
      </c>
      <c r="I48" s="7" t="s">
        <v>154</v>
      </c>
      <c r="J48" s="8">
        <v>70</v>
      </c>
    </row>
    <row r="49" spans="1:10" ht="15">
      <c r="A49" s="138" t="s">
        <v>43</v>
      </c>
      <c r="B49" s="51" t="s">
        <v>110</v>
      </c>
      <c r="C49" s="51" t="s">
        <v>110</v>
      </c>
      <c r="D49" s="51" t="s">
        <v>110</v>
      </c>
      <c r="E49" s="51" t="s">
        <v>110</v>
      </c>
      <c r="F49" s="144">
        <v>173.33333333333331</v>
      </c>
      <c r="I49" s="7" t="s">
        <v>155</v>
      </c>
      <c r="J49" s="8">
        <v>200</v>
      </c>
    </row>
    <row r="50" spans="1:10" ht="15">
      <c r="A50" s="138" t="s">
        <v>82</v>
      </c>
      <c r="B50" s="51" t="s">
        <v>110</v>
      </c>
      <c r="C50" s="51" t="s">
        <v>110</v>
      </c>
      <c r="D50" s="51" t="s">
        <v>110</v>
      </c>
      <c r="E50" s="51" t="s">
        <v>110</v>
      </c>
      <c r="F50" s="144">
        <v>333.33333333333337</v>
      </c>
      <c r="I50" s="7" t="s">
        <v>156</v>
      </c>
      <c r="J50" s="8">
        <v>130</v>
      </c>
    </row>
    <row r="51" spans="1:10" ht="15">
      <c r="A51" s="138" t="s">
        <v>41</v>
      </c>
      <c r="B51" s="51" t="s">
        <v>110</v>
      </c>
      <c r="C51" s="51" t="s">
        <v>110</v>
      </c>
      <c r="D51" s="51" t="s">
        <v>110</v>
      </c>
      <c r="E51" s="51" t="s">
        <v>110</v>
      </c>
      <c r="F51" s="144">
        <v>20</v>
      </c>
      <c r="I51" s="57" t="s">
        <v>22</v>
      </c>
      <c r="J51" s="57">
        <f>+SUM(J48:J50)</f>
        <v>400</v>
      </c>
    </row>
    <row r="52" spans="1:10" ht="15">
      <c r="A52" s="138" t="s">
        <v>42</v>
      </c>
      <c r="B52" s="51" t="s">
        <v>110</v>
      </c>
      <c r="C52" s="51" t="s">
        <v>110</v>
      </c>
      <c r="D52" s="51" t="s">
        <v>110</v>
      </c>
      <c r="E52" s="51" t="s">
        <v>110</v>
      </c>
      <c r="F52" s="144">
        <v>1633.3333333333335</v>
      </c>
      <c r="I52" s="10" t="s">
        <v>281</v>
      </c>
      <c r="J52" s="8">
        <f>+J51/'Determ de los ingresos'!B18</f>
        <v>0.07547169811320754</v>
      </c>
    </row>
    <row r="53" spans="1:6" ht="15">
      <c r="A53" s="138" t="s">
        <v>44</v>
      </c>
      <c r="B53" s="51" t="s">
        <v>110</v>
      </c>
      <c r="C53" s="51" t="s">
        <v>110</v>
      </c>
      <c r="D53" s="51" t="s">
        <v>110</v>
      </c>
      <c r="E53" s="51" t="s">
        <v>110</v>
      </c>
      <c r="F53" s="144">
        <v>300</v>
      </c>
    </row>
    <row r="54" spans="1:6" ht="15">
      <c r="A54" s="138" t="s">
        <v>45</v>
      </c>
      <c r="B54" s="51" t="s">
        <v>110</v>
      </c>
      <c r="C54" s="51" t="s">
        <v>110</v>
      </c>
      <c r="D54" s="51" t="s">
        <v>110</v>
      </c>
      <c r="E54" s="51" t="s">
        <v>110</v>
      </c>
      <c r="F54" s="144">
        <v>30</v>
      </c>
    </row>
    <row r="55" spans="1:6" ht="15">
      <c r="A55" s="138" t="s">
        <v>46</v>
      </c>
      <c r="B55" s="51" t="s">
        <v>110</v>
      </c>
      <c r="C55" s="51" t="s">
        <v>110</v>
      </c>
      <c r="D55" s="51" t="s">
        <v>110</v>
      </c>
      <c r="E55" s="51" t="s">
        <v>110</v>
      </c>
      <c r="F55" s="144">
        <v>350</v>
      </c>
    </row>
    <row r="56" spans="1:6" ht="15">
      <c r="A56" s="138" t="s">
        <v>219</v>
      </c>
      <c r="B56" s="51" t="s">
        <v>110</v>
      </c>
      <c r="C56" s="51" t="s">
        <v>110</v>
      </c>
      <c r="D56" s="51" t="s">
        <v>110</v>
      </c>
      <c r="E56" s="51" t="s">
        <v>110</v>
      </c>
      <c r="F56" s="144">
        <v>375</v>
      </c>
    </row>
    <row r="57" spans="1:6" ht="15">
      <c r="A57" s="138" t="s">
        <v>47</v>
      </c>
      <c r="B57" s="51" t="s">
        <v>110</v>
      </c>
      <c r="C57" s="51" t="s">
        <v>110</v>
      </c>
      <c r="D57" s="51" t="s">
        <v>110</v>
      </c>
      <c r="E57" s="51" t="s">
        <v>110</v>
      </c>
      <c r="F57" s="144">
        <v>150</v>
      </c>
    </row>
    <row r="58" spans="1:6" ht="15">
      <c r="A58" s="138" t="s">
        <v>48</v>
      </c>
      <c r="B58" s="51" t="s">
        <v>110</v>
      </c>
      <c r="C58" s="51" t="s">
        <v>110</v>
      </c>
      <c r="D58" s="51" t="s">
        <v>110</v>
      </c>
      <c r="E58" s="51" t="s">
        <v>110</v>
      </c>
      <c r="F58" s="144">
        <v>225</v>
      </c>
    </row>
    <row r="59" spans="1:6" ht="15">
      <c r="A59" s="138" t="s">
        <v>49</v>
      </c>
      <c r="B59" s="51" t="s">
        <v>110</v>
      </c>
      <c r="C59" s="51" t="s">
        <v>110</v>
      </c>
      <c r="D59" s="51" t="s">
        <v>110</v>
      </c>
      <c r="E59" s="51" t="s">
        <v>110</v>
      </c>
      <c r="F59" s="144">
        <v>100</v>
      </c>
    </row>
    <row r="60" spans="1:6" ht="15.75" thickBot="1">
      <c r="A60" s="139" t="s">
        <v>50</v>
      </c>
      <c r="B60" s="146" t="s">
        <v>110</v>
      </c>
      <c r="C60" s="146" t="s">
        <v>110</v>
      </c>
      <c r="D60" s="146" t="s">
        <v>110</v>
      </c>
      <c r="E60" s="146" t="s">
        <v>110</v>
      </c>
      <c r="F60" s="147">
        <v>375</v>
      </c>
    </row>
  </sheetData>
  <sheetProtection/>
  <mergeCells count="1">
    <mergeCell ref="I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Joshue</dc:creator>
  <cp:keywords/>
  <dc:description/>
  <cp:lastModifiedBy>USUARIO</cp:lastModifiedBy>
  <cp:lastPrinted>2009-07-07T01:57:49Z</cp:lastPrinted>
  <dcterms:created xsi:type="dcterms:W3CDTF">2009-06-17T22:10:14Z</dcterms:created>
  <dcterms:modified xsi:type="dcterms:W3CDTF">2009-10-06T16:52:39Z</dcterms:modified>
  <cp:category/>
  <cp:version/>
  <cp:contentType/>
  <cp:contentStatus/>
</cp:coreProperties>
</file>