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0" windowWidth="8895" windowHeight="10380" firstSheet="8" activeTab="14"/>
  </bookViews>
  <sheets>
    <sheet name="SUELDOS" sheetId="17" r:id="rId1"/>
    <sheet name="COSTOS" sheetId="15" r:id="rId2"/>
    <sheet name="INVERSION" sheetId="1" r:id="rId3"/>
    <sheet name="PAY BACK" sheetId="16" r:id="rId4"/>
    <sheet name="VAL. DESECHO" sheetId="7" r:id="rId5"/>
    <sheet name="COST. VARIABLE" sheetId="3" r:id="rId6"/>
    <sheet name="CAPT MERCADO" sheetId="14" r:id="rId7"/>
    <sheet name="AMORTIZACION" sheetId="11" r:id="rId8"/>
    <sheet name="INGRESOS Y EGRESOS" sheetId="9" r:id="rId9"/>
    <sheet name="COSTO DE VENTA" sheetId="12" r:id="rId10"/>
    <sheet name="CB_DATA_" sheetId="19" state="veryHidden" r:id="rId11"/>
    <sheet name="CAPM" sheetId="8" r:id="rId12"/>
    <sheet name="DEMANDA" sheetId="18" r:id="rId13"/>
    <sheet name="DEFICIT" sheetId="10" r:id="rId14"/>
    <sheet name="EERR" sheetId="13" r:id="rId15"/>
    <sheet name="EERR (OPTIMISTA)" sheetId="20" r:id="rId16"/>
    <sheet name="EERR (PESIMISTA)" sheetId="22" r:id="rId17"/>
  </sheets>
  <definedNames>
    <definedName name="CB_5d9a144c42f743e4a86a821a8d326bbc" localSheetId="14" hidden="1">EERR!$E$65</definedName>
    <definedName name="CB_5d9a144c42f743e4a86a821a8d326bbc" localSheetId="15" hidden="1">'EERR (OPTIMISTA)'!$E$65</definedName>
    <definedName name="CB_5d9a144c42f743e4a86a821a8d326bbc" localSheetId="16" hidden="1">'EERR (PESIMISTA)'!$E$65</definedName>
    <definedName name="CBWorkbookPriority" hidden="1">-1765870355</definedName>
    <definedName name="CBx_207a8ef53beb4ad7a98cefde088ea17b" localSheetId="10" hidden="1">"'CB_DATA_'!$A$1"</definedName>
    <definedName name="CBx_a50021cb508a489496f41699a242a425" localSheetId="10" hidden="1">"'EERR'!$A$1"</definedName>
    <definedName name="CBx_Sheet_Guid" localSheetId="10" hidden="1">"'207a8ef5-3beb-4ad7-a98c-efde088ea17b"</definedName>
    <definedName name="CBx_Sheet_Guid" localSheetId="14" hidden="1">"'a50021cb-508a-4894-96f4-1699a242a425"</definedName>
    <definedName name="CBx_Sheet_Guid" localSheetId="15" hidden="1">"'a50021cb-508a-4894-96f4-1699a242a425"</definedName>
    <definedName name="CBx_Sheet_Guid" localSheetId="16" hidden="1">"'a50021cb-508a-4894-96f4-1699a242a425"</definedName>
  </definedNames>
  <calcPr calcId="125725"/>
  <fileRecoveryPr autoRecover="0"/>
</workbook>
</file>

<file path=xl/calcChain.xml><?xml version="1.0" encoding="utf-8"?>
<calcChain xmlns="http://schemas.openxmlformats.org/spreadsheetml/2006/main">
  <c r="M39" i="18"/>
  <c r="C9" i="14"/>
  <c r="C10"/>
  <c r="C11" s="1"/>
  <c r="C12" s="1"/>
  <c r="C8"/>
  <c r="C7"/>
  <c r="I31" i="17"/>
  <c r="I22"/>
  <c r="I23"/>
  <c r="I24"/>
  <c r="I25"/>
  <c r="I26"/>
  <c r="I27"/>
  <c r="I28"/>
  <c r="I29"/>
  <c r="I30"/>
  <c r="I21"/>
  <c r="G31"/>
  <c r="E31"/>
  <c r="H30"/>
  <c r="H29"/>
  <c r="H28"/>
  <c r="H27"/>
  <c r="H26"/>
  <c r="H25"/>
  <c r="H24"/>
  <c r="H23"/>
  <c r="H22"/>
  <c r="H21"/>
  <c r="H31"/>
  <c r="F39" i="22"/>
  <c r="F39" i="20"/>
  <c r="F39" i="13"/>
  <c r="H36" i="15"/>
  <c r="H35"/>
  <c r="F46" i="22"/>
  <c r="G46" s="1"/>
  <c r="B12" i="1"/>
  <c r="D9" i="17"/>
  <c r="J9"/>
  <c r="D13"/>
  <c r="J13"/>
  <c r="B87" i="9"/>
  <c r="B88"/>
  <c r="B89"/>
  <c r="B90"/>
  <c r="B91"/>
  <c r="E26" i="15"/>
  <c r="B16" i="8"/>
  <c r="B9"/>
  <c r="B17"/>
  <c r="B18"/>
  <c r="G71" i="15"/>
  <c r="P20" i="9"/>
  <c r="Q16"/>
  <c r="D5" i="17"/>
  <c r="F5"/>
  <c r="G5"/>
  <c r="L5"/>
  <c r="J5"/>
  <c r="D6"/>
  <c r="F6"/>
  <c r="G6"/>
  <c r="J6"/>
  <c r="D7"/>
  <c r="F7"/>
  <c r="G7"/>
  <c r="L7"/>
  <c r="C22"/>
  <c r="C48" i="15"/>
  <c r="J7" i="17"/>
  <c r="D8"/>
  <c r="F8"/>
  <c r="G8"/>
  <c r="J8"/>
  <c r="D62" i="15"/>
  <c r="E62" s="1"/>
  <c r="D61"/>
  <c r="E61" s="1"/>
  <c r="E11" i="3"/>
  <c r="F11"/>
  <c r="E17"/>
  <c r="E22"/>
  <c r="E19"/>
  <c r="E20"/>
  <c r="E23"/>
  <c r="E12"/>
  <c r="F12"/>
  <c r="E21"/>
  <c r="Q20" i="9"/>
  <c r="D14" i="17"/>
  <c r="F14"/>
  <c r="G14"/>
  <c r="L14"/>
  <c r="C26"/>
  <c r="C52" i="15"/>
  <c r="H14" i="17"/>
  <c r="J14"/>
  <c r="E22" i="15"/>
  <c r="E21"/>
  <c r="E23"/>
  <c r="E13"/>
  <c r="B8" i="1"/>
  <c r="D60" i="15"/>
  <c r="G72"/>
  <c r="B48"/>
  <c r="B47"/>
  <c r="B22" i="17"/>
  <c r="B21"/>
  <c r="I5"/>
  <c r="I6"/>
  <c r="I7"/>
  <c r="I8"/>
  <c r="I9"/>
  <c r="I13"/>
  <c r="I14"/>
  <c r="D35" i="15"/>
  <c r="D36"/>
  <c r="D37"/>
  <c r="F70"/>
  <c r="G70"/>
  <c r="D34"/>
  <c r="H40" i="20"/>
  <c r="D38" i="15"/>
  <c r="F42" i="22"/>
  <c r="G42"/>
  <c r="H42" s="1"/>
  <c r="I42"/>
  <c r="J42" s="1"/>
  <c r="D79" i="15"/>
  <c r="D81"/>
  <c r="D40"/>
  <c r="E24"/>
  <c r="E25"/>
  <c r="E4"/>
  <c r="E5"/>
  <c r="E6"/>
  <c r="E15"/>
  <c r="B9" i="1"/>
  <c r="D45" i="3"/>
  <c r="I45"/>
  <c r="J45"/>
  <c r="S34"/>
  <c r="N34"/>
  <c r="I34"/>
  <c r="D34"/>
  <c r="H34" i="15"/>
  <c r="E34" i="3"/>
  <c r="D35"/>
  <c r="E35"/>
  <c r="J34"/>
  <c r="I35"/>
  <c r="J35"/>
  <c r="O34"/>
  <c r="N35"/>
  <c r="O35"/>
  <c r="T34"/>
  <c r="S35"/>
  <c r="T35"/>
  <c r="E45"/>
  <c r="D10" i="17"/>
  <c r="D11"/>
  <c r="D12"/>
  <c r="K25" i="18"/>
  <c r="L25"/>
  <c r="M25"/>
  <c r="E23" i="14"/>
  <c r="E24"/>
  <c r="E25"/>
  <c r="E26"/>
  <c r="E30"/>
  <c r="E33"/>
  <c r="E31"/>
  <c r="E32"/>
  <c r="C40"/>
  <c r="D39"/>
  <c r="C45"/>
  <c r="I10" i="17"/>
  <c r="I11"/>
  <c r="I12"/>
  <c r="D6" i="14"/>
  <c r="E60" i="15"/>
  <c r="D31" i="3"/>
  <c r="E31"/>
  <c r="D32"/>
  <c r="E32"/>
  <c r="D33"/>
  <c r="E33"/>
  <c r="D44"/>
  <c r="E44"/>
  <c r="E46"/>
  <c r="E48"/>
  <c r="I31"/>
  <c r="J31"/>
  <c r="I32"/>
  <c r="J32"/>
  <c r="I33"/>
  <c r="J33"/>
  <c r="N31"/>
  <c r="O31"/>
  <c r="N32"/>
  <c r="O32"/>
  <c r="N33"/>
  <c r="O33"/>
  <c r="S31"/>
  <c r="T31"/>
  <c r="S32"/>
  <c r="T32"/>
  <c r="S33"/>
  <c r="T33"/>
  <c r="I44"/>
  <c r="J44"/>
  <c r="J46"/>
  <c r="J48"/>
  <c r="N44"/>
  <c r="O44"/>
  <c r="O46"/>
  <c r="O48"/>
  <c r="O45"/>
  <c r="S44"/>
  <c r="T44"/>
  <c r="T45"/>
  <c r="T46"/>
  <c r="T48"/>
  <c r="E18"/>
  <c r="F9" i="7"/>
  <c r="F10"/>
  <c r="F11"/>
  <c r="F12"/>
  <c r="F11" i="17"/>
  <c r="G11"/>
  <c r="L11"/>
  <c r="H11"/>
  <c r="J11"/>
  <c r="K13"/>
  <c r="K5"/>
  <c r="K6"/>
  <c r="K7"/>
  <c r="K8"/>
  <c r="K11"/>
  <c r="K14"/>
  <c r="E12"/>
  <c r="E5"/>
  <c r="E6"/>
  <c r="E7"/>
  <c r="E8"/>
  <c r="E9"/>
  <c r="E11"/>
  <c r="E14"/>
  <c r="J87" i="9"/>
  <c r="J88"/>
  <c r="J89"/>
  <c r="J90"/>
  <c r="J91"/>
  <c r="K87"/>
  <c r="K88"/>
  <c r="K89"/>
  <c r="K90"/>
  <c r="K91"/>
  <c r="L87"/>
  <c r="L88"/>
  <c r="L89"/>
  <c r="L90"/>
  <c r="L91"/>
  <c r="M87"/>
  <c r="M88"/>
  <c r="M89"/>
  <c r="M90"/>
  <c r="M91"/>
  <c r="I87"/>
  <c r="I88"/>
  <c r="I89"/>
  <c r="I90"/>
  <c r="I91"/>
  <c r="H87"/>
  <c r="H88"/>
  <c r="H89"/>
  <c r="H90"/>
  <c r="H91"/>
  <c r="G87"/>
  <c r="G88"/>
  <c r="G89"/>
  <c r="G90"/>
  <c r="G91"/>
  <c r="F87"/>
  <c r="F88"/>
  <c r="F89"/>
  <c r="F90"/>
  <c r="F91"/>
  <c r="E87"/>
  <c r="E88"/>
  <c r="E89"/>
  <c r="E90"/>
  <c r="E91"/>
  <c r="D87"/>
  <c r="D88"/>
  <c r="D89"/>
  <c r="D90"/>
  <c r="D91"/>
  <c r="C87"/>
  <c r="C88"/>
  <c r="C89"/>
  <c r="C90"/>
  <c r="C91"/>
  <c r="D33" i="14"/>
  <c r="D27"/>
  <c r="E14" i="15"/>
  <c r="M24" i="18"/>
  <c r="M14"/>
  <c r="M10"/>
  <c r="C15" i="17"/>
  <c r="A15"/>
  <c r="C80" i="15"/>
  <c r="C90"/>
  <c r="E16"/>
  <c r="D44" i="14"/>
  <c r="D38"/>
  <c r="D43"/>
  <c r="N40" i="18"/>
  <c r="M40"/>
  <c r="M41" s="1"/>
  <c r="M42"/>
  <c r="M18"/>
  <c r="M17"/>
  <c r="Q17" i="9"/>
  <c r="Q19"/>
  <c r="Q18"/>
  <c r="H8" i="17"/>
  <c r="L8"/>
  <c r="C23"/>
  <c r="C49" i="15"/>
  <c r="H7" i="17"/>
  <c r="H6"/>
  <c r="L6"/>
  <c r="C21"/>
  <c r="C47" i="15"/>
  <c r="H5" i="17"/>
  <c r="C79" i="15"/>
  <c r="H40" i="13"/>
  <c r="J40"/>
  <c r="G40"/>
  <c r="I40"/>
  <c r="F42"/>
  <c r="G42"/>
  <c r="H42" s="1"/>
  <c r="I42" s="1"/>
  <c r="J42" s="1"/>
  <c r="F40"/>
  <c r="G73" i="15"/>
  <c r="D39"/>
  <c r="F43" i="22"/>
  <c r="G43"/>
  <c r="H43" s="1"/>
  <c r="I43" s="1"/>
  <c r="J43" s="1"/>
  <c r="F42" i="20"/>
  <c r="H40" i="22"/>
  <c r="E63" i="15"/>
  <c r="B3" i="12" s="1"/>
  <c r="D31" i="22"/>
  <c r="D31" i="20"/>
  <c r="H61" i="3"/>
  <c r="D31" i="13"/>
  <c r="C20" i="17"/>
  <c r="D32" i="22"/>
  <c r="D32" i="20"/>
  <c r="D32" i="13"/>
  <c r="M61" i="3"/>
  <c r="D41" i="15"/>
  <c r="F49" i="22"/>
  <c r="G49" s="1"/>
  <c r="H49"/>
  <c r="I49" s="1"/>
  <c r="J49" s="1"/>
  <c r="F49" i="20"/>
  <c r="G49"/>
  <c r="H49" s="1"/>
  <c r="I49"/>
  <c r="J49" s="1"/>
  <c r="F49" i="13"/>
  <c r="G49" s="1"/>
  <c r="H49"/>
  <c r="I49" s="1"/>
  <c r="J49" s="1"/>
  <c r="H12" i="7"/>
  <c r="I12"/>
  <c r="F47" i="22"/>
  <c r="G47"/>
  <c r="H47" s="1"/>
  <c r="I47"/>
  <c r="J47" s="1"/>
  <c r="F47" i="20"/>
  <c r="G47" s="1"/>
  <c r="H47"/>
  <c r="F47" i="13"/>
  <c r="G47"/>
  <c r="H47" s="1"/>
  <c r="I47"/>
  <c r="J47" s="1"/>
  <c r="H10" i="7"/>
  <c r="I10"/>
  <c r="D33" i="22"/>
  <c r="D33" i="20"/>
  <c r="D33" i="13"/>
  <c r="D30" i="22"/>
  <c r="D30" i="20"/>
  <c r="C61" i="3"/>
  <c r="M21" i="18"/>
  <c r="M37"/>
  <c r="M23"/>
  <c r="M15"/>
  <c r="M13"/>
  <c r="M11"/>
  <c r="M9"/>
  <c r="M7"/>
  <c r="M16"/>
  <c r="M20"/>
  <c r="H12" i="17"/>
  <c r="K12"/>
  <c r="F10"/>
  <c r="G10"/>
  <c r="J10"/>
  <c r="J15"/>
  <c r="E10"/>
  <c r="F44" i="22"/>
  <c r="G44"/>
  <c r="H44" s="1"/>
  <c r="I44"/>
  <c r="J44" s="1"/>
  <c r="F44" i="20"/>
  <c r="G44" s="1"/>
  <c r="H44"/>
  <c r="I44" s="1"/>
  <c r="J44" s="1"/>
  <c r="C40" i="15"/>
  <c r="E64" i="22"/>
  <c r="E64" i="20"/>
  <c r="E64" i="13"/>
  <c r="F48" i="22"/>
  <c r="F48" i="20"/>
  <c r="G48"/>
  <c r="H48" s="1"/>
  <c r="I48" s="1"/>
  <c r="J48" s="1"/>
  <c r="F48" i="13"/>
  <c r="H11" i="7"/>
  <c r="I11"/>
  <c r="F46" i="13"/>
  <c r="H9" i="7"/>
  <c r="I9"/>
  <c r="F13"/>
  <c r="D7" i="14"/>
  <c r="D8"/>
  <c r="E6"/>
  <c r="F41" i="22"/>
  <c r="G41" s="1"/>
  <c r="H41" s="1"/>
  <c r="I41" s="1"/>
  <c r="J41" s="1"/>
  <c r="F41" i="20"/>
  <c r="G41"/>
  <c r="H41" s="1"/>
  <c r="I41" s="1"/>
  <c r="J41" s="1"/>
  <c r="F41" i="13"/>
  <c r="G41" s="1"/>
  <c r="F13" i="17"/>
  <c r="G13"/>
  <c r="L13"/>
  <c r="C25"/>
  <c r="C51" i="15"/>
  <c r="H13" i="17"/>
  <c r="E13"/>
  <c r="F9"/>
  <c r="H9"/>
  <c r="K9"/>
  <c r="D15"/>
  <c r="H15"/>
  <c r="O36" i="3"/>
  <c r="O38"/>
  <c r="E36"/>
  <c r="E38"/>
  <c r="E27" i="14"/>
  <c r="F33"/>
  <c r="F44" i="13"/>
  <c r="G44"/>
  <c r="H44" s="1"/>
  <c r="I44" s="1"/>
  <c r="J44" s="1"/>
  <c r="D30"/>
  <c r="R61" i="3"/>
  <c r="M8" i="18"/>
  <c r="M12"/>
  <c r="M22"/>
  <c r="M38"/>
  <c r="K10" i="17"/>
  <c r="K15"/>
  <c r="H10"/>
  <c r="J12"/>
  <c r="F12"/>
  <c r="G12"/>
  <c r="L12"/>
  <c r="T36" i="3"/>
  <c r="T38"/>
  <c r="J36"/>
  <c r="J38"/>
  <c r="M19" i="18"/>
  <c r="E7" i="15"/>
  <c r="B5" i="1"/>
  <c r="I15" i="17"/>
  <c r="D63" i="15"/>
  <c r="E27"/>
  <c r="F46" i="20"/>
  <c r="G40" i="22"/>
  <c r="I40"/>
  <c r="G40" i="20"/>
  <c r="I40"/>
  <c r="J40"/>
  <c r="F40"/>
  <c r="J40" i="22"/>
  <c r="F40"/>
  <c r="F38"/>
  <c r="F43" i="20"/>
  <c r="G43"/>
  <c r="H43" s="1"/>
  <c r="I43" s="1"/>
  <c r="J43" s="1"/>
  <c r="C39" i="15"/>
  <c r="J92" i="9"/>
  <c r="F43" i="13"/>
  <c r="G43" s="1"/>
  <c r="H43" s="1"/>
  <c r="I43" s="1"/>
  <c r="J43"/>
  <c r="G46" i="20"/>
  <c r="F45"/>
  <c r="F57" s="1"/>
  <c r="B85" i="9"/>
  <c r="J85"/>
  <c r="K85"/>
  <c r="L85"/>
  <c r="M85"/>
  <c r="I85"/>
  <c r="H85"/>
  <c r="G85"/>
  <c r="F85"/>
  <c r="E85"/>
  <c r="D85"/>
  <c r="C85"/>
  <c r="D24" i="22"/>
  <c r="D24" i="20"/>
  <c r="D24" i="13"/>
  <c r="H54" i="3"/>
  <c r="D25" i="13"/>
  <c r="D25" i="20"/>
  <c r="M54" i="3"/>
  <c r="D25" i="22"/>
  <c r="E7" i="14"/>
  <c r="E8"/>
  <c r="E9"/>
  <c r="E10" s="1"/>
  <c r="E11"/>
  <c r="E12" s="1"/>
  <c r="F6"/>
  <c r="G46" i="13"/>
  <c r="F93" i="9"/>
  <c r="J93"/>
  <c r="L93"/>
  <c r="I93"/>
  <c r="E93"/>
  <c r="B93"/>
  <c r="D93"/>
  <c r="M93"/>
  <c r="C93"/>
  <c r="H93"/>
  <c r="K93"/>
  <c r="G93"/>
  <c r="B92"/>
  <c r="L92"/>
  <c r="E92"/>
  <c r="D92"/>
  <c r="G92"/>
  <c r="M92"/>
  <c r="C46" i="15"/>
  <c r="C53" s="1"/>
  <c r="B7" i="1"/>
  <c r="B14"/>
  <c r="E12" i="15"/>
  <c r="E17"/>
  <c r="D26" i="22"/>
  <c r="D26" i="20"/>
  <c r="R54" i="3"/>
  <c r="D26" i="13"/>
  <c r="C54" i="3"/>
  <c r="D23" i="22"/>
  <c r="D23" i="20"/>
  <c r="D23" i="13"/>
  <c r="G9" i="17"/>
  <c r="F15"/>
  <c r="C12" i="16"/>
  <c r="D9" i="14"/>
  <c r="D10"/>
  <c r="D11" s="1"/>
  <c r="D12" s="1"/>
  <c r="D13" s="1"/>
  <c r="I13" i="7"/>
  <c r="E15" i="17"/>
  <c r="L10"/>
  <c r="N21" i="18"/>
  <c r="N41"/>
  <c r="C92" i="9"/>
  <c r="F92"/>
  <c r="K92"/>
  <c r="H92"/>
  <c r="I92"/>
  <c r="B4" i="11"/>
  <c r="L9" i="17"/>
  <c r="G15"/>
  <c r="G45" i="20"/>
  <c r="G57" s="1"/>
  <c r="H46"/>
  <c r="I46" s="1"/>
  <c r="J62" i="22"/>
  <c r="J62" i="20"/>
  <c r="J62" i="13"/>
  <c r="H46"/>
  <c r="I46" s="1"/>
  <c r="F7" i="14"/>
  <c r="F8"/>
  <c r="F9"/>
  <c r="F10"/>
  <c r="F11" s="1"/>
  <c r="F12" s="1"/>
  <c r="F14" s="1"/>
  <c r="G6"/>
  <c r="G7"/>
  <c r="G8"/>
  <c r="G9"/>
  <c r="G10" s="1"/>
  <c r="G11"/>
  <c r="G12" s="1"/>
  <c r="C13"/>
  <c r="F13"/>
  <c r="C24" i="17"/>
  <c r="L15"/>
  <c r="L8" i="9"/>
  <c r="M17"/>
  <c r="M19" s="1"/>
  <c r="C50" i="15"/>
  <c r="C27" i="17"/>
  <c r="J46" i="20"/>
  <c r="M86" i="9"/>
  <c r="H37" i="15"/>
  <c r="C67" i="3"/>
  <c r="F38" i="13"/>
  <c r="G39"/>
  <c r="G39" i="22"/>
  <c r="G39" i="20"/>
  <c r="H39" i="13"/>
  <c r="H38" l="1"/>
  <c r="I39"/>
  <c r="H39" i="20"/>
  <c r="H39" i="22"/>
  <c r="G38"/>
  <c r="L9" i="9"/>
  <c r="L11" s="1"/>
  <c r="L10"/>
  <c r="C26"/>
  <c r="C8"/>
  <c r="H8"/>
  <c r="J8"/>
  <c r="G17"/>
  <c r="I17"/>
  <c r="C35"/>
  <c r="E8"/>
  <c r="F17"/>
  <c r="J17"/>
  <c r="C17"/>
  <c r="D17"/>
  <c r="H17"/>
  <c r="S18"/>
  <c r="B35"/>
  <c r="D8"/>
  <c r="E17"/>
  <c r="K17"/>
  <c r="M8"/>
  <c r="S19"/>
  <c r="K8"/>
  <c r="L17"/>
  <c r="S17"/>
  <c r="G13" i="14"/>
  <c r="G14"/>
  <c r="E59" i="22"/>
  <c r="E59" i="13"/>
  <c r="E59" i="20"/>
  <c r="H86" i="9"/>
  <c r="K86"/>
  <c r="G86"/>
  <c r="F86"/>
  <c r="L86"/>
  <c r="E86"/>
  <c r="D86"/>
  <c r="C86"/>
  <c r="I86"/>
  <c r="E13" i="14"/>
  <c r="E14"/>
  <c r="G38" i="13"/>
  <c r="H41"/>
  <c r="I41" s="1"/>
  <c r="J41" s="1"/>
  <c r="G42" i="20"/>
  <c r="H42" s="1"/>
  <c r="I42" s="1"/>
  <c r="J42" s="1"/>
  <c r="F38"/>
  <c r="H46" i="22"/>
  <c r="J20" i="14"/>
  <c r="J21" s="1"/>
  <c r="C14"/>
  <c r="J46" i="13"/>
  <c r="G48"/>
  <c r="F45"/>
  <c r="F57" s="1"/>
  <c r="G48" i="22"/>
  <c r="H48" s="1"/>
  <c r="I48" s="1"/>
  <c r="J48" s="1"/>
  <c r="F45"/>
  <c r="F57" s="1"/>
  <c r="I47" i="20"/>
  <c r="H45"/>
  <c r="H57" s="1"/>
  <c r="M18" i="9"/>
  <c r="M20" s="1"/>
  <c r="J86"/>
  <c r="B86"/>
  <c r="S16"/>
  <c r="G8"/>
  <c r="I8"/>
  <c r="F8"/>
  <c r="D14" i="14"/>
  <c r="I9" i="9" l="1"/>
  <c r="I11" s="1"/>
  <c r="I10"/>
  <c r="I46" i="22"/>
  <c r="H45"/>
  <c r="H57" s="1"/>
  <c r="K9" i="9"/>
  <c r="K11" s="1"/>
  <c r="K10"/>
  <c r="M10"/>
  <c r="M9"/>
  <c r="E18"/>
  <c r="E20" s="1"/>
  <c r="E19"/>
  <c r="B37"/>
  <c r="B36"/>
  <c r="H18"/>
  <c r="H19"/>
  <c r="N17"/>
  <c r="C18"/>
  <c r="C19"/>
  <c r="F19"/>
  <c r="F18"/>
  <c r="F20" s="1"/>
  <c r="D35"/>
  <c r="C36"/>
  <c r="C37"/>
  <c r="G19"/>
  <c r="G18"/>
  <c r="G20" s="1"/>
  <c r="H10"/>
  <c r="H9"/>
  <c r="H11" s="1"/>
  <c r="D26"/>
  <c r="C28"/>
  <c r="C27"/>
  <c r="C29" s="1"/>
  <c r="H38" i="22"/>
  <c r="I39"/>
  <c r="F10" i="9"/>
  <c r="F9"/>
  <c r="G10"/>
  <c r="G9"/>
  <c r="J47" i="20"/>
  <c r="J45" s="1"/>
  <c r="J57" s="1"/>
  <c r="I45"/>
  <c r="I57" s="1"/>
  <c r="H48" i="13"/>
  <c r="G45"/>
  <c r="G57" s="1"/>
  <c r="B54" i="9"/>
  <c r="B45"/>
  <c r="C54"/>
  <c r="D45"/>
  <c r="G45"/>
  <c r="H45"/>
  <c r="K45"/>
  <c r="L45"/>
  <c r="C45"/>
  <c r="B72"/>
  <c r="E45"/>
  <c r="J45"/>
  <c r="M45"/>
  <c r="C72"/>
  <c r="F45"/>
  <c r="I45"/>
  <c r="C63"/>
  <c r="L18"/>
  <c r="L19"/>
  <c r="K18"/>
  <c r="K19"/>
  <c r="D9"/>
  <c r="D10"/>
  <c r="D19"/>
  <c r="D18"/>
  <c r="D20" s="1"/>
  <c r="J19"/>
  <c r="J18"/>
  <c r="J20" s="1"/>
  <c r="E9"/>
  <c r="E10"/>
  <c r="I19"/>
  <c r="I18"/>
  <c r="I20" s="1"/>
  <c r="J10"/>
  <c r="J9"/>
  <c r="J11" s="1"/>
  <c r="N8"/>
  <c r="C9"/>
  <c r="C11" s="1"/>
  <c r="C10"/>
  <c r="C7" i="3"/>
  <c r="E7" s="1"/>
  <c r="H38" i="20"/>
  <c r="I39"/>
  <c r="J39" i="13"/>
  <c r="J38" s="1"/>
  <c r="I38"/>
  <c r="G38" i="20"/>
  <c r="G45" i="22"/>
  <c r="G57" s="1"/>
  <c r="I38" i="20" l="1"/>
  <c r="J39"/>
  <c r="J38" s="1"/>
  <c r="F7" i="3"/>
  <c r="C64" i="9"/>
  <c r="C66" s="1"/>
  <c r="C65"/>
  <c r="D63"/>
  <c r="F46"/>
  <c r="F48" s="1"/>
  <c r="F47"/>
  <c r="M47"/>
  <c r="M46"/>
  <c r="E47"/>
  <c r="E46"/>
  <c r="C47"/>
  <c r="C46"/>
  <c r="K47"/>
  <c r="K46"/>
  <c r="K48" s="1"/>
  <c r="G47"/>
  <c r="G46"/>
  <c r="G48" s="1"/>
  <c r="C55"/>
  <c r="D54"/>
  <c r="C56"/>
  <c r="B56"/>
  <c r="B55"/>
  <c r="B57" s="1"/>
  <c r="I48" i="13"/>
  <c r="H45"/>
  <c r="H57" s="1"/>
  <c r="D28" i="9"/>
  <c r="D27"/>
  <c r="D29" s="1"/>
  <c r="E26"/>
  <c r="D36"/>
  <c r="D38" s="1"/>
  <c r="D37"/>
  <c r="E35"/>
  <c r="I45" i="22"/>
  <c r="I57" s="1"/>
  <c r="J46"/>
  <c r="J45" s="1"/>
  <c r="J57" s="1"/>
  <c r="F7" i="13"/>
  <c r="F7" i="20"/>
  <c r="F7" i="22"/>
  <c r="C71" i="3"/>
  <c r="I47" i="9"/>
  <c r="I46"/>
  <c r="I48" s="1"/>
  <c r="D72"/>
  <c r="C73"/>
  <c r="C75" s="1"/>
  <c r="C74"/>
  <c r="J47"/>
  <c r="J46"/>
  <c r="B73"/>
  <c r="B75" s="1"/>
  <c r="B74"/>
  <c r="L47"/>
  <c r="L46"/>
  <c r="L48" s="1"/>
  <c r="H46"/>
  <c r="H47"/>
  <c r="D47"/>
  <c r="D46"/>
  <c r="D48" s="1"/>
  <c r="B47"/>
  <c r="N45"/>
  <c r="B46"/>
  <c r="B48" s="1"/>
  <c r="J39" i="22"/>
  <c r="J38" s="1"/>
  <c r="I38"/>
  <c r="F8"/>
  <c r="C72" i="3"/>
  <c r="F8" i="13"/>
  <c r="F8" i="20"/>
  <c r="C20" i="9"/>
  <c r="E11"/>
  <c r="D11"/>
  <c r="K20"/>
  <c r="L20"/>
  <c r="G11"/>
  <c r="F11"/>
  <c r="C9" i="3"/>
  <c r="E9" s="1"/>
  <c r="F9" s="1"/>
  <c r="C38" i="9"/>
  <c r="C10" i="3"/>
  <c r="E10" s="1"/>
  <c r="F10" s="1"/>
  <c r="C8"/>
  <c r="E8" s="1"/>
  <c r="F8" s="1"/>
  <c r="H20" i="9"/>
  <c r="B38"/>
  <c r="M11"/>
  <c r="G8" i="13" l="1"/>
  <c r="F24"/>
  <c r="F24" i="22"/>
  <c r="G8"/>
  <c r="F14" i="13"/>
  <c r="C76" i="3"/>
  <c r="F14" i="22"/>
  <c r="F14" i="20"/>
  <c r="G7" i="13"/>
  <c r="F23"/>
  <c r="F26" i="9"/>
  <c r="E27"/>
  <c r="E28"/>
  <c r="J48" i="13"/>
  <c r="J45" s="1"/>
  <c r="J57" s="1"/>
  <c r="I45"/>
  <c r="I57" s="1"/>
  <c r="E63" i="9"/>
  <c r="D65"/>
  <c r="D64"/>
  <c r="C57"/>
  <c r="F13" i="3"/>
  <c r="G8" i="20"/>
  <c r="F24"/>
  <c r="D74" i="9"/>
  <c r="D73"/>
  <c r="D75" s="1"/>
  <c r="E72"/>
  <c r="G7" i="22"/>
  <c r="F23"/>
  <c r="G7" i="20"/>
  <c r="F23"/>
  <c r="E36" i="9"/>
  <c r="F35"/>
  <c r="E37"/>
  <c r="D55"/>
  <c r="D56"/>
  <c r="E54"/>
  <c r="H48"/>
  <c r="J48"/>
  <c r="C48"/>
  <c r="C77" s="1"/>
  <c r="E48"/>
  <c r="M48"/>
  <c r="E13" i="3"/>
  <c r="D5" i="10" l="1"/>
  <c r="H7" i="22"/>
  <c r="G23"/>
  <c r="B4" i="12"/>
  <c r="B5" s="1"/>
  <c r="B84" i="9"/>
  <c r="F27"/>
  <c r="G26"/>
  <c r="F28"/>
  <c r="G14" i="20"/>
  <c r="F30"/>
  <c r="H8" i="22"/>
  <c r="G24"/>
  <c r="E38" i="9"/>
  <c r="F54"/>
  <c r="E55"/>
  <c r="E56"/>
  <c r="F37"/>
  <c r="F36"/>
  <c r="G35"/>
  <c r="G23" i="20"/>
  <c r="H7"/>
  <c r="E74" i="9"/>
  <c r="F72"/>
  <c r="E73"/>
  <c r="E75" s="1"/>
  <c r="G24" i="20"/>
  <c r="H8"/>
  <c r="F63" i="9"/>
  <c r="E65"/>
  <c r="E64"/>
  <c r="H7" i="13"/>
  <c r="G23"/>
  <c r="F30" i="22"/>
  <c r="G14"/>
  <c r="G14" i="13"/>
  <c r="F30"/>
  <c r="G24"/>
  <c r="H8"/>
  <c r="D57" i="9"/>
  <c r="D66"/>
  <c r="E29"/>
  <c r="I8" i="13" l="1"/>
  <c r="H24"/>
  <c r="H14"/>
  <c r="G30"/>
  <c r="G30" i="22"/>
  <c r="H14"/>
  <c r="I7" i="13"/>
  <c r="H23"/>
  <c r="H24" i="20"/>
  <c r="I8"/>
  <c r="F73" i="9"/>
  <c r="G72"/>
  <c r="F74"/>
  <c r="G37"/>
  <c r="G36"/>
  <c r="G38" s="1"/>
  <c r="H35"/>
  <c r="G54"/>
  <c r="F55"/>
  <c r="F56"/>
  <c r="G30" i="20"/>
  <c r="H14"/>
  <c r="F36" i="13"/>
  <c r="G36" s="1"/>
  <c r="H36" s="1"/>
  <c r="I36" s="1"/>
  <c r="J36" s="1"/>
  <c r="F36" i="20"/>
  <c r="G36" s="1"/>
  <c r="H36" s="1"/>
  <c r="I36" s="1"/>
  <c r="J36" s="1"/>
  <c r="F36" i="22"/>
  <c r="G36" s="1"/>
  <c r="H36" s="1"/>
  <c r="I36" s="1"/>
  <c r="J36" s="1"/>
  <c r="G63" i="9"/>
  <c r="F64"/>
  <c r="F66" s="1"/>
  <c r="F65"/>
  <c r="H23" i="20"/>
  <c r="I7"/>
  <c r="I8" i="22"/>
  <c r="H24"/>
  <c r="G28" i="9"/>
  <c r="H26"/>
  <c r="G27"/>
  <c r="G29" s="1"/>
  <c r="B94"/>
  <c r="C6" i="10" s="1"/>
  <c r="C7" s="1"/>
  <c r="C8" s="1"/>
  <c r="B17" i="1" s="1"/>
  <c r="C84" i="9"/>
  <c r="I7" i="22"/>
  <c r="H23"/>
  <c r="F29" i="9"/>
  <c r="D77"/>
  <c r="E66"/>
  <c r="F38"/>
  <c r="E57"/>
  <c r="E77" s="1"/>
  <c r="F5" i="10" s="1"/>
  <c r="E5" l="1"/>
  <c r="J7" i="22"/>
  <c r="I23"/>
  <c r="E60" i="13"/>
  <c r="E60" i="22"/>
  <c r="B22" i="1"/>
  <c r="B5" i="11"/>
  <c r="B6" s="1"/>
  <c r="E60" i="20"/>
  <c r="H28" i="9"/>
  <c r="I26"/>
  <c r="H27"/>
  <c r="H29" s="1"/>
  <c r="G65"/>
  <c r="H63"/>
  <c r="G64"/>
  <c r="G66" s="1"/>
  <c r="H37"/>
  <c r="H36"/>
  <c r="H38" s="1"/>
  <c r="I35"/>
  <c r="G74"/>
  <c r="G73"/>
  <c r="H72"/>
  <c r="J8" i="20"/>
  <c r="J24" s="1"/>
  <c r="I24"/>
  <c r="I14" i="22"/>
  <c r="H30"/>
  <c r="I14" i="13"/>
  <c r="H30"/>
  <c r="I24"/>
  <c r="J8"/>
  <c r="J24" s="1"/>
  <c r="F57" i="9"/>
  <c r="F77" s="1"/>
  <c r="C94"/>
  <c r="D6" i="10" s="1"/>
  <c r="D7" s="1"/>
  <c r="D8" s="1"/>
  <c r="D84" i="9"/>
  <c r="J8" i="22"/>
  <c r="J24" s="1"/>
  <c r="I24"/>
  <c r="J7" i="20"/>
  <c r="I23"/>
  <c r="I14"/>
  <c r="H30"/>
  <c r="G56" i="9"/>
  <c r="G55"/>
  <c r="H54"/>
  <c r="J7" i="13"/>
  <c r="I23"/>
  <c r="F75" i="9"/>
  <c r="G5" i="10" l="1"/>
  <c r="J23" i="13"/>
  <c r="I30" i="20"/>
  <c r="J14"/>
  <c r="D94" i="9"/>
  <c r="E6" i="10" s="1"/>
  <c r="E84" i="9"/>
  <c r="J14" i="13"/>
  <c r="I30"/>
  <c r="I36" i="9"/>
  <c r="J35"/>
  <c r="I37"/>
  <c r="H64"/>
  <c r="I63"/>
  <c r="H65"/>
  <c r="J26"/>
  <c r="I27"/>
  <c r="I29" s="1"/>
  <c r="I28"/>
  <c r="J60" i="20"/>
  <c r="C32" i="1"/>
  <c r="C28"/>
  <c r="C29" s="1"/>
  <c r="J60" i="13"/>
  <c r="J23" i="22"/>
  <c r="G57" i="9"/>
  <c r="G75"/>
  <c r="I54"/>
  <c r="H56"/>
  <c r="H55"/>
  <c r="H57" s="1"/>
  <c r="J23" i="20"/>
  <c r="I30" i="22"/>
  <c r="J14"/>
  <c r="H74" i="9"/>
  <c r="I72"/>
  <c r="H73"/>
  <c r="H75" s="1"/>
  <c r="J60" i="22"/>
  <c r="E7" i="10"/>
  <c r="E8" s="1"/>
  <c r="I73" i="9" l="1"/>
  <c r="I75" s="1"/>
  <c r="I74"/>
  <c r="J72"/>
  <c r="J30" i="22"/>
  <c r="I55" i="9"/>
  <c r="J54"/>
  <c r="I56"/>
  <c r="E61" i="22"/>
  <c r="E63" s="1"/>
  <c r="E61" i="20"/>
  <c r="E63" s="1"/>
  <c r="E61" i="13"/>
  <c r="E63" s="1"/>
  <c r="B10" i="11"/>
  <c r="I64" i="9"/>
  <c r="J63"/>
  <c r="I65"/>
  <c r="K35"/>
  <c r="J37"/>
  <c r="J36"/>
  <c r="K26"/>
  <c r="J27"/>
  <c r="J29" s="1"/>
  <c r="J28"/>
  <c r="J30" i="13"/>
  <c r="F84" i="9"/>
  <c r="E94"/>
  <c r="F6" i="10" s="1"/>
  <c r="F7" s="1"/>
  <c r="F8" s="1"/>
  <c r="J30" i="20"/>
  <c r="G77" i="9"/>
  <c r="H66"/>
  <c r="H77" s="1"/>
  <c r="I5" i="10" s="1"/>
  <c r="I38" i="9"/>
  <c r="H5" i="10" l="1"/>
  <c r="C6" i="16"/>
  <c r="K54" i="9"/>
  <c r="J56"/>
  <c r="J55"/>
  <c r="K72"/>
  <c r="J73"/>
  <c r="J74"/>
  <c r="I66"/>
  <c r="G84"/>
  <c r="F94"/>
  <c r="G6" i="10" s="1"/>
  <c r="G7" s="1"/>
  <c r="G8" s="1"/>
  <c r="K27" i="9"/>
  <c r="K28"/>
  <c r="L26"/>
  <c r="K36"/>
  <c r="L35"/>
  <c r="K37"/>
  <c r="J65"/>
  <c r="K63"/>
  <c r="J64"/>
  <c r="J66" s="1"/>
  <c r="B11" i="11"/>
  <c r="B21" s="1"/>
  <c r="E20"/>
  <c r="J38" i="9"/>
  <c r="I57"/>
  <c r="I77" s="1"/>
  <c r="J5" i="10" l="1"/>
  <c r="B22" i="11"/>
  <c r="L36" i="9"/>
  <c r="L37"/>
  <c r="M35"/>
  <c r="L28"/>
  <c r="L27"/>
  <c r="M26"/>
  <c r="G94"/>
  <c r="H6" i="10" s="1"/>
  <c r="H84" i="9"/>
  <c r="K56"/>
  <c r="K55"/>
  <c r="L54"/>
  <c r="E6" i="16"/>
  <c r="K29" i="9"/>
  <c r="J75"/>
  <c r="J57"/>
  <c r="J77" s="1"/>
  <c r="K5" i="10" s="1"/>
  <c r="D21" i="11"/>
  <c r="C21" s="1"/>
  <c r="K64" i="9"/>
  <c r="L63"/>
  <c r="K65"/>
  <c r="K73"/>
  <c r="K75" s="1"/>
  <c r="K74"/>
  <c r="L72"/>
  <c r="K38"/>
  <c r="H7" i="10"/>
  <c r="H8" s="1"/>
  <c r="F58" i="22" l="1"/>
  <c r="F58" i="13"/>
  <c r="F58" i="20"/>
  <c r="E21" i="11"/>
  <c r="M72" i="9"/>
  <c r="L74"/>
  <c r="L73"/>
  <c r="L75" s="1"/>
  <c r="L64"/>
  <c r="M63"/>
  <c r="L65"/>
  <c r="I84"/>
  <c r="H94"/>
  <c r="I6" i="10" s="1"/>
  <c r="I7" s="1"/>
  <c r="I8" s="1"/>
  <c r="M27" i="9"/>
  <c r="M28"/>
  <c r="N26"/>
  <c r="K77"/>
  <c r="L5" i="10" s="1"/>
  <c r="K57" i="9"/>
  <c r="F52" i="20"/>
  <c r="F51" s="1"/>
  <c r="F52" i="13"/>
  <c r="F51" s="1"/>
  <c r="F52" i="22"/>
  <c r="F51" s="1"/>
  <c r="L56" i="9"/>
  <c r="L55"/>
  <c r="L57" s="1"/>
  <c r="M54"/>
  <c r="M37"/>
  <c r="M36"/>
  <c r="N35"/>
  <c r="B23" i="11"/>
  <c r="K66" i="9"/>
  <c r="L29"/>
  <c r="L38"/>
  <c r="D22" i="11" l="1"/>
  <c r="L66" i="9"/>
  <c r="F10" i="13"/>
  <c r="C74" i="3"/>
  <c r="F10" i="22"/>
  <c r="F10" i="20"/>
  <c r="B24" i="11"/>
  <c r="M56" i="9"/>
  <c r="E79" s="1"/>
  <c r="M55"/>
  <c r="N54"/>
  <c r="F9" i="20"/>
  <c r="F9" i="22"/>
  <c r="F9" i="13"/>
  <c r="C73" i="3"/>
  <c r="I94" i="9"/>
  <c r="J6" i="10" s="1"/>
  <c r="J7" s="1"/>
  <c r="J8" s="1"/>
  <c r="J84" i="9"/>
  <c r="M65"/>
  <c r="M64"/>
  <c r="N63"/>
  <c r="Q23" s="1"/>
  <c r="M74"/>
  <c r="M73"/>
  <c r="M75" s="1"/>
  <c r="N72"/>
  <c r="L77"/>
  <c r="M5" i="10" s="1"/>
  <c r="M38" i="9"/>
  <c r="M29"/>
  <c r="F19" i="13" l="1"/>
  <c r="G19" s="1"/>
  <c r="H19" s="1"/>
  <c r="I19" s="1"/>
  <c r="J19" s="1"/>
  <c r="F19" i="22"/>
  <c r="G19" s="1"/>
  <c r="H19" s="1"/>
  <c r="I19" s="1"/>
  <c r="J19" s="1"/>
  <c r="F19" i="20"/>
  <c r="G19" s="1"/>
  <c r="H19" s="1"/>
  <c r="I19" s="1"/>
  <c r="J19" s="1"/>
  <c r="C79" i="3"/>
  <c r="F17" i="22"/>
  <c r="F17" i="20"/>
  <c r="F17" i="13"/>
  <c r="J94" i="9"/>
  <c r="K6" i="10" s="1"/>
  <c r="K7" s="1"/>
  <c r="K8" s="1"/>
  <c r="K84" i="9"/>
  <c r="F25" i="13"/>
  <c r="G9"/>
  <c r="F11"/>
  <c r="F25" i="20"/>
  <c r="G9"/>
  <c r="F11"/>
  <c r="G10"/>
  <c r="F26"/>
  <c r="M66" i="9"/>
  <c r="M57"/>
  <c r="M77" s="1"/>
  <c r="F16" i="20"/>
  <c r="G16" s="1"/>
  <c r="H16" s="1"/>
  <c r="I16" s="1"/>
  <c r="J16" s="1"/>
  <c r="F16" i="22"/>
  <c r="G16" s="1"/>
  <c r="H16" s="1"/>
  <c r="I16" s="1"/>
  <c r="J16" s="1"/>
  <c r="C78" i="3"/>
  <c r="F16" i="13"/>
  <c r="G16" s="1"/>
  <c r="H16" s="1"/>
  <c r="I16" s="1"/>
  <c r="J16" s="1"/>
  <c r="G9" i="22"/>
  <c r="F25"/>
  <c r="F11"/>
  <c r="F15" i="20"/>
  <c r="F15" i="22"/>
  <c r="C77" i="3"/>
  <c r="F15" i="13"/>
  <c r="B25" i="11"/>
  <c r="G10" i="22"/>
  <c r="F26"/>
  <c r="G10" i="13"/>
  <c r="F26"/>
  <c r="G52" i="22"/>
  <c r="G51" s="1"/>
  <c r="G52" i="13"/>
  <c r="G51" s="1"/>
  <c r="G52" i="20"/>
  <c r="G51" s="1"/>
  <c r="C22" i="11"/>
  <c r="N5" i="10" l="1"/>
  <c r="N77" i="9"/>
  <c r="G58" i="22"/>
  <c r="G58" i="20"/>
  <c r="G58" i="13"/>
  <c r="E22" i="11"/>
  <c r="F31" i="13"/>
  <c r="G15"/>
  <c r="F18"/>
  <c r="F31" i="22"/>
  <c r="G15"/>
  <c r="F18"/>
  <c r="H9"/>
  <c r="G25"/>
  <c r="G11"/>
  <c r="H10" i="20"/>
  <c r="G26"/>
  <c r="H9"/>
  <c r="G25"/>
  <c r="G27" s="1"/>
  <c r="G11"/>
  <c r="G17"/>
  <c r="F33"/>
  <c r="F32"/>
  <c r="H10" i="13"/>
  <c r="G26"/>
  <c r="G26" i="22"/>
  <c r="H10"/>
  <c r="G15" i="20"/>
  <c r="F31"/>
  <c r="F34" s="1"/>
  <c r="F18"/>
  <c r="H9" i="13"/>
  <c r="G25"/>
  <c r="G27" s="1"/>
  <c r="G11"/>
  <c r="K94" i="9"/>
  <c r="L6" i="10" s="1"/>
  <c r="L7" s="1"/>
  <c r="L8" s="1"/>
  <c r="L84" i="9"/>
  <c r="G17" i="13"/>
  <c r="F32"/>
  <c r="F33"/>
  <c r="F32" i="22"/>
  <c r="F33"/>
  <c r="G17"/>
  <c r="F20"/>
  <c r="F20" i="13"/>
  <c r="F27"/>
  <c r="F27" i="22"/>
  <c r="C80" i="3"/>
  <c r="D78" s="1"/>
  <c r="E78" s="1"/>
  <c r="M59" s="1"/>
  <c r="M62" s="1"/>
  <c r="F20" i="20"/>
  <c r="F27"/>
  <c r="F35" s="1"/>
  <c r="H17" i="22" l="1"/>
  <c r="G33"/>
  <c r="G32"/>
  <c r="M84" i="9"/>
  <c r="M94" s="1"/>
  <c r="N6" i="10" s="1"/>
  <c r="L94" i="9"/>
  <c r="M6" i="10" s="1"/>
  <c r="M7" s="1"/>
  <c r="M8" s="1"/>
  <c r="H25" i="13"/>
  <c r="I9"/>
  <c r="H11"/>
  <c r="I10" i="22"/>
  <c r="H26"/>
  <c r="G33" i="20"/>
  <c r="G32"/>
  <c r="H17"/>
  <c r="H25" i="22"/>
  <c r="H27" s="1"/>
  <c r="I9"/>
  <c r="H11"/>
  <c r="G31"/>
  <c r="G34" s="1"/>
  <c r="H15"/>
  <c r="G18"/>
  <c r="F37" i="20"/>
  <c r="F50" s="1"/>
  <c r="F53" s="1"/>
  <c r="G20" i="22"/>
  <c r="F34" i="13"/>
  <c r="F35" s="1"/>
  <c r="F37" s="1"/>
  <c r="F50" s="1"/>
  <c r="F53" s="1"/>
  <c r="N7" i="10"/>
  <c r="N8" s="1"/>
  <c r="D71" i="3"/>
  <c r="E71" s="1"/>
  <c r="C52" s="1"/>
  <c r="C55" s="1"/>
  <c r="D72"/>
  <c r="E72" s="1"/>
  <c r="H52" s="1"/>
  <c r="H55" s="1"/>
  <c r="D76"/>
  <c r="E76" s="1"/>
  <c r="C59" s="1"/>
  <c r="C62" s="1"/>
  <c r="D74"/>
  <c r="E74" s="1"/>
  <c r="R52" s="1"/>
  <c r="R55" s="1"/>
  <c r="D73"/>
  <c r="E73" s="1"/>
  <c r="M52" s="1"/>
  <c r="M55" s="1"/>
  <c r="G33" i="13"/>
  <c r="G32"/>
  <c r="H17"/>
  <c r="H15" i="20"/>
  <c r="G31"/>
  <c r="G34" s="1"/>
  <c r="G35" s="1"/>
  <c r="G18"/>
  <c r="I10" i="13"/>
  <c r="H26"/>
  <c r="I9" i="20"/>
  <c r="H25"/>
  <c r="H27" s="1"/>
  <c r="H11"/>
  <c r="I10"/>
  <c r="H26"/>
  <c r="G31" i="13"/>
  <c r="G34" s="1"/>
  <c r="G35" s="1"/>
  <c r="H15"/>
  <c r="G18"/>
  <c r="G20" s="1"/>
  <c r="G37" s="1"/>
  <c r="G50" s="1"/>
  <c r="G53" s="1"/>
  <c r="D23" i="11"/>
  <c r="D77" i="3"/>
  <c r="E77" s="1"/>
  <c r="H59" s="1"/>
  <c r="H62" s="1"/>
  <c r="D79"/>
  <c r="E79" s="1"/>
  <c r="R59" s="1"/>
  <c r="R62" s="1"/>
  <c r="G20" i="20"/>
  <c r="G27" i="22"/>
  <c r="G35" s="1"/>
  <c r="F34"/>
  <c r="F35" s="1"/>
  <c r="F37" s="1"/>
  <c r="F50" s="1"/>
  <c r="F53" s="1"/>
  <c r="F54" l="1"/>
  <c r="F55"/>
  <c r="F56" s="1"/>
  <c r="F63" s="1"/>
  <c r="G54" i="13"/>
  <c r="G55" s="1"/>
  <c r="G56" s="1"/>
  <c r="G63" s="1"/>
  <c r="D7" i="16" s="1"/>
  <c r="F54" i="13"/>
  <c r="F55"/>
  <c r="F56" s="1"/>
  <c r="F63" s="1"/>
  <c r="H52" i="20"/>
  <c r="H51" s="1"/>
  <c r="H52" i="13"/>
  <c r="H51" s="1"/>
  <c r="H52" i="22"/>
  <c r="H51" s="1"/>
  <c r="C23" i="11"/>
  <c r="I15" i="13"/>
  <c r="H31"/>
  <c r="H18"/>
  <c r="J9" i="20"/>
  <c r="I25"/>
  <c r="I11"/>
  <c r="J10" i="13"/>
  <c r="J26" s="1"/>
  <c r="I26"/>
  <c r="H32"/>
  <c r="H33"/>
  <c r="I17"/>
  <c r="I25" i="22"/>
  <c r="J9"/>
  <c r="I11"/>
  <c r="I17" i="20"/>
  <c r="H33"/>
  <c r="H32"/>
  <c r="I26" i="22"/>
  <c r="J10"/>
  <c r="J26" s="1"/>
  <c r="I25" i="13"/>
  <c r="I27" s="1"/>
  <c r="J9"/>
  <c r="I11"/>
  <c r="H32" i="22"/>
  <c r="H33"/>
  <c r="I17"/>
  <c r="G37" i="20"/>
  <c r="G50" s="1"/>
  <c r="G53" s="1"/>
  <c r="G37" i="22"/>
  <c r="G50" s="1"/>
  <c r="G53" s="1"/>
  <c r="J10" i="20"/>
  <c r="J26" s="1"/>
  <c r="I26"/>
  <c r="I15"/>
  <c r="H31"/>
  <c r="H34" s="1"/>
  <c r="H18"/>
  <c r="H20" s="1"/>
  <c r="H37" s="1"/>
  <c r="H50" s="1"/>
  <c r="H53" s="1"/>
  <c r="F54"/>
  <c r="F55"/>
  <c r="F56" s="1"/>
  <c r="F63" s="1"/>
  <c r="H31" i="22"/>
  <c r="H34" s="1"/>
  <c r="I15"/>
  <c r="H18"/>
  <c r="H35" i="20"/>
  <c r="C64" i="3"/>
  <c r="C65" s="1"/>
  <c r="H20" i="22"/>
  <c r="H37" s="1"/>
  <c r="H50" s="1"/>
  <c r="H53" s="1"/>
  <c r="H35"/>
  <c r="H20" i="13"/>
  <c r="H27"/>
  <c r="H54" i="20" l="1"/>
  <c r="H55" s="1"/>
  <c r="H56" s="1"/>
  <c r="H63" s="1"/>
  <c r="D6" i="16"/>
  <c r="F6" s="1"/>
  <c r="C7" s="1"/>
  <c r="H54" i="22"/>
  <c r="H55"/>
  <c r="H56" s="1"/>
  <c r="H63" s="1"/>
  <c r="I31"/>
  <c r="J15"/>
  <c r="I18"/>
  <c r="G54"/>
  <c r="G55"/>
  <c r="G56" s="1"/>
  <c r="G63" s="1"/>
  <c r="G54" i="20"/>
  <c r="G55" s="1"/>
  <c r="G56" s="1"/>
  <c r="G63" s="1"/>
  <c r="J25"/>
  <c r="J27" s="1"/>
  <c r="J11"/>
  <c r="H58" i="22"/>
  <c r="H58" i="13"/>
  <c r="H58" i="20"/>
  <c r="E23" i="11"/>
  <c r="I20" i="22"/>
  <c r="I27"/>
  <c r="H34" i="13"/>
  <c r="I31" i="20"/>
  <c r="J15"/>
  <c r="I18"/>
  <c r="I20" s="1"/>
  <c r="I32" i="22"/>
  <c r="I33"/>
  <c r="J17"/>
  <c r="J25" i="13"/>
  <c r="J27" s="1"/>
  <c r="J11"/>
  <c r="J17" i="20"/>
  <c r="I32"/>
  <c r="I33"/>
  <c r="J25" i="22"/>
  <c r="J27" s="1"/>
  <c r="J11"/>
  <c r="I33" i="13"/>
  <c r="I32"/>
  <c r="J17"/>
  <c r="I31"/>
  <c r="I34" s="1"/>
  <c r="I35" s="1"/>
  <c r="J15"/>
  <c r="I18"/>
  <c r="I20" s="1"/>
  <c r="I37" s="1"/>
  <c r="I50" s="1"/>
  <c r="H35"/>
  <c r="H37" s="1"/>
  <c r="H50" s="1"/>
  <c r="H53" s="1"/>
  <c r="I27" i="20"/>
  <c r="H54" i="13" l="1"/>
  <c r="H55"/>
  <c r="H56" s="1"/>
  <c r="H63" s="1"/>
  <c r="J33" i="20"/>
  <c r="J32"/>
  <c r="D24" i="11"/>
  <c r="J20" i="22"/>
  <c r="I34" i="20"/>
  <c r="I35" s="1"/>
  <c r="I37" s="1"/>
  <c r="I50" s="1"/>
  <c r="J20"/>
  <c r="I34" i="22"/>
  <c r="J31" i="13"/>
  <c r="J18"/>
  <c r="J32"/>
  <c r="J33"/>
  <c r="J33" i="22"/>
  <c r="J32"/>
  <c r="J31" i="20"/>
  <c r="J34" s="1"/>
  <c r="J35" s="1"/>
  <c r="J18"/>
  <c r="J31" i="22"/>
  <c r="J34" s="1"/>
  <c r="J18"/>
  <c r="E7" i="16"/>
  <c r="F7" s="1"/>
  <c r="C8" s="1"/>
  <c r="J35" i="22"/>
  <c r="J20" i="13"/>
  <c r="I35" i="22"/>
  <c r="I37" s="1"/>
  <c r="I50" s="1"/>
  <c r="E8" i="16" l="1"/>
  <c r="D8"/>
  <c r="F8" s="1"/>
  <c r="C9" s="1"/>
  <c r="I52" i="22"/>
  <c r="I51" s="1"/>
  <c r="I53" s="1"/>
  <c r="I52" i="20"/>
  <c r="I51" s="1"/>
  <c r="I53" s="1"/>
  <c r="I52" i="13"/>
  <c r="I51" s="1"/>
  <c r="I53" s="1"/>
  <c r="C24" i="11"/>
  <c r="J34" i="13"/>
  <c r="J35" s="1"/>
  <c r="J37" i="20"/>
  <c r="J50" s="1"/>
  <c r="J37" i="22"/>
  <c r="J50" s="1"/>
  <c r="J37" i="13"/>
  <c r="J50" s="1"/>
  <c r="I54" i="22" l="1"/>
  <c r="I55"/>
  <c r="I56" s="1"/>
  <c r="I63" s="1"/>
  <c r="I54" i="20"/>
  <c r="I55" s="1"/>
  <c r="I56" s="1"/>
  <c r="I63" s="1"/>
  <c r="E9" i="16"/>
  <c r="I58" i="22"/>
  <c r="I58" i="13"/>
  <c r="I58" i="20"/>
  <c r="E24" i="11"/>
  <c r="I54" i="13"/>
  <c r="I55" s="1"/>
  <c r="I56" s="1"/>
  <c r="I63" s="1"/>
  <c r="D9" i="16" l="1"/>
  <c r="F9" s="1"/>
  <c r="C10" s="1"/>
  <c r="E10" s="1"/>
  <c r="D25" i="11"/>
  <c r="J52" i="13" l="1"/>
  <c r="J51" s="1"/>
  <c r="J53" s="1"/>
  <c r="J52" i="22"/>
  <c r="J51" s="1"/>
  <c r="J53" s="1"/>
  <c r="J52" i="20"/>
  <c r="J51" s="1"/>
  <c r="J53" s="1"/>
  <c r="C25" i="11"/>
  <c r="J58" i="22" l="1"/>
  <c r="J58" i="13"/>
  <c r="J58" i="20"/>
  <c r="E25" i="11"/>
  <c r="J54" i="22"/>
  <c r="J55"/>
  <c r="J56" s="1"/>
  <c r="J63" s="1"/>
  <c r="J54" i="20"/>
  <c r="J55"/>
  <c r="J56" s="1"/>
  <c r="J63" s="1"/>
  <c r="J54" i="13"/>
  <c r="J55"/>
  <c r="J56" s="1"/>
  <c r="J63" s="1"/>
  <c r="D10" i="16" l="1"/>
  <c r="F10" s="1"/>
  <c r="E66" i="13"/>
  <c r="E65"/>
  <c r="E65" i="20"/>
  <c r="E66"/>
  <c r="E66" i="22"/>
  <c r="E65"/>
</calcChain>
</file>

<file path=xl/sharedStrings.xml><?xml version="1.0" encoding="utf-8"?>
<sst xmlns="http://schemas.openxmlformats.org/spreadsheetml/2006/main" count="940" uniqueCount="388">
  <si>
    <t>Mano de Obra Directa</t>
  </si>
  <si>
    <t>Energía Eléctrica</t>
  </si>
  <si>
    <t>Agua potable</t>
  </si>
  <si>
    <t>Telefonía</t>
  </si>
  <si>
    <t>Movilización (Combustible)</t>
  </si>
  <si>
    <t>Publicidad</t>
  </si>
  <si>
    <t>COSTOS ADMINISTRATIVOS</t>
  </si>
  <si>
    <t>Gerente General</t>
  </si>
  <si>
    <t>DETALLE</t>
  </si>
  <si>
    <t>VALOR TOTAL</t>
  </si>
  <si>
    <t>Maquinaria</t>
  </si>
  <si>
    <t>Vehículos</t>
  </si>
  <si>
    <t>Mueble y Equipo de Oficina</t>
  </si>
  <si>
    <t>Equipo de Computación</t>
  </si>
  <si>
    <t>TOTAL</t>
  </si>
  <si>
    <t>PRECIOS MATERIA PRIMA</t>
  </si>
  <si>
    <t>MATERIA PRIMA</t>
  </si>
  <si>
    <t>TOTAL MENS</t>
  </si>
  <si>
    <t>TOTAL ANUAL</t>
  </si>
  <si>
    <t>Camisetas</t>
  </si>
  <si>
    <t xml:space="preserve">Cuello redondo </t>
  </si>
  <si>
    <t>Cuello en V</t>
  </si>
  <si>
    <t>Playeras</t>
  </si>
  <si>
    <t>Polo</t>
  </si>
  <si>
    <t>Fundas Biodegradables</t>
  </si>
  <si>
    <t>#</t>
  </si>
  <si>
    <t>CARGO</t>
  </si>
  <si>
    <t>SUELDO</t>
  </si>
  <si>
    <t xml:space="preserve"> MENSUAL</t>
  </si>
  <si>
    <t>ANUAL</t>
  </si>
  <si>
    <t>Operadores de Maquinas</t>
  </si>
  <si>
    <t>Diseñador Gráfico</t>
  </si>
  <si>
    <t>Materiales</t>
  </si>
  <si>
    <t>Cantidad</t>
  </si>
  <si>
    <t>Valor</t>
  </si>
  <si>
    <t>TOTAL:</t>
  </si>
  <si>
    <t>Prec. Unit</t>
  </si>
  <si>
    <t>Marco Bastidor</t>
  </si>
  <si>
    <t>QQ/DOCENA</t>
  </si>
  <si>
    <t xml:space="preserve">SUELDO </t>
  </si>
  <si>
    <t>Contador</t>
  </si>
  <si>
    <t>Asist. Contable</t>
  </si>
  <si>
    <t>Auxiliares de servicio</t>
  </si>
  <si>
    <t>Mensajero Motorizado</t>
  </si>
  <si>
    <t>COSTO MENSUAL</t>
  </si>
  <si>
    <t>COSTO ANUAL</t>
  </si>
  <si>
    <t>Gastos Varios (suministros de planta, teléfono, e internet)</t>
  </si>
  <si>
    <t>Crecimiento Poblacional</t>
  </si>
  <si>
    <t>Años</t>
  </si>
  <si>
    <t>Ingresos</t>
  </si>
  <si>
    <t>Enero</t>
  </si>
  <si>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</si>
  <si>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</si>
  <si>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</si>
  <si>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</si>
  <si>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</si>
  <si>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</si>
  <si>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</si>
  <si>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</si>
  <si>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Noviembre</t>
  </si>
  <si>
    <t>Diciembre</t>
  </si>
  <si>
    <t>Ventas(q)</t>
  </si>
  <si>
    <t>Egresos</t>
  </si>
  <si>
    <t>Materia prima</t>
  </si>
  <si>
    <t>Mano de Obra</t>
  </si>
  <si>
    <t>Gastos Administrativos</t>
  </si>
  <si>
    <t>Egreso Mensual</t>
  </si>
  <si>
    <t>EGRESOS</t>
  </si>
  <si>
    <t>Tabla 4.18  Detalle fórmula Amortización</t>
  </si>
  <si>
    <t>Aporte Bancario (P)</t>
  </si>
  <si>
    <t>Anualidad (A)</t>
  </si>
  <si>
    <t>Tasa de Interés (i)</t>
  </si>
  <si>
    <t>Período (n)</t>
  </si>
  <si>
    <t>VALOR DE DESECHO: MÉTODO CONTABLE</t>
  </si>
  <si>
    <t>ACTIVOS</t>
  </si>
  <si>
    <t> VALOR DE COMPRA</t>
  </si>
  <si>
    <t> VIDA CONTABLE</t>
  </si>
  <si>
    <t>DEPRECIACIÓN ANUAL </t>
  </si>
  <si>
    <t>AÑOS DEPRECIANDOSE</t>
  </si>
  <si>
    <t>DEPRECIACIÓN ACUMULADA </t>
  </si>
  <si>
    <t>Equip. Maq</t>
  </si>
  <si>
    <t>Vehiculo</t>
  </si>
  <si>
    <t>Mueb y Eq O</t>
  </si>
  <si>
    <t>Equio. Comp</t>
  </si>
  <si>
    <t>DEPRECIACIÓN ACUMULADA ($)</t>
  </si>
  <si>
    <t>VALOR DE DESECHO</t>
  </si>
  <si>
    <t>TABLA DE AMORTIZACIÓN : PRESTAMO</t>
  </si>
  <si>
    <t xml:space="preserve">TASA DE INTERÉS BANCARIA : </t>
  </si>
  <si>
    <t>PERIODO</t>
  </si>
  <si>
    <t>PAGO</t>
  </si>
  <si>
    <t>CAPITAL</t>
  </si>
  <si>
    <t>INTERÉS</t>
  </si>
  <si>
    <t>SALDO INSOLUTO</t>
  </si>
  <si>
    <t>PRECIO UNT.($)</t>
  </si>
  <si>
    <t>COSTO ($)</t>
  </si>
  <si>
    <t>Camiseta</t>
  </si>
  <si>
    <t xml:space="preserve">CANTIDAD </t>
  </si>
  <si>
    <t>FUNDAS BIODEGRADABLE</t>
  </si>
  <si>
    <t>PRECIO ($)/ doc</t>
  </si>
  <si>
    <t>Malla (25*30 cm)</t>
  </si>
  <si>
    <t>COSTO TOTAL DE CADA CAMISETA SIN FUNDA ($)</t>
  </si>
  <si>
    <t xml:space="preserve">COSTO TOTAL DE LA CAMISETA </t>
  </si>
  <si>
    <t>Pintura Textil (gramos)</t>
  </si>
  <si>
    <t>Papel Bond (hoja)</t>
  </si>
  <si>
    <t>Papel Transfer(hoja)</t>
  </si>
  <si>
    <t>TMAR</t>
  </si>
  <si>
    <t>INFORMACION</t>
  </si>
  <si>
    <t>rf</t>
  </si>
  <si>
    <t>B</t>
  </si>
  <si>
    <t>rm</t>
  </si>
  <si>
    <t>RP Ecuador</t>
  </si>
  <si>
    <t>Ke</t>
  </si>
  <si>
    <t>Ko</t>
  </si>
  <si>
    <t>Kd</t>
  </si>
  <si>
    <t>T</t>
  </si>
  <si>
    <t>L</t>
  </si>
  <si>
    <t>CAPM</t>
  </si>
  <si>
    <t>Costos Fijos</t>
  </si>
  <si>
    <t>Precio ($)</t>
  </si>
  <si>
    <t>Costos Variables Unit.</t>
  </si>
  <si>
    <t>Q*</t>
  </si>
  <si>
    <t>Población Objetivo (83%)</t>
  </si>
  <si>
    <t>Camiseta playera</t>
  </si>
  <si>
    <t>Camiseta cuello redondo</t>
  </si>
  <si>
    <t>Camiseta cuello en V</t>
  </si>
  <si>
    <t>Camiseta polo</t>
  </si>
  <si>
    <t>CAMISETAS SERIGRAFIADAS</t>
  </si>
  <si>
    <t>CAMISETAS ESTAMPADAS</t>
  </si>
  <si>
    <t>MENSUAL</t>
  </si>
  <si>
    <t>CUELLO REDONDO</t>
  </si>
  <si>
    <t>CUELLO V</t>
  </si>
  <si>
    <t>POLO</t>
  </si>
  <si>
    <t>PLAYERAS</t>
  </si>
  <si>
    <t>SERIGRAFIADAS</t>
  </si>
  <si>
    <t>ESTAMPADAS</t>
  </si>
  <si>
    <t>Costo variable de cada camiseta serigrafiada</t>
  </si>
  <si>
    <t>Costo variable de cada camiseta estampada</t>
  </si>
  <si>
    <t>Papel transfer (Paq. 50 unids)</t>
  </si>
  <si>
    <t>Malla (metro)</t>
  </si>
  <si>
    <t>Racleta (unidad)</t>
  </si>
  <si>
    <t>Marco Bastidor(unidad)</t>
  </si>
  <si>
    <t>Papel Bond(resmark )</t>
  </si>
  <si>
    <t>Pinturas textil (kilo)</t>
  </si>
  <si>
    <t>Método: Déficit Acumulado Maximo</t>
  </si>
  <si>
    <t>Detalle</t>
  </si>
  <si>
    <t>Ingreso Mensual</t>
  </si>
  <si>
    <t>Saldo Mensual</t>
  </si>
  <si>
    <t>Saldo Acumulado</t>
  </si>
  <si>
    <t>CAPITAL DE TRABAJO</t>
  </si>
  <si>
    <t xml:space="preserve">        INVERSIÓN TOTAL = INVERSIÓN INICIAL + CAPITAL DE TRABAJO</t>
  </si>
  <si>
    <t>INVERSION INICIAL DEL PROYECTO</t>
  </si>
  <si>
    <t>CAPITAL PROPIO ($)</t>
  </si>
  <si>
    <t>PORCENTAJE APORTE %</t>
  </si>
  <si>
    <t>3 Accionistas principales (aporte de cada accionista)</t>
  </si>
  <si>
    <t>DEUDA BANCARIA ($)</t>
  </si>
  <si>
    <t>Tabla 4.16 Inversiones en Año</t>
  </si>
  <si>
    <t>Inversiones en Año 0</t>
  </si>
  <si>
    <t>Inversión Inicial ($)</t>
  </si>
  <si>
    <t>Inversión en Capital de Trabajo ($)</t>
  </si>
  <si>
    <t>TOTAL INVERSIÓN ($)</t>
  </si>
  <si>
    <t>Tabla 4.17 Detalle fórmula Amortización</t>
  </si>
  <si>
    <t>INVERSIÓN TOTAL</t>
  </si>
  <si>
    <t>ANUAL ($)</t>
  </si>
  <si>
    <t>Mano de obra Directa</t>
  </si>
  <si>
    <t>Materiales Directos</t>
  </si>
  <si>
    <t>Estado de Resultado y Flujo de Caja</t>
  </si>
  <si>
    <t>AÑOS</t>
  </si>
  <si>
    <t>E</t>
  </si>
  <si>
    <t>S</t>
  </si>
  <si>
    <t>(=) UTILIDAD BRUTA ($)</t>
  </si>
  <si>
    <t>A</t>
  </si>
  <si>
    <t>GASTOS OPERACIONALES</t>
  </si>
  <si>
    <t>D</t>
  </si>
  <si>
    <t>(-) Gastos Administrativos</t>
  </si>
  <si>
    <t>O</t>
  </si>
  <si>
    <t>(-) Gastos de Servicios Basicos</t>
  </si>
  <si>
    <t>(-) Gastos de Transporte</t>
  </si>
  <si>
    <t>(-) Gastos de Publicidad</t>
  </si>
  <si>
    <t>DEPRECIACIONES</t>
  </si>
  <si>
    <t>(-)Dep. equipos y Maquinarias(10)</t>
  </si>
  <si>
    <t>(-) Dep Vehiculo(5)</t>
  </si>
  <si>
    <t>(-) Dep.muebles y Eq. De Oficina(10)</t>
  </si>
  <si>
    <t>(-) Dep. Equipo de Computacion(3)</t>
  </si>
  <si>
    <t>(=) UTILIDAD OPERATIVA($)</t>
  </si>
  <si>
    <t>GASTOS NO OPERATIVOS</t>
  </si>
  <si>
    <t>(-) Gastos Por Interés</t>
  </si>
  <si>
    <t>(=)UTILIDAD ANTES DE IMPT($)</t>
  </si>
  <si>
    <t>(-) Impuestos (25%)</t>
  </si>
  <si>
    <t>(=)UTILIDAD NETA</t>
  </si>
  <si>
    <t xml:space="preserve">(+) Depreciacion </t>
  </si>
  <si>
    <t>(-) Amortizacion</t>
  </si>
  <si>
    <t>(-) Inversión Inicial</t>
  </si>
  <si>
    <t>(-)(+) Capital de trabajo</t>
  </si>
  <si>
    <t>(+) Prestamo</t>
  </si>
  <si>
    <t>(+) Valor de Desecho</t>
  </si>
  <si>
    <t>(=) FLUJO DE CAJA ($)</t>
  </si>
  <si>
    <t>VAN</t>
  </si>
  <si>
    <t>TIR</t>
  </si>
  <si>
    <t>Captacion de Mercado</t>
  </si>
  <si>
    <t>Precio</t>
  </si>
  <si>
    <t>POLÍTICA DE COBRO</t>
  </si>
  <si>
    <t>FORMA DE PAGO</t>
  </si>
  <si>
    <t>DIAS</t>
  </si>
  <si>
    <t>%</t>
  </si>
  <si>
    <t>CONTADO</t>
  </si>
  <si>
    <t>-</t>
  </si>
  <si>
    <t>1OO</t>
  </si>
  <si>
    <t>Impresora Hp (x3)</t>
  </si>
  <si>
    <t>Unidades</t>
  </si>
  <si>
    <t>Costo Unit</t>
  </si>
  <si>
    <t>Costo Total</t>
  </si>
  <si>
    <t>Mobiliario y equipo de oficina</t>
  </si>
  <si>
    <t xml:space="preserve">             -</t>
  </si>
  <si>
    <t>Equipo de computación</t>
  </si>
  <si>
    <t>Moto para distribucion</t>
  </si>
  <si>
    <t>Escritorio</t>
  </si>
  <si>
    <t>Sillas de escritorio</t>
  </si>
  <si>
    <t>Archivadores</t>
  </si>
  <si>
    <t>Archivadores aéreos</t>
  </si>
  <si>
    <t>Aires acondicionados</t>
  </si>
  <si>
    <t xml:space="preserve"> </t>
  </si>
  <si>
    <t>Servicios anuales</t>
  </si>
  <si>
    <t>Dominio principal + Hosting</t>
  </si>
  <si>
    <t>Dominios secundarios(X2)</t>
  </si>
  <si>
    <t xml:space="preserve">Mantenimiento de la pagina web </t>
  </si>
  <si>
    <t>Campaña Mkt Interactivo (x3)</t>
  </si>
  <si>
    <t>días</t>
  </si>
  <si>
    <t>($)</t>
  </si>
  <si>
    <t>Total Anual</t>
  </si>
  <si>
    <t>Maquina Plancha ( 136 lbs. (62 kg)</t>
  </si>
  <si>
    <t>Valor Unit.</t>
  </si>
  <si>
    <t>Internet</t>
  </si>
  <si>
    <t>Suministro de Oficina</t>
  </si>
  <si>
    <t>Router</t>
  </si>
  <si>
    <t>Creacion pagina web</t>
  </si>
  <si>
    <t>Tabla 4.19 Payback</t>
  </si>
  <si>
    <t>Payback</t>
  </si>
  <si>
    <t>SALDO DE INVER.</t>
  </si>
  <si>
    <t>FLUJO DE CAJA</t>
  </si>
  <si>
    <t>RENTAB. EXIGIDA</t>
  </si>
  <si>
    <t>RECUPER. DE INVERSIÓN</t>
  </si>
  <si>
    <t>Gasto de Internet</t>
  </si>
  <si>
    <t>Servicio de Internet</t>
  </si>
  <si>
    <t xml:space="preserve">Sillas </t>
  </si>
  <si>
    <t>Alquiler</t>
  </si>
  <si>
    <t>No de</t>
  </si>
  <si>
    <t>funciones que</t>
  </si>
  <si>
    <t xml:space="preserve">sueldo </t>
  </si>
  <si>
    <t>aporte</t>
  </si>
  <si>
    <t>total sueldo</t>
  </si>
  <si>
    <t>13er</t>
  </si>
  <si>
    <t>14to</t>
  </si>
  <si>
    <t>vacaciones</t>
  </si>
  <si>
    <t xml:space="preserve">fondos de </t>
  </si>
  <si>
    <t xml:space="preserve">sueldo total </t>
  </si>
  <si>
    <t>personas</t>
  </si>
  <si>
    <t>desempeñan</t>
  </si>
  <si>
    <t>por empleado</t>
  </si>
  <si>
    <t>mensual</t>
  </si>
  <si>
    <t>patronal</t>
  </si>
  <si>
    <t>anual</t>
  </si>
  <si>
    <t>sueldo</t>
  </si>
  <si>
    <t>reserva</t>
  </si>
  <si>
    <t>Operadores de máquina</t>
  </si>
  <si>
    <t>Sueldo Anual</t>
  </si>
  <si>
    <t>Funciones que Desempeñan</t>
  </si>
  <si>
    <t>Precio/Día</t>
  </si>
  <si>
    <t>COSTOS FIJOS</t>
  </si>
  <si>
    <t xml:space="preserve">RANGO </t>
  </si>
  <si>
    <t>HOMBRE</t>
  </si>
  <si>
    <t>MUJER</t>
  </si>
  <si>
    <t>85 +</t>
  </si>
  <si>
    <t>80 - 84</t>
  </si>
  <si>
    <t xml:space="preserve">75 - 79 </t>
  </si>
  <si>
    <t>70 - 74</t>
  </si>
  <si>
    <t>65 - 69</t>
  </si>
  <si>
    <t>60 - 64</t>
  </si>
  <si>
    <t>55 - 59</t>
  </si>
  <si>
    <t>50 - 54</t>
  </si>
  <si>
    <t>45 - 49</t>
  </si>
  <si>
    <t>40 - 44</t>
  </si>
  <si>
    <t>35 - 39</t>
  </si>
  <si>
    <t>30 - 34</t>
  </si>
  <si>
    <t>25 - 29</t>
  </si>
  <si>
    <t>20 - 24</t>
  </si>
  <si>
    <t>15 - 19</t>
  </si>
  <si>
    <t>0 - 4</t>
  </si>
  <si>
    <t>Poblacion Tarqui</t>
  </si>
  <si>
    <t>Poblacion Urbana</t>
  </si>
  <si>
    <t>Poblacion por Edad</t>
  </si>
  <si>
    <t>Captacion Poblacion</t>
  </si>
  <si>
    <t>Adecuaciones de Local</t>
  </si>
  <si>
    <t>Total Egresos</t>
  </si>
  <si>
    <t>Compra de Camisetas</t>
  </si>
  <si>
    <t>Población Norte Guayaquil</t>
  </si>
  <si>
    <t>Poblacion por Edad (48,99%)</t>
  </si>
  <si>
    <t>Veces Compran al Año</t>
  </si>
  <si>
    <t>Personas que personalizan Camisetas</t>
  </si>
  <si>
    <t>Camisas Personalizadas Anual</t>
  </si>
  <si>
    <t>Camisas Serigrafiadas (75%)</t>
  </si>
  <si>
    <t>Camisas Estampadas (25%)</t>
  </si>
  <si>
    <t>Agosto</t>
  </si>
  <si>
    <t>Ingresos Totales</t>
  </si>
  <si>
    <t>Tasa Crecimiento</t>
  </si>
  <si>
    <t>Serigrafiadas</t>
  </si>
  <si>
    <t>Cuello Redondo</t>
  </si>
  <si>
    <t>Playera</t>
  </si>
  <si>
    <t>Total Ingresos Serigrafiadas</t>
  </si>
  <si>
    <t>Estampadas</t>
  </si>
  <si>
    <t>Costo Variable</t>
  </si>
  <si>
    <t>Serigrafia</t>
  </si>
  <si>
    <t>Cuello en v</t>
  </si>
  <si>
    <t>COSTO DE PRODUCCION</t>
  </si>
  <si>
    <t>Total Costo Variable Serigrafiado</t>
  </si>
  <si>
    <t>Total Costo Variable Estampadas</t>
  </si>
  <si>
    <t>% BANCO DE MACHALA</t>
  </si>
  <si>
    <t>NO DEDUCIBLE</t>
  </si>
  <si>
    <t>Beta de la industria manufactura de Nike</t>
  </si>
  <si>
    <t>TOTAL COSTO DE PRODUCCION</t>
  </si>
  <si>
    <t>(-) Costo Directo de  Fabricacion</t>
  </si>
  <si>
    <t>Total ingreso Estampadas</t>
  </si>
  <si>
    <t>Total de Ingresos</t>
  </si>
  <si>
    <t>Gastos de Publicidad</t>
  </si>
  <si>
    <t>(-) Gastos de Arriendo</t>
  </si>
  <si>
    <t>Descripcion de Materiales</t>
  </si>
  <si>
    <r>
      <t xml:space="preserve">(-) </t>
    </r>
    <r>
      <rPr>
        <sz val="8"/>
        <color indexed="8"/>
        <rFont val="Arial"/>
        <family val="2"/>
      </rPr>
      <t>Participacion Trabajadores (15%)</t>
    </r>
  </si>
  <si>
    <t>Activos</t>
  </si>
  <si>
    <t>Arriendo de local</t>
  </si>
  <si>
    <t xml:space="preserve">INVERSION INICIAL DEL PROYECTO </t>
  </si>
  <si>
    <t>TOTAL COSTOS FIJOS</t>
  </si>
  <si>
    <t>VENTAS Q</t>
  </si>
  <si>
    <t>CUELLO EN V</t>
  </si>
  <si>
    <t>CAMISETAS</t>
  </si>
  <si>
    <t>C.F. UNIT</t>
  </si>
  <si>
    <t>Tabla Punto de Equilibrio POLO</t>
  </si>
  <si>
    <t>Tabla Punto de Equilibrio PLAYERA</t>
  </si>
  <si>
    <t>Tabla Punto de Equilibrio CUELLO V</t>
  </si>
  <si>
    <t>Tabla Punto de Equilibrio REDONDO</t>
  </si>
  <si>
    <t>Impulsadoras</t>
  </si>
  <si>
    <t>TOTAL COSTOS INDIRECTOS DE FABRICACION ($)</t>
  </si>
  <si>
    <t>VENTAS TOTALES Q</t>
  </si>
  <si>
    <t>Q* (mensual)</t>
  </si>
  <si>
    <t>Q* PROM MENSUAL APROX</t>
  </si>
  <si>
    <t>Q* PROM DIARIA APROX</t>
  </si>
  <si>
    <t>Costos Administrativos</t>
  </si>
  <si>
    <t>Depreciacion y amortizaciones</t>
  </si>
  <si>
    <t>(-) Gastos Varios</t>
  </si>
  <si>
    <t>Total Costo Variable</t>
  </si>
  <si>
    <t>PreInversion (valla publicitaria)</t>
  </si>
  <si>
    <t>rent. Exigida de los inversinistas</t>
  </si>
  <si>
    <t>Total mensual</t>
  </si>
  <si>
    <t>Lanzamiento de producto (Evento)</t>
  </si>
  <si>
    <t>Marketing BTL</t>
  </si>
  <si>
    <t>Poblacion Socioeconomica</t>
  </si>
  <si>
    <t>Poblacion Objetivo</t>
  </si>
  <si>
    <t>Precio al cliente por camiseta</t>
  </si>
  <si>
    <t>Precio adic envio 67% aceptacion</t>
  </si>
  <si>
    <t>Ingreso en Ventas ($)</t>
  </si>
  <si>
    <t>Ingresos por envío($)</t>
  </si>
  <si>
    <t>FOCUS GROUP</t>
  </si>
  <si>
    <t>PREGUNTA 1</t>
  </si>
  <si>
    <t>PREGUNTA 2</t>
  </si>
  <si>
    <t>Personas que prefieren serigrafiado</t>
  </si>
  <si>
    <t>Personas que prefieren estampado</t>
  </si>
  <si>
    <t>Personas que desean servicio a domicilio</t>
  </si>
  <si>
    <t>Personas que no desean servicio a domicilio</t>
  </si>
  <si>
    <t>Total de Ingresos por envio</t>
  </si>
  <si>
    <t>Ingreso total en ventas</t>
  </si>
  <si>
    <t>Ingreso detallado por servicio de envio a domicilio</t>
  </si>
  <si>
    <t>Maquina Pulpo (4 colores, 6 tableros)</t>
  </si>
  <si>
    <t>Jefe de Calidad &amp; Produccion</t>
  </si>
  <si>
    <t>Jefe Administrativo</t>
  </si>
  <si>
    <t>Jefe de Marketing y Vtas</t>
  </si>
  <si>
    <t>Personas del nivel medio de la Parroquia Tarqui</t>
  </si>
  <si>
    <t>Poblacion Socioeconómico(67%)CM</t>
  </si>
  <si>
    <t>Total</t>
  </si>
  <si>
    <t>Cuadro A.3.4</t>
  </si>
  <si>
    <t>COSTOS INDIRECTOS</t>
  </si>
  <si>
    <t xml:space="preserve">Captación de mercado </t>
  </si>
  <si>
    <t>annual</t>
  </si>
  <si>
    <t>Mobiliarios y Equipos de oficina</t>
  </si>
  <si>
    <t>VALOR EN L</t>
  </si>
  <si>
    <t>Cuadro A.2.3</t>
  </si>
  <si>
    <t>Cuadro A.2.4</t>
  </si>
  <si>
    <t>R</t>
  </si>
  <si>
    <t>U</t>
  </si>
  <si>
    <t>DEMANDA APROXIMADA</t>
  </si>
  <si>
    <t>DIARIA</t>
  </si>
</sst>
</file>

<file path=xl/styles.xml><?xml version="1.0" encoding="utf-8"?>
<styleSheet xmlns="http://schemas.openxmlformats.org/spreadsheetml/2006/main">
  <numFmts count="9">
    <numFmt numFmtId="8" formatCode="#,##0.00\ &quot;€&quot;;[Red]\-#,##0.00\ &quot;€&quot;"/>
    <numFmt numFmtId="176" formatCode="[$$-300A]\ #,##0.00"/>
    <numFmt numFmtId="177" formatCode="[$$-86B]\ #,##0.00"/>
    <numFmt numFmtId="178" formatCode="0.0000"/>
    <numFmt numFmtId="179" formatCode="0.000"/>
    <numFmt numFmtId="183" formatCode="&quot;$&quot;\ #,##0.00"/>
    <numFmt numFmtId="186" formatCode="[$$-300A]\ #,##0"/>
    <numFmt numFmtId="195" formatCode="0.000%"/>
    <numFmt numFmtId="197" formatCode="0.0%"/>
  </numFmts>
  <fonts count="4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20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11"/>
      <color indexed="8"/>
      <name val="Calibri"/>
      <family val="2"/>
    </font>
    <font>
      <b/>
      <u/>
      <sz val="8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u/>
      <sz val="9"/>
      <color indexed="8"/>
      <name val="Arial"/>
      <family val="2"/>
    </font>
    <font>
      <u/>
      <sz val="11"/>
      <color indexed="8"/>
      <name val="Calibri"/>
      <family val="2"/>
    </font>
    <font>
      <u/>
      <sz val="8"/>
      <color indexed="8"/>
      <name val="Arial"/>
      <family val="2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b/>
      <sz val="14"/>
      <color indexed="8"/>
      <name val="Arial"/>
      <family val="2"/>
    </font>
    <font>
      <u/>
      <sz val="8"/>
      <color indexed="8"/>
      <name val="Calibri"/>
      <family val="2"/>
    </font>
    <font>
      <b/>
      <i/>
      <sz val="8"/>
      <color indexed="8"/>
      <name val="Arial"/>
      <family val="2"/>
    </font>
    <font>
      <b/>
      <i/>
      <u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3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0" fillId="0" borderId="1" xfId="0" applyBorder="1"/>
    <xf numFmtId="176" fontId="4" fillId="0" borderId="1" xfId="0" applyNumberFormat="1" applyFont="1" applyBorder="1" applyAlignment="1">
      <alignment horizontal="right"/>
    </xf>
    <xf numFmtId="177" fontId="4" fillId="0" borderId="1" xfId="0" applyNumberFormat="1" applyFont="1" applyBorder="1" applyAlignment="1">
      <alignment horizontal="right"/>
    </xf>
    <xf numFmtId="176" fontId="6" fillId="0" borderId="1" xfId="0" applyNumberFormat="1" applyFont="1" applyBorder="1" applyAlignment="1">
      <alignment horizontal="right"/>
    </xf>
    <xf numFmtId="4" fontId="0" fillId="0" borderId="1" xfId="0" applyNumberFormat="1" applyBorder="1"/>
    <xf numFmtId="0" fontId="5" fillId="0" borderId="0" xfId="0" applyFont="1"/>
    <xf numFmtId="0" fontId="5" fillId="3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/>
    <xf numFmtId="0" fontId="0" fillId="0" borderId="0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2" fontId="0" fillId="4" borderId="1" xfId="0" applyNumberFormat="1" applyFill="1" applyBorder="1"/>
    <xf numFmtId="0" fontId="2" fillId="4" borderId="1" xfId="0" applyFont="1" applyFill="1" applyBorder="1" applyAlignment="1">
      <alignment horizontal="left"/>
    </xf>
    <xf numFmtId="2" fontId="0" fillId="0" borderId="1" xfId="0" applyNumberFormat="1" applyBorder="1"/>
    <xf numFmtId="2" fontId="0" fillId="2" borderId="1" xfId="0" applyNumberFormat="1" applyFill="1" applyBorder="1"/>
    <xf numFmtId="0" fontId="14" fillId="0" borderId="0" xfId="0" applyFont="1"/>
    <xf numFmtId="178" fontId="0" fillId="0" borderId="1" xfId="0" applyNumberFormat="1" applyBorder="1"/>
    <xf numFmtId="179" fontId="0" fillId="0" borderId="1" xfId="0" applyNumberFormat="1" applyBorder="1"/>
    <xf numFmtId="0" fontId="14" fillId="0" borderId="1" xfId="0" applyFont="1" applyBorder="1"/>
    <xf numFmtId="176" fontId="0" fillId="0" borderId="0" xfId="0" applyNumberFormat="1"/>
    <xf numFmtId="176" fontId="0" fillId="0" borderId="1" xfId="0" applyNumberFormat="1" applyBorder="1"/>
    <xf numFmtId="176" fontId="14" fillId="0" borderId="1" xfId="0" applyNumberFormat="1" applyFont="1" applyBorder="1"/>
    <xf numFmtId="0" fontId="14" fillId="0" borderId="0" xfId="0" applyFont="1" applyBorder="1"/>
    <xf numFmtId="0" fontId="14" fillId="0" borderId="4" xfId="0" applyFont="1" applyBorder="1"/>
    <xf numFmtId="0" fontId="6" fillId="0" borderId="1" xfId="0" applyFont="1" applyBorder="1"/>
    <xf numFmtId="2" fontId="0" fillId="0" borderId="0" xfId="0" applyNumberFormat="1"/>
    <xf numFmtId="1" fontId="0" fillId="0" borderId="0" xfId="0" applyNumberFormat="1"/>
    <xf numFmtId="0" fontId="18" fillId="0" borderId="0" xfId="0" applyFont="1"/>
    <xf numFmtId="0" fontId="2" fillId="0" borderId="0" xfId="0" applyFont="1" applyBorder="1"/>
    <xf numFmtId="0" fontId="17" fillId="0" borderId="0" xfId="0" applyFont="1" applyBorder="1"/>
    <xf numFmtId="1" fontId="0" fillId="0" borderId="0" xfId="0" applyNumberFormat="1" applyBorder="1"/>
    <xf numFmtId="0" fontId="19" fillId="0" borderId="0" xfId="0" applyFont="1" applyBorder="1"/>
    <xf numFmtId="0" fontId="19" fillId="0" borderId="0" xfId="0" applyFont="1" applyFill="1" applyBorder="1"/>
    <xf numFmtId="0" fontId="0" fillId="0" borderId="0" xfId="0" applyFill="1"/>
    <xf numFmtId="186" fontId="0" fillId="0" borderId="0" xfId="0" applyNumberFormat="1" applyFill="1"/>
    <xf numFmtId="176" fontId="0" fillId="0" borderId="0" xfId="0" applyNumberFormat="1" applyFill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0" fontId="2" fillId="0" borderId="5" xfId="0" applyFont="1" applyBorder="1"/>
    <xf numFmtId="0" fontId="7" fillId="0" borderId="5" xfId="0" applyFont="1" applyBorder="1" applyAlignment="1">
      <alignment horizontal="center"/>
    </xf>
    <xf numFmtId="0" fontId="0" fillId="0" borderId="0" xfId="0" applyBorder="1" applyAlignment="1">
      <alignment wrapText="1"/>
    </xf>
    <xf numFmtId="1" fontId="10" fillId="0" borderId="1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0" fontId="5" fillId="0" borderId="1" xfId="0" applyFont="1" applyBorder="1"/>
    <xf numFmtId="4" fontId="10" fillId="0" borderId="1" xfId="0" applyNumberFormat="1" applyFont="1" applyBorder="1"/>
    <xf numFmtId="2" fontId="10" fillId="0" borderId="1" xfId="0" applyNumberFormat="1" applyFont="1" applyBorder="1"/>
    <xf numFmtId="1" fontId="10" fillId="0" borderId="1" xfId="0" applyNumberFormat="1" applyFont="1" applyBorder="1"/>
    <xf numFmtId="0" fontId="10" fillId="0" borderId="1" xfId="0" applyFont="1" applyBorder="1"/>
    <xf numFmtId="0" fontId="12" fillId="0" borderId="0" xfId="0" applyFont="1"/>
    <xf numFmtId="0" fontId="11" fillId="3" borderId="6" xfId="0" applyFont="1" applyFill="1" applyBorder="1" applyAlignment="1">
      <alignment horizontal="center"/>
    </xf>
    <xf numFmtId="49" fontId="11" fillId="3" borderId="6" xfId="0" applyNumberFormat="1" applyFont="1" applyFill="1" applyBorder="1" applyAlignment="1">
      <alignment horizontal="right"/>
    </xf>
    <xf numFmtId="0" fontId="11" fillId="5" borderId="7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/>
    <xf numFmtId="195" fontId="0" fillId="0" borderId="0" xfId="0" applyNumberFormat="1"/>
    <xf numFmtId="9" fontId="14" fillId="0" borderId="1" xfId="0" applyNumberFormat="1" applyFont="1" applyBorder="1"/>
    <xf numFmtId="10" fontId="14" fillId="0" borderId="6" xfId="0" applyNumberFormat="1" applyFont="1" applyBorder="1"/>
    <xf numFmtId="3" fontId="0" fillId="0" borderId="1" xfId="0" applyNumberFormat="1" applyBorder="1"/>
    <xf numFmtId="0" fontId="0" fillId="0" borderId="4" xfId="0" applyBorder="1"/>
    <xf numFmtId="8" fontId="0" fillId="0" borderId="0" xfId="0" applyNumberFormat="1"/>
    <xf numFmtId="0" fontId="4" fillId="0" borderId="0" xfId="0" applyFont="1" applyBorder="1" applyAlignment="1">
      <alignment horizontal="right"/>
    </xf>
    <xf numFmtId="4" fontId="0" fillId="0" borderId="0" xfId="0" applyNumberFormat="1"/>
    <xf numFmtId="0" fontId="12" fillId="0" borderId="4" xfId="0" applyFont="1" applyBorder="1"/>
    <xf numFmtId="0" fontId="12" fillId="0" borderId="1" xfId="0" applyFont="1" applyBorder="1" applyAlignment="1">
      <alignment horizontal="center"/>
    </xf>
    <xf numFmtId="183" fontId="12" fillId="0" borderId="1" xfId="0" applyNumberFormat="1" applyFont="1" applyBorder="1" applyAlignment="1">
      <alignment horizontal="right"/>
    </xf>
    <xf numFmtId="2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right"/>
    </xf>
    <xf numFmtId="0" fontId="11" fillId="3" borderId="4" xfId="0" applyFont="1" applyFill="1" applyBorder="1"/>
    <xf numFmtId="0" fontId="12" fillId="3" borderId="1" xfId="0" applyFont="1" applyFill="1" applyBorder="1" applyAlignment="1">
      <alignment horizontal="center"/>
    </xf>
    <xf numFmtId="2" fontId="11" fillId="3" borderId="1" xfId="0" applyNumberFormat="1" applyFont="1" applyFill="1" applyBorder="1" applyAlignment="1">
      <alignment horizontal="right"/>
    </xf>
    <xf numFmtId="0" fontId="23" fillId="3" borderId="4" xfId="0" applyFont="1" applyFill="1" applyBorder="1"/>
    <xf numFmtId="0" fontId="12" fillId="0" borderId="1" xfId="0" applyFont="1" applyBorder="1"/>
    <xf numFmtId="0" fontId="11" fillId="3" borderId="1" xfId="0" applyFont="1" applyFill="1" applyBorder="1"/>
    <xf numFmtId="183" fontId="11" fillId="0" borderId="1" xfId="0" applyNumberFormat="1" applyFont="1" applyBorder="1" applyAlignment="1">
      <alignment horizontal="right"/>
    </xf>
    <xf numFmtId="183" fontId="0" fillId="6" borderId="0" xfId="0" applyNumberFormat="1" applyFill="1"/>
    <xf numFmtId="178" fontId="2" fillId="0" borderId="0" xfId="1" applyNumberFormat="1" applyFont="1" applyAlignment="1">
      <alignment horizontal="center"/>
    </xf>
    <xf numFmtId="0" fontId="24" fillId="0" borderId="0" xfId="0" applyFont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10" fillId="0" borderId="9" xfId="0" applyFont="1" applyBorder="1"/>
    <xf numFmtId="0" fontId="10" fillId="0" borderId="8" xfId="0" applyFont="1" applyBorder="1"/>
    <xf numFmtId="176" fontId="10" fillId="0" borderId="8" xfId="0" applyNumberFormat="1" applyFont="1" applyBorder="1"/>
    <xf numFmtId="0" fontId="10" fillId="0" borderId="10" xfId="0" applyFont="1" applyBorder="1"/>
    <xf numFmtId="176" fontId="10" fillId="0" borderId="1" xfId="0" applyNumberFormat="1" applyFont="1" applyBorder="1"/>
    <xf numFmtId="176" fontId="10" fillId="0" borderId="4" xfId="0" applyNumberFormat="1" applyFont="1" applyBorder="1"/>
    <xf numFmtId="0" fontId="24" fillId="0" borderId="1" xfId="0" applyFont="1" applyBorder="1"/>
    <xf numFmtId="176" fontId="24" fillId="0" borderId="1" xfId="0" applyNumberFormat="1" applyFont="1" applyBorder="1"/>
    <xf numFmtId="176" fontId="6" fillId="0" borderId="1" xfId="0" applyNumberFormat="1" applyFont="1" applyFill="1" applyBorder="1"/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176" fontId="6" fillId="0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0" fillId="0" borderId="6" xfId="0" applyBorder="1"/>
    <xf numFmtId="0" fontId="26" fillId="0" borderId="1" xfId="0" applyFont="1" applyBorder="1"/>
    <xf numFmtId="9" fontId="37" fillId="0" borderId="0" xfId="1" applyFont="1"/>
    <xf numFmtId="0" fontId="14" fillId="0" borderId="11" xfId="0" applyFont="1" applyFill="1" applyBorder="1"/>
    <xf numFmtId="1" fontId="27" fillId="0" borderId="1" xfId="0" applyNumberFormat="1" applyFont="1" applyBorder="1"/>
    <xf numFmtId="1" fontId="0" fillId="0" borderId="6" xfId="0" applyNumberFormat="1" applyBorder="1"/>
    <xf numFmtId="0" fontId="24" fillId="0" borderId="1" xfId="0" applyFont="1" applyFill="1" applyBorder="1"/>
    <xf numFmtId="9" fontId="0" fillId="0" borderId="1" xfId="0" applyNumberFormat="1" applyBorder="1"/>
    <xf numFmtId="1" fontId="24" fillId="0" borderId="1" xfId="0" applyNumberFormat="1" applyFont="1" applyBorder="1" applyAlignment="1">
      <alignment horizontal="center"/>
    </xf>
    <xf numFmtId="9" fontId="24" fillId="0" borderId="1" xfId="0" applyNumberFormat="1" applyFont="1" applyBorder="1"/>
    <xf numFmtId="1" fontId="4" fillId="0" borderId="1" xfId="0" applyNumberFormat="1" applyFont="1" applyBorder="1" applyAlignment="1">
      <alignment horizontal="center"/>
    </xf>
    <xf numFmtId="0" fontId="7" fillId="0" borderId="0" xfId="0" applyFont="1" applyFill="1" applyBorder="1"/>
    <xf numFmtId="178" fontId="10" fillId="0" borderId="1" xfId="0" applyNumberFormat="1" applyFont="1" applyBorder="1"/>
    <xf numFmtId="9" fontId="11" fillId="0" borderId="0" xfId="0" applyNumberFormat="1" applyFont="1" applyAlignment="1">
      <alignment horizontal="center"/>
    </xf>
    <xf numFmtId="0" fontId="11" fillId="0" borderId="6" xfId="0" applyFont="1" applyFill="1" applyBorder="1" applyAlignment="1">
      <alignment horizontal="center"/>
    </xf>
    <xf numFmtId="49" fontId="11" fillId="0" borderId="6" xfId="0" applyNumberFormat="1" applyFont="1" applyFill="1" applyBorder="1" applyAlignment="1">
      <alignment horizontal="right"/>
    </xf>
    <xf numFmtId="0" fontId="11" fillId="0" borderId="4" xfId="0" applyFont="1" applyBorder="1"/>
    <xf numFmtId="0" fontId="11" fillId="0" borderId="1" xfId="0" applyFont="1" applyBorder="1"/>
    <xf numFmtId="0" fontId="12" fillId="0" borderId="6" xfId="0" applyFont="1" applyFill="1" applyBorder="1" applyAlignment="1">
      <alignment horizontal="center"/>
    </xf>
    <xf numFmtId="1" fontId="12" fillId="0" borderId="6" xfId="0" applyNumberFormat="1" applyFont="1" applyFill="1" applyBorder="1" applyAlignment="1">
      <alignment horizontal="right"/>
    </xf>
    <xf numFmtId="0" fontId="11" fillId="0" borderId="12" xfId="0" applyFont="1" applyBorder="1" applyAlignment="1">
      <alignment horizontal="center"/>
    </xf>
    <xf numFmtId="2" fontId="12" fillId="0" borderId="6" xfId="0" applyNumberFormat="1" applyFont="1" applyFill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11" fillId="0" borderId="4" xfId="0" applyFont="1" applyFill="1" applyBorder="1"/>
    <xf numFmtId="0" fontId="12" fillId="0" borderId="1" xfId="0" applyFont="1" applyFill="1" applyBorder="1" applyAlignment="1">
      <alignment horizontal="center"/>
    </xf>
    <xf numFmtId="176" fontId="10" fillId="0" borderId="0" xfId="0" applyNumberFormat="1" applyFont="1" applyBorder="1"/>
    <xf numFmtId="15" fontId="0" fillId="0" borderId="0" xfId="0" applyNumberFormat="1"/>
    <xf numFmtId="10" fontId="0" fillId="0" borderId="1" xfId="0" applyNumberFormat="1" applyBorder="1"/>
    <xf numFmtId="0" fontId="6" fillId="0" borderId="0" xfId="0" applyFont="1" applyBorder="1" applyAlignment="1">
      <alignment horizontal="right"/>
    </xf>
    <xf numFmtId="176" fontId="7" fillId="0" borderId="0" xfId="0" applyNumberFormat="1" applyFont="1" applyBorder="1" applyAlignment="1">
      <alignment horizontal="right"/>
    </xf>
    <xf numFmtId="0" fontId="7" fillId="0" borderId="0" xfId="0" applyFont="1" applyFill="1" applyBorder="1" applyAlignment="1">
      <alignment vertical="top" wrapText="1"/>
    </xf>
    <xf numFmtId="0" fontId="28" fillId="0" borderId="13" xfId="0" applyFont="1" applyFill="1" applyBorder="1"/>
    <xf numFmtId="0" fontId="30" fillId="0" borderId="4" xfId="0" applyFont="1" applyBorder="1"/>
    <xf numFmtId="183" fontId="23" fillId="0" borderId="1" xfId="0" applyNumberFormat="1" applyFont="1" applyBorder="1" applyAlignment="1">
      <alignment horizontal="right"/>
    </xf>
    <xf numFmtId="0" fontId="31" fillId="0" borderId="0" xfId="0" applyFont="1"/>
    <xf numFmtId="0" fontId="7" fillId="0" borderId="0" xfId="0" applyFont="1" applyFill="1" applyBorder="1" applyAlignment="1">
      <alignment horizontal="center" vertical="top" wrapText="1"/>
    </xf>
    <xf numFmtId="0" fontId="24" fillId="0" borderId="0" xfId="0" applyFont="1" applyBorder="1"/>
    <xf numFmtId="176" fontId="24" fillId="0" borderId="0" xfId="0" applyNumberFormat="1" applyFont="1" applyBorder="1"/>
    <xf numFmtId="0" fontId="4" fillId="0" borderId="1" xfId="0" applyFont="1" applyBorder="1" applyAlignment="1">
      <alignment horizontal="right" vertical="top" wrapText="1"/>
    </xf>
    <xf numFmtId="2" fontId="0" fillId="0" borderId="1" xfId="0" applyNumberFormat="1" applyBorder="1" applyAlignment="1">
      <alignment vertical="top" wrapText="1"/>
    </xf>
    <xf numFmtId="10" fontId="24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left"/>
    </xf>
    <xf numFmtId="2" fontId="12" fillId="0" borderId="1" xfId="0" applyNumberFormat="1" applyFont="1" applyFill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7" fillId="0" borderId="0" xfId="0" applyFont="1" applyBorder="1" applyAlignment="1"/>
    <xf numFmtId="176" fontId="2" fillId="0" borderId="0" xfId="0" applyNumberFormat="1" applyFont="1" applyBorder="1" applyAlignment="1"/>
    <xf numFmtId="0" fontId="7" fillId="0" borderId="14" xfId="0" applyFont="1" applyBorder="1" applyAlignment="1"/>
    <xf numFmtId="176" fontId="2" fillId="0" borderId="15" xfId="0" applyNumberFormat="1" applyFont="1" applyBorder="1" applyAlignment="1"/>
    <xf numFmtId="0" fontId="7" fillId="0" borderId="5" xfId="0" applyFont="1" applyBorder="1" applyAlignment="1"/>
    <xf numFmtId="176" fontId="31" fillId="0" borderId="5" xfId="0" applyNumberFormat="1" applyFont="1" applyBorder="1"/>
    <xf numFmtId="0" fontId="0" fillId="0" borderId="0" xfId="0" applyFill="1" applyBorder="1" applyAlignment="1"/>
    <xf numFmtId="183" fontId="16" fillId="0" borderId="0" xfId="0" applyNumberFormat="1" applyFont="1" applyBorder="1" applyAlignment="1">
      <alignment horizontal="center"/>
    </xf>
    <xf numFmtId="9" fontId="12" fillId="0" borderId="4" xfId="0" applyNumberFormat="1" applyFont="1" applyBorder="1"/>
    <xf numFmtId="0" fontId="24" fillId="0" borderId="0" xfId="0" applyFont="1" applyAlignment="1">
      <alignment horizontal="left"/>
    </xf>
    <xf numFmtId="0" fontId="20" fillId="5" borderId="2" xfId="0" applyFont="1" applyFill="1" applyBorder="1"/>
    <xf numFmtId="0" fontId="11" fillId="5" borderId="15" xfId="0" applyFont="1" applyFill="1" applyBorder="1" applyAlignment="1">
      <alignment horizontal="center"/>
    </xf>
    <xf numFmtId="0" fontId="13" fillId="0" borderId="0" xfId="0" applyFont="1" applyBorder="1"/>
    <xf numFmtId="0" fontId="32" fillId="0" borderId="0" xfId="0" applyFont="1" applyBorder="1"/>
    <xf numFmtId="10" fontId="32" fillId="0" borderId="1" xfId="1" applyNumberFormat="1" applyFont="1" applyBorder="1"/>
    <xf numFmtId="0" fontId="4" fillId="0" borderId="0" xfId="0" applyFont="1" applyAlignment="1">
      <alignment horizontal="center"/>
    </xf>
    <xf numFmtId="176" fontId="6" fillId="0" borderId="1" xfId="0" applyNumberFormat="1" applyFont="1" applyBorder="1"/>
    <xf numFmtId="0" fontId="4" fillId="0" borderId="1" xfId="0" applyFont="1" applyFill="1" applyBorder="1"/>
    <xf numFmtId="1" fontId="4" fillId="0" borderId="1" xfId="0" applyNumberFormat="1" applyFont="1" applyBorder="1" applyAlignment="1">
      <alignment horizontal="right"/>
    </xf>
    <xf numFmtId="1" fontId="27" fillId="0" borderId="0" xfId="0" applyNumberFormat="1" applyFont="1" applyBorder="1"/>
    <xf numFmtId="10" fontId="32" fillId="0" borderId="0" xfId="1" applyNumberFormat="1" applyFont="1" applyBorder="1"/>
    <xf numFmtId="0" fontId="0" fillId="0" borderId="16" xfId="0" applyBorder="1"/>
    <xf numFmtId="0" fontId="11" fillId="0" borderId="13" xfId="0" applyFont="1" applyBorder="1"/>
    <xf numFmtId="0" fontId="11" fillId="0" borderId="0" xfId="0" applyFont="1" applyBorder="1"/>
    <xf numFmtId="0" fontId="12" fillId="0" borderId="4" xfId="0" applyFont="1" applyBorder="1" applyAlignment="1">
      <alignment horizontal="center"/>
    </xf>
    <xf numFmtId="0" fontId="5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 vertical="top" wrapText="1"/>
    </xf>
    <xf numFmtId="1" fontId="0" fillId="0" borderId="1" xfId="0" applyNumberFormat="1" applyBorder="1"/>
    <xf numFmtId="0" fontId="24" fillId="0" borderId="1" xfId="0" applyFont="1" applyBorder="1" applyAlignment="1">
      <alignment horizontal="center"/>
    </xf>
    <xf numFmtId="10" fontId="37" fillId="0" borderId="1" xfId="1" applyNumberFormat="1" applyFont="1" applyBorder="1"/>
    <xf numFmtId="0" fontId="14" fillId="0" borderId="0" xfId="0" applyFont="1" applyFill="1" applyBorder="1"/>
    <xf numFmtId="197" fontId="11" fillId="0" borderId="0" xfId="0" applyNumberFormat="1" applyFont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1" fillId="0" borderId="10" xfId="0" applyFont="1" applyBorder="1"/>
    <xf numFmtId="2" fontId="12" fillId="0" borderId="17" xfId="0" applyNumberFormat="1" applyFont="1" applyFill="1" applyBorder="1" applyAlignment="1">
      <alignment horizontal="center"/>
    </xf>
    <xf numFmtId="0" fontId="30" fillId="0" borderId="1" xfId="0" applyFont="1" applyBorder="1"/>
    <xf numFmtId="0" fontId="5" fillId="7" borderId="17" xfId="0" applyFont="1" applyFill="1" applyBorder="1"/>
    <xf numFmtId="0" fontId="5" fillId="7" borderId="6" xfId="0" applyFont="1" applyFill="1" applyBorder="1"/>
    <xf numFmtId="0" fontId="5" fillId="7" borderId="9" xfId="0" applyFont="1" applyFill="1" applyBorder="1"/>
    <xf numFmtId="0" fontId="5" fillId="7" borderId="8" xfId="0" applyFont="1" applyFill="1" applyBorder="1"/>
    <xf numFmtId="0" fontId="5" fillId="7" borderId="10" xfId="0" applyFont="1" applyFill="1" applyBorder="1"/>
    <xf numFmtId="0" fontId="5" fillId="7" borderId="1" xfId="0" applyFont="1" applyFill="1" applyBorder="1"/>
    <xf numFmtId="176" fontId="5" fillId="7" borderId="1" xfId="0" applyNumberFormat="1" applyFont="1" applyFill="1" applyBorder="1"/>
    <xf numFmtId="176" fontId="5" fillId="7" borderId="4" xfId="0" applyNumberFormat="1" applyFont="1" applyFill="1" applyBorder="1"/>
    <xf numFmtId="176" fontId="5" fillId="7" borderId="8" xfId="0" applyNumberFormat="1" applyFont="1" applyFill="1" applyBorder="1"/>
    <xf numFmtId="0" fontId="16" fillId="2" borderId="1" xfId="0" applyFont="1" applyFill="1" applyBorder="1"/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/>
    <xf numFmtId="0" fontId="4" fillId="7" borderId="1" xfId="0" applyFont="1" applyFill="1" applyBorder="1"/>
    <xf numFmtId="0" fontId="3" fillId="7" borderId="1" xfId="0" applyFont="1" applyFill="1" applyBorder="1" applyAlignment="1">
      <alignment horizontal="right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/>
    <xf numFmtId="0" fontId="3" fillId="8" borderId="1" xfId="0" applyFont="1" applyFill="1" applyBorder="1" applyAlignment="1">
      <alignment horizontal="right"/>
    </xf>
    <xf numFmtId="0" fontId="3" fillId="9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center"/>
    </xf>
    <xf numFmtId="0" fontId="5" fillId="8" borderId="1" xfId="0" applyFont="1" applyFill="1" applyBorder="1"/>
    <xf numFmtId="176" fontId="24" fillId="8" borderId="1" xfId="0" applyNumberFormat="1" applyFont="1" applyFill="1" applyBorder="1"/>
    <xf numFmtId="0" fontId="7" fillId="8" borderId="1" xfId="0" applyFont="1" applyFill="1" applyBorder="1" applyAlignment="1">
      <alignment vertical="top" wrapText="1"/>
    </xf>
    <xf numFmtId="0" fontId="6" fillId="8" borderId="1" xfId="0" applyFont="1" applyFill="1" applyBorder="1" applyAlignment="1">
      <alignment horizontal="right"/>
    </xf>
    <xf numFmtId="176" fontId="6" fillId="8" borderId="1" xfId="0" applyNumberFormat="1" applyFont="1" applyFill="1" applyBorder="1" applyAlignment="1">
      <alignment horizontal="right"/>
    </xf>
    <xf numFmtId="0" fontId="7" fillId="7" borderId="1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/>
    </xf>
    <xf numFmtId="0" fontId="24" fillId="7" borderId="1" xfId="0" applyFont="1" applyFill="1" applyBorder="1"/>
    <xf numFmtId="0" fontId="0" fillId="7" borderId="1" xfId="0" applyFill="1" applyBorder="1"/>
    <xf numFmtId="0" fontId="5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right"/>
    </xf>
    <xf numFmtId="0" fontId="0" fillId="9" borderId="1" xfId="0" applyFill="1" applyBorder="1"/>
    <xf numFmtId="176" fontId="3" fillId="8" borderId="1" xfId="0" applyNumberFormat="1" applyFont="1" applyFill="1" applyBorder="1" applyAlignment="1">
      <alignment horizontal="right"/>
    </xf>
    <xf numFmtId="0" fontId="14" fillId="8" borderId="1" xfId="0" applyFont="1" applyFill="1" applyBorder="1"/>
    <xf numFmtId="4" fontId="14" fillId="8" borderId="1" xfId="0" applyNumberFormat="1" applyFont="1" applyFill="1" applyBorder="1"/>
    <xf numFmtId="0" fontId="0" fillId="8" borderId="1" xfId="0" applyFill="1" applyBorder="1"/>
    <xf numFmtId="4" fontId="0" fillId="8" borderId="1" xfId="0" applyNumberFormat="1" applyFill="1" applyBorder="1"/>
    <xf numFmtId="2" fontId="0" fillId="8" borderId="1" xfId="0" applyNumberFormat="1" applyFill="1" applyBorder="1"/>
    <xf numFmtId="0" fontId="3" fillId="7" borderId="15" xfId="0" applyFont="1" applyFill="1" applyBorder="1" applyAlignment="1">
      <alignment horizontal="center"/>
    </xf>
    <xf numFmtId="176" fontId="3" fillId="7" borderId="18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76" fontId="4" fillId="0" borderId="1" xfId="0" applyNumberFormat="1" applyFont="1" applyBorder="1"/>
    <xf numFmtId="176" fontId="3" fillId="7" borderId="1" xfId="0" applyNumberFormat="1" applyFont="1" applyFill="1" applyBorder="1" applyAlignment="1">
      <alignment horizontal="right"/>
    </xf>
    <xf numFmtId="0" fontId="2" fillId="9" borderId="1" xfId="0" applyFont="1" applyFill="1" applyBorder="1"/>
    <xf numFmtId="0" fontId="2" fillId="10" borderId="1" xfId="0" applyFont="1" applyFill="1" applyBorder="1"/>
    <xf numFmtId="0" fontId="2" fillId="10" borderId="1" xfId="0" applyFont="1" applyFill="1" applyBorder="1" applyAlignment="1">
      <alignment horizontal="center"/>
    </xf>
    <xf numFmtId="0" fontId="0" fillId="10" borderId="1" xfId="0" applyFill="1" applyBorder="1"/>
    <xf numFmtId="2" fontId="2" fillId="10" borderId="1" xfId="0" applyNumberFormat="1" applyFont="1" applyFill="1" applyBorder="1"/>
    <xf numFmtId="0" fontId="2" fillId="7" borderId="1" xfId="0" applyFont="1" applyFill="1" applyBorder="1"/>
    <xf numFmtId="0" fontId="2" fillId="7" borderId="1" xfId="0" applyFont="1" applyFill="1" applyBorder="1" applyAlignment="1">
      <alignment horizontal="center"/>
    </xf>
    <xf numFmtId="2" fontId="2" fillId="7" borderId="1" xfId="0" applyNumberFormat="1" applyFont="1" applyFill="1" applyBorder="1"/>
    <xf numFmtId="183" fontId="16" fillId="0" borderId="1" xfId="0" applyNumberFormat="1" applyFont="1" applyBorder="1"/>
    <xf numFmtId="176" fontId="16" fillId="0" borderId="1" xfId="0" applyNumberFormat="1" applyFont="1" applyBorder="1"/>
    <xf numFmtId="1" fontId="16" fillId="0" borderId="1" xfId="0" applyNumberFormat="1" applyFont="1" applyBorder="1"/>
    <xf numFmtId="1" fontId="24" fillId="0" borderId="1" xfId="0" applyNumberFormat="1" applyFont="1" applyBorder="1"/>
    <xf numFmtId="0" fontId="24" fillId="0" borderId="1" xfId="0" applyFont="1" applyBorder="1" applyAlignment="1">
      <alignment horizontal="left"/>
    </xf>
    <xf numFmtId="183" fontId="16" fillId="0" borderId="1" xfId="0" applyNumberFormat="1" applyFont="1" applyBorder="1" applyAlignment="1">
      <alignment horizontal="right"/>
    </xf>
    <xf numFmtId="1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4" fillId="7" borderId="1" xfId="0" applyFont="1" applyFill="1" applyBorder="1"/>
    <xf numFmtId="0" fontId="14" fillId="0" borderId="1" xfId="0" applyFont="1" applyFill="1" applyBorder="1"/>
    <xf numFmtId="0" fontId="14" fillId="0" borderId="6" xfId="0" applyFont="1" applyFill="1" applyBorder="1"/>
    <xf numFmtId="0" fontId="2" fillId="0" borderId="1" xfId="0" applyFont="1" applyFill="1" applyBorder="1"/>
    <xf numFmtId="0" fontId="25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5" fillId="0" borderId="1" xfId="0" applyFont="1" applyBorder="1"/>
    <xf numFmtId="10" fontId="0" fillId="7" borderId="1" xfId="0" applyNumberFormat="1" applyFill="1" applyBorder="1"/>
    <xf numFmtId="10" fontId="0" fillId="7" borderId="6" xfId="0" applyNumberFormat="1" applyFill="1" applyBorder="1"/>
    <xf numFmtId="10" fontId="0" fillId="0" borderId="8" xfId="0" applyNumberFormat="1" applyBorder="1"/>
    <xf numFmtId="10" fontId="25" fillId="0" borderId="1" xfId="0" applyNumberFormat="1" applyFont="1" applyBorder="1"/>
    <xf numFmtId="0" fontId="14" fillId="10" borderId="1" xfId="0" applyFont="1" applyFill="1" applyBorder="1"/>
    <xf numFmtId="176" fontId="38" fillId="0" borderId="1" xfId="0" applyNumberFormat="1" applyFont="1" applyBorder="1"/>
    <xf numFmtId="0" fontId="7" fillId="7" borderId="1" xfId="0" applyFont="1" applyFill="1" applyBorder="1"/>
    <xf numFmtId="0" fontId="6" fillId="7" borderId="1" xfId="0" applyFont="1" applyFill="1" applyBorder="1"/>
    <xf numFmtId="176" fontId="7" fillId="7" borderId="1" xfId="0" applyNumberFormat="1" applyFont="1" applyFill="1" applyBorder="1" applyAlignment="1">
      <alignment horizontal="right"/>
    </xf>
    <xf numFmtId="0" fontId="39" fillId="0" borderId="1" xfId="0" applyFont="1" applyBorder="1"/>
    <xf numFmtId="2" fontId="39" fillId="0" borderId="1" xfId="0" applyNumberFormat="1" applyFont="1" applyBorder="1"/>
    <xf numFmtId="0" fontId="2" fillId="9" borderId="7" xfId="0" applyFont="1" applyFill="1" applyBorder="1"/>
    <xf numFmtId="9" fontId="2" fillId="9" borderId="14" xfId="0" applyNumberFormat="1" applyFont="1" applyFill="1" applyBorder="1" applyAlignment="1">
      <alignment horizontal="center"/>
    </xf>
    <xf numFmtId="9" fontId="2" fillId="9" borderId="1" xfId="1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vertical="top" wrapText="1"/>
    </xf>
    <xf numFmtId="176" fontId="5" fillId="7" borderId="1" xfId="0" applyNumberFormat="1" applyFont="1" applyFill="1" applyBorder="1" applyAlignment="1">
      <alignment horizontal="right" vertical="top" wrapText="1"/>
    </xf>
    <xf numFmtId="0" fontId="39" fillId="0" borderId="1" xfId="0" applyFont="1" applyFill="1" applyBorder="1"/>
    <xf numFmtId="176" fontId="39" fillId="0" borderId="1" xfId="0" applyNumberFormat="1" applyFont="1" applyFill="1" applyBorder="1"/>
    <xf numFmtId="0" fontId="39" fillId="7" borderId="1" xfId="0" applyFont="1" applyFill="1" applyBorder="1"/>
    <xf numFmtId="176" fontId="7" fillId="7" borderId="1" xfId="0" applyNumberFormat="1" applyFont="1" applyFill="1" applyBorder="1"/>
    <xf numFmtId="0" fontId="24" fillId="7" borderId="1" xfId="0" applyFont="1" applyFill="1" applyBorder="1" applyAlignment="1">
      <alignment horizontal="center"/>
    </xf>
    <xf numFmtId="1" fontId="24" fillId="7" borderId="1" xfId="0" applyNumberFormat="1" applyFont="1" applyFill="1" applyBorder="1" applyAlignment="1">
      <alignment horizontal="center"/>
    </xf>
    <xf numFmtId="1" fontId="27" fillId="7" borderId="1" xfId="0" applyNumberFormat="1" applyFont="1" applyFill="1" applyBorder="1"/>
    <xf numFmtId="17" fontId="0" fillId="0" borderId="0" xfId="0" applyNumberFormat="1"/>
    <xf numFmtId="16" fontId="0" fillId="0" borderId="0" xfId="0" applyNumberFormat="1"/>
    <xf numFmtId="0" fontId="7" fillId="0" borderId="1" xfId="0" applyFont="1" applyBorder="1"/>
    <xf numFmtId="9" fontId="39" fillId="0" borderId="1" xfId="1" applyFont="1" applyBorder="1"/>
    <xf numFmtId="1" fontId="39" fillId="0" borderId="1" xfId="0" applyNumberFormat="1" applyFont="1" applyBorder="1"/>
    <xf numFmtId="9" fontId="39" fillId="0" borderId="1" xfId="0" applyNumberFormat="1" applyFont="1" applyBorder="1"/>
    <xf numFmtId="10" fontId="39" fillId="0" borderId="1" xfId="0" applyNumberFormat="1" applyFont="1" applyBorder="1"/>
    <xf numFmtId="179" fontId="5" fillId="3" borderId="19" xfId="0" applyNumberFormat="1" applyFont="1" applyFill="1" applyBorder="1" applyAlignment="1">
      <alignment horizontal="center"/>
    </xf>
    <xf numFmtId="0" fontId="23" fillId="0" borderId="13" xfId="0" applyFont="1" applyFill="1" applyBorder="1"/>
    <xf numFmtId="0" fontId="34" fillId="0" borderId="0" xfId="0" applyFont="1"/>
    <xf numFmtId="0" fontId="40" fillId="0" borderId="10" xfId="0" applyFont="1" applyBorder="1"/>
    <xf numFmtId="0" fontId="40" fillId="0" borderId="0" xfId="0" applyFont="1"/>
    <xf numFmtId="0" fontId="21" fillId="0" borderId="0" xfId="0" applyFont="1" applyAlignment="1">
      <alignment horizontal="right"/>
    </xf>
    <xf numFmtId="179" fontId="11" fillId="3" borderId="19" xfId="0" applyNumberFormat="1" applyFont="1" applyFill="1" applyBorder="1" applyAlignment="1">
      <alignment horizontal="center"/>
    </xf>
    <xf numFmtId="2" fontId="40" fillId="0" borderId="0" xfId="0" applyNumberFormat="1" applyFont="1" applyFill="1" applyBorder="1" applyAlignment="1">
      <alignment horizontal="right"/>
    </xf>
    <xf numFmtId="0" fontId="21" fillId="0" borderId="0" xfId="0" applyFont="1" applyAlignment="1">
      <alignment horizontal="center"/>
    </xf>
    <xf numFmtId="0" fontId="40" fillId="0" borderId="0" xfId="0" applyFont="1" applyFill="1" applyBorder="1"/>
    <xf numFmtId="0" fontId="11" fillId="8" borderId="1" xfId="0" applyFont="1" applyFill="1" applyBorder="1"/>
    <xf numFmtId="0" fontId="11" fillId="8" borderId="1" xfId="0" applyFont="1" applyFill="1" applyBorder="1" applyAlignment="1">
      <alignment horizontal="center"/>
    </xf>
    <xf numFmtId="0" fontId="41" fillId="0" borderId="1" xfId="0" applyFont="1" applyBorder="1"/>
    <xf numFmtId="1" fontId="41" fillId="0" borderId="1" xfId="0" applyNumberFormat="1" applyFont="1" applyBorder="1"/>
    <xf numFmtId="2" fontId="41" fillId="0" borderId="1" xfId="0" applyNumberFormat="1" applyFont="1" applyBorder="1"/>
    <xf numFmtId="0" fontId="33" fillId="0" borderId="0" xfId="0" applyFont="1"/>
    <xf numFmtId="10" fontId="41" fillId="0" borderId="1" xfId="0" applyNumberFormat="1" applyFont="1" applyBorder="1"/>
    <xf numFmtId="9" fontId="41" fillId="0" borderId="0" xfId="0" applyNumberFormat="1" applyFont="1"/>
    <xf numFmtId="0" fontId="41" fillId="0" borderId="0" xfId="0" applyFont="1"/>
    <xf numFmtId="0" fontId="11" fillId="0" borderId="0" xfId="0" applyFont="1"/>
    <xf numFmtId="0" fontId="41" fillId="0" borderId="8" xfId="0" applyFont="1" applyBorder="1"/>
    <xf numFmtId="2" fontId="11" fillId="0" borderId="1" xfId="0" applyNumberFormat="1" applyFont="1" applyBorder="1"/>
    <xf numFmtId="176" fontId="41" fillId="0" borderId="0" xfId="0" applyNumberFormat="1" applyFont="1"/>
    <xf numFmtId="0" fontId="11" fillId="7" borderId="1" xfId="0" applyFont="1" applyFill="1" applyBorder="1"/>
    <xf numFmtId="1" fontId="1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2" fillId="7" borderId="1" xfId="0" applyFont="1" applyFill="1" applyBorder="1"/>
    <xf numFmtId="49" fontId="41" fillId="0" borderId="0" xfId="0" applyNumberFormat="1" applyFont="1"/>
    <xf numFmtId="0" fontId="12" fillId="10" borderId="1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2" fontId="12" fillId="10" borderId="1" xfId="0" applyNumberFormat="1" applyFont="1" applyFill="1" applyBorder="1" applyAlignment="1">
      <alignment horizontal="center"/>
    </xf>
    <xf numFmtId="1" fontId="12" fillId="10" borderId="1" xfId="0" applyNumberFormat="1" applyFont="1" applyFill="1" applyBorder="1" applyAlignment="1">
      <alignment horizontal="center"/>
    </xf>
    <xf numFmtId="183" fontId="41" fillId="6" borderId="0" xfId="0" applyNumberFormat="1" applyFont="1" applyFill="1"/>
    <xf numFmtId="9" fontId="41" fillId="0" borderId="0" xfId="0" applyNumberFormat="1" applyFont="1" applyAlignment="1">
      <alignment horizontal="center"/>
    </xf>
    <xf numFmtId="0" fontId="35" fillId="0" borderId="0" xfId="0" applyFont="1" applyBorder="1" applyAlignment="1"/>
    <xf numFmtId="176" fontId="11" fillId="0" borderId="1" xfId="0" applyNumberFormat="1" applyFont="1" applyBorder="1"/>
    <xf numFmtId="0" fontId="42" fillId="0" borderId="0" xfId="0" applyFont="1"/>
    <xf numFmtId="0" fontId="11" fillId="0" borderId="20" xfId="0" applyFont="1" applyBorder="1" applyAlignment="1">
      <alignment horizontal="center"/>
    </xf>
    <xf numFmtId="0" fontId="11" fillId="0" borderId="21" xfId="0" applyFont="1" applyBorder="1"/>
    <xf numFmtId="0" fontId="12" fillId="0" borderId="21" xfId="0" applyFont="1" applyBorder="1"/>
    <xf numFmtId="0" fontId="29" fillId="0" borderId="1" xfId="0" applyFont="1" applyBorder="1"/>
    <xf numFmtId="0" fontId="12" fillId="5" borderId="2" xfId="0" applyFont="1" applyFill="1" applyBorder="1"/>
    <xf numFmtId="0" fontId="11" fillId="0" borderId="0" xfId="0" applyFont="1" applyAlignment="1">
      <alignment horizontal="right"/>
    </xf>
    <xf numFmtId="2" fontId="41" fillId="0" borderId="0" xfId="0" applyNumberFormat="1" applyFont="1" applyFill="1" applyBorder="1" applyAlignment="1">
      <alignment horizontal="right"/>
    </xf>
    <xf numFmtId="0" fontId="41" fillId="0" borderId="0" xfId="0" applyFont="1" applyFill="1" applyBorder="1"/>
    <xf numFmtId="0" fontId="0" fillId="0" borderId="0" xfId="0" applyAlignment="1">
      <alignment horizontal="center"/>
    </xf>
    <xf numFmtId="0" fontId="43" fillId="0" borderId="1" xfId="0" applyFont="1" applyBorder="1"/>
    <xf numFmtId="1" fontId="44" fillId="0" borderId="1" xfId="0" applyNumberFormat="1" applyFont="1" applyBorder="1"/>
    <xf numFmtId="16" fontId="0" fillId="0" borderId="1" xfId="0" applyNumberFormat="1" applyBorder="1"/>
    <xf numFmtId="0" fontId="24" fillId="3" borderId="22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 vertical="top" wrapText="1"/>
    </xf>
    <xf numFmtId="0" fontId="3" fillId="9" borderId="10" xfId="0" applyFont="1" applyFill="1" applyBorder="1" applyAlignment="1">
      <alignment vertical="top" wrapText="1"/>
    </xf>
    <xf numFmtId="0" fontId="3" fillId="9" borderId="21" xfId="0" applyFont="1" applyFill="1" applyBorder="1" applyAlignment="1">
      <alignment vertical="top" wrapText="1"/>
    </xf>
    <xf numFmtId="0" fontId="3" fillId="9" borderId="4" xfId="0" applyFont="1" applyFill="1" applyBorder="1" applyAlignment="1">
      <alignment vertical="top" wrapText="1"/>
    </xf>
    <xf numFmtId="0" fontId="3" fillId="8" borderId="1" xfId="0" applyFont="1" applyFill="1" applyBorder="1" applyAlignment="1">
      <alignment horizontal="center"/>
    </xf>
    <xf numFmtId="0" fontId="22" fillId="0" borderId="0" xfId="0" applyFont="1" applyBorder="1"/>
    <xf numFmtId="0" fontId="3" fillId="9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justify" vertical="top" wrapText="1"/>
    </xf>
    <xf numFmtId="0" fontId="3" fillId="7" borderId="23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/>
    </xf>
    <xf numFmtId="0" fontId="3" fillId="7" borderId="25" xfId="0" applyFont="1" applyFill="1" applyBorder="1" applyAlignment="1">
      <alignment horizontal="center"/>
    </xf>
    <xf numFmtId="0" fontId="24" fillId="7" borderId="1" xfId="0" applyFont="1" applyFill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76" fontId="36" fillId="0" borderId="0" xfId="0" applyNumberFormat="1" applyFont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2" fontId="11" fillId="0" borderId="0" xfId="0" applyNumberFormat="1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43" fillId="10" borderId="7" xfId="0" applyFont="1" applyFill="1" applyBorder="1" applyAlignment="1">
      <alignment horizontal="center" vertical="center" textRotation="90"/>
    </xf>
    <xf numFmtId="0" fontId="43" fillId="10" borderId="2" xfId="0" applyFont="1" applyFill="1" applyBorder="1" applyAlignment="1">
      <alignment horizontal="center" vertical="center" textRotation="90"/>
    </xf>
    <xf numFmtId="0" fontId="43" fillId="10" borderId="15" xfId="0" applyFont="1" applyFill="1" applyBorder="1" applyAlignment="1">
      <alignment horizontal="center" vertical="center" textRotation="90"/>
    </xf>
    <xf numFmtId="0" fontId="45" fillId="10" borderId="7" xfId="0" applyFont="1" applyFill="1" applyBorder="1" applyAlignment="1">
      <alignment horizontal="center" vertical="center" textRotation="90"/>
    </xf>
    <xf numFmtId="0" fontId="45" fillId="10" borderId="2" xfId="0" applyFont="1" applyFill="1" applyBorder="1" applyAlignment="1">
      <alignment horizontal="center" vertical="center" textRotation="90"/>
    </xf>
    <xf numFmtId="0" fontId="45" fillId="10" borderId="15" xfId="0" applyFont="1" applyFill="1" applyBorder="1" applyAlignment="1">
      <alignment horizontal="center" vertical="center" textRotation="90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72</xdr:row>
      <xdr:rowOff>66675</xdr:rowOff>
    </xdr:from>
    <xdr:to>
      <xdr:col>13</xdr:col>
      <xdr:colOff>962025</xdr:colOff>
      <xdr:row>84</xdr:row>
      <xdr:rowOff>9525</xdr:rowOff>
    </xdr:to>
    <xdr:pic>
      <xdr:nvPicPr>
        <xdr:cNvPr id="1085" name="Gráfico 8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401800"/>
          <a:ext cx="3990975" cy="2228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24</xdr:row>
      <xdr:rowOff>38100</xdr:rowOff>
    </xdr:from>
    <xdr:to>
      <xdr:col>7</xdr:col>
      <xdr:colOff>9525</xdr:colOff>
      <xdr:row>32</xdr:row>
      <xdr:rowOff>95250</xdr:rowOff>
    </xdr:to>
    <xdr:sp macro="" textlink="">
      <xdr:nvSpPr>
        <xdr:cNvPr id="3088" name="AutoShape 4"/>
        <xdr:cNvSpPr>
          <a:spLocks noChangeArrowheads="1"/>
        </xdr:cNvSpPr>
      </xdr:nvSpPr>
      <xdr:spPr bwMode="auto">
        <a:xfrm rot="-6125328">
          <a:off x="5795963" y="4957762"/>
          <a:ext cx="1581150" cy="942975"/>
        </a:xfrm>
        <a:prstGeom prst="curvedUpArrow">
          <a:avLst>
            <a:gd name="adj1" fmla="val 33535"/>
            <a:gd name="adj2" fmla="val 67071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</xdr:row>
      <xdr:rowOff>76200</xdr:rowOff>
    </xdr:from>
    <xdr:to>
      <xdr:col>5</xdr:col>
      <xdr:colOff>476250</xdr:colOff>
      <xdr:row>19</xdr:row>
      <xdr:rowOff>152400</xdr:rowOff>
    </xdr:to>
    <xdr:pic>
      <xdr:nvPicPr>
        <xdr:cNvPr id="514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457200"/>
          <a:ext cx="3648075" cy="3314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438150</xdr:colOff>
      <xdr:row>35</xdr:row>
      <xdr:rowOff>104775</xdr:rowOff>
    </xdr:from>
    <xdr:to>
      <xdr:col>9</xdr:col>
      <xdr:colOff>666750</xdr:colOff>
      <xdr:row>72</xdr:row>
      <xdr:rowOff>133350</xdr:rowOff>
    </xdr:to>
    <xdr:pic>
      <xdr:nvPicPr>
        <xdr:cNvPr id="514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" y="6781800"/>
          <a:ext cx="6800850" cy="7077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31"/>
  <sheetViews>
    <sheetView topLeftCell="A10" workbookViewId="0">
      <selection activeCell="G30" sqref="G30"/>
    </sheetView>
  </sheetViews>
  <sheetFormatPr baseColWidth="10" defaultRowHeight="15"/>
  <cols>
    <col min="1" max="1" width="9.5703125" customWidth="1"/>
    <col min="2" max="2" width="26.42578125" customWidth="1"/>
    <col min="3" max="3" width="13.28515625" customWidth="1"/>
    <col min="6" max="6" width="19.28515625" customWidth="1"/>
    <col min="7" max="7" width="13.5703125" customWidth="1"/>
    <col min="12" max="12" width="11.85546875" customWidth="1"/>
  </cols>
  <sheetData>
    <row r="2" spans="1:12">
      <c r="E2" s="151">
        <v>0.1215</v>
      </c>
      <c r="H2" s="340" t="s">
        <v>316</v>
      </c>
      <c r="I2" s="340"/>
      <c r="K2" s="151">
        <v>8.3299999999999999E-2</v>
      </c>
    </row>
    <row r="3" spans="1:12">
      <c r="A3" s="193" t="s">
        <v>245</v>
      </c>
      <c r="B3" s="194" t="s">
        <v>246</v>
      </c>
      <c r="C3" s="194" t="s">
        <v>247</v>
      </c>
      <c r="D3" s="194" t="s">
        <v>247</v>
      </c>
      <c r="E3" s="194" t="s">
        <v>248</v>
      </c>
      <c r="F3" s="194" t="s">
        <v>249</v>
      </c>
      <c r="G3" s="194" t="s">
        <v>247</v>
      </c>
      <c r="H3" s="194" t="s">
        <v>250</v>
      </c>
      <c r="I3" s="194" t="s">
        <v>251</v>
      </c>
      <c r="J3" s="194" t="s">
        <v>252</v>
      </c>
      <c r="K3" s="194" t="s">
        <v>253</v>
      </c>
      <c r="L3" s="194" t="s">
        <v>254</v>
      </c>
    </row>
    <row r="4" spans="1:12">
      <c r="A4" s="195" t="s">
        <v>255</v>
      </c>
      <c r="B4" s="196" t="s">
        <v>256</v>
      </c>
      <c r="C4" s="196" t="s">
        <v>257</v>
      </c>
      <c r="D4" s="196" t="s">
        <v>258</v>
      </c>
      <c r="E4" s="196" t="s">
        <v>259</v>
      </c>
      <c r="F4" s="196" t="s">
        <v>258</v>
      </c>
      <c r="G4" s="196" t="s">
        <v>260</v>
      </c>
      <c r="H4" s="196" t="s">
        <v>261</v>
      </c>
      <c r="I4" s="196" t="s">
        <v>261</v>
      </c>
      <c r="J4" s="196"/>
      <c r="K4" s="196" t="s">
        <v>262</v>
      </c>
      <c r="L4" s="196" t="s">
        <v>260</v>
      </c>
    </row>
    <row r="5" spans="1:12">
      <c r="A5" s="98">
        <v>1</v>
      </c>
      <c r="B5" s="99" t="s">
        <v>7</v>
      </c>
      <c r="C5" s="100">
        <v>1200</v>
      </c>
      <c r="D5" s="103">
        <f>+C5*A5</f>
        <v>1200</v>
      </c>
      <c r="E5" s="100">
        <f>D5*12.15%</f>
        <v>145.79999999999998</v>
      </c>
      <c r="F5" s="100">
        <f>+D5</f>
        <v>1200</v>
      </c>
      <c r="G5" s="100">
        <f>F5*12</f>
        <v>14400</v>
      </c>
      <c r="H5" s="100">
        <f>+D5</f>
        <v>1200</v>
      </c>
      <c r="I5" s="100">
        <f>240*A5</f>
        <v>240</v>
      </c>
      <c r="J5" s="100">
        <f>+D5/2</f>
        <v>600</v>
      </c>
      <c r="K5" s="100">
        <f>+(D5*$K$2)*12</f>
        <v>1199.52</v>
      </c>
      <c r="L5" s="100">
        <f>+G5+H5+I5+J5</f>
        <v>16440</v>
      </c>
    </row>
    <row r="6" spans="1:12">
      <c r="A6" s="101">
        <v>1</v>
      </c>
      <c r="B6" s="59" t="s">
        <v>372</v>
      </c>
      <c r="C6" s="102">
        <v>600</v>
      </c>
      <c r="D6" s="103">
        <f t="shared" ref="D6:D14" si="0">+C6*A6</f>
        <v>600</v>
      </c>
      <c r="E6" s="100">
        <f t="shared" ref="E6:E14" si="1">D6*12.15%</f>
        <v>72.899999999999991</v>
      </c>
      <c r="F6" s="100">
        <f t="shared" ref="F6:F14" si="2">+D6</f>
        <v>600</v>
      </c>
      <c r="G6" s="102">
        <f>F6*12</f>
        <v>7200</v>
      </c>
      <c r="H6" s="102">
        <f t="shared" ref="H6:H15" si="3">+D6</f>
        <v>600</v>
      </c>
      <c r="I6" s="100">
        <f t="shared" ref="I6:I14" si="4">240*A6</f>
        <v>240</v>
      </c>
      <c r="J6" s="102">
        <f t="shared" ref="J6:J14" si="5">+D6/2</f>
        <v>300</v>
      </c>
      <c r="K6" s="100">
        <f t="shared" ref="K6:K14" si="6">+(D6*$K$2)*12</f>
        <v>599.76</v>
      </c>
      <c r="L6" s="100">
        <f t="shared" ref="L6:L14" si="7">+G6+H6+I6+J6</f>
        <v>8340</v>
      </c>
    </row>
    <row r="7" spans="1:12">
      <c r="A7" s="101">
        <v>1</v>
      </c>
      <c r="B7" s="59" t="s">
        <v>371</v>
      </c>
      <c r="C7" s="102">
        <v>600</v>
      </c>
      <c r="D7" s="103">
        <f t="shared" si="0"/>
        <v>600</v>
      </c>
      <c r="E7" s="100">
        <f t="shared" si="1"/>
        <v>72.899999999999991</v>
      </c>
      <c r="F7" s="100">
        <f t="shared" si="2"/>
        <v>600</v>
      </c>
      <c r="G7" s="102">
        <f t="shared" ref="G7:G14" si="8">+F7*12</f>
        <v>7200</v>
      </c>
      <c r="H7" s="102">
        <f t="shared" si="3"/>
        <v>600</v>
      </c>
      <c r="I7" s="100">
        <f t="shared" si="4"/>
        <v>240</v>
      </c>
      <c r="J7" s="102">
        <f t="shared" si="5"/>
        <v>300</v>
      </c>
      <c r="K7" s="100">
        <f t="shared" si="6"/>
        <v>599.76</v>
      </c>
      <c r="L7" s="100">
        <f t="shared" si="7"/>
        <v>8340</v>
      </c>
    </row>
    <row r="8" spans="1:12">
      <c r="A8" s="101">
        <v>1</v>
      </c>
      <c r="B8" s="59" t="s">
        <v>40</v>
      </c>
      <c r="C8" s="102">
        <v>400</v>
      </c>
      <c r="D8" s="103">
        <f t="shared" si="0"/>
        <v>400</v>
      </c>
      <c r="E8" s="100">
        <f t="shared" si="1"/>
        <v>48.6</v>
      </c>
      <c r="F8" s="100">
        <f t="shared" si="2"/>
        <v>400</v>
      </c>
      <c r="G8" s="102">
        <f t="shared" si="8"/>
        <v>4800</v>
      </c>
      <c r="H8" s="102">
        <f t="shared" si="3"/>
        <v>400</v>
      </c>
      <c r="I8" s="100">
        <f t="shared" si="4"/>
        <v>240</v>
      </c>
      <c r="J8" s="102">
        <f t="shared" si="5"/>
        <v>200</v>
      </c>
      <c r="K8" s="100">
        <f t="shared" si="6"/>
        <v>399.84000000000003</v>
      </c>
      <c r="L8" s="100">
        <f t="shared" si="7"/>
        <v>5640</v>
      </c>
    </row>
    <row r="9" spans="1:12">
      <c r="A9" s="101">
        <v>1</v>
      </c>
      <c r="B9" s="59" t="s">
        <v>41</v>
      </c>
      <c r="C9" s="102">
        <v>280</v>
      </c>
      <c r="D9" s="103">
        <f t="shared" si="0"/>
        <v>280</v>
      </c>
      <c r="E9" s="100">
        <f t="shared" si="1"/>
        <v>34.019999999999996</v>
      </c>
      <c r="F9" s="100">
        <f t="shared" si="2"/>
        <v>280</v>
      </c>
      <c r="G9" s="102">
        <f t="shared" si="8"/>
        <v>3360</v>
      </c>
      <c r="H9" s="102">
        <f t="shared" si="3"/>
        <v>280</v>
      </c>
      <c r="I9" s="100">
        <f t="shared" si="4"/>
        <v>240</v>
      </c>
      <c r="J9" s="102">
        <f t="shared" si="5"/>
        <v>140</v>
      </c>
      <c r="K9" s="100">
        <f t="shared" si="6"/>
        <v>279.88799999999998</v>
      </c>
      <c r="L9" s="100">
        <f t="shared" si="7"/>
        <v>4020</v>
      </c>
    </row>
    <row r="10" spans="1:12">
      <c r="A10" s="101">
        <v>1</v>
      </c>
      <c r="B10" s="59" t="s">
        <v>370</v>
      </c>
      <c r="C10" s="102">
        <v>600</v>
      </c>
      <c r="D10" s="103">
        <f t="shared" si="0"/>
        <v>600</v>
      </c>
      <c r="E10" s="100">
        <f t="shared" si="1"/>
        <v>72.899999999999991</v>
      </c>
      <c r="F10" s="100">
        <f t="shared" si="2"/>
        <v>600</v>
      </c>
      <c r="G10" s="102">
        <f t="shared" si="8"/>
        <v>7200</v>
      </c>
      <c r="H10" s="102">
        <f t="shared" si="3"/>
        <v>600</v>
      </c>
      <c r="I10" s="100">
        <f t="shared" si="4"/>
        <v>240</v>
      </c>
      <c r="J10" s="102">
        <f t="shared" si="5"/>
        <v>300</v>
      </c>
      <c r="K10" s="100">
        <f t="shared" si="6"/>
        <v>599.76</v>
      </c>
      <c r="L10" s="100">
        <f t="shared" si="7"/>
        <v>8340</v>
      </c>
    </row>
    <row r="11" spans="1:12">
      <c r="A11" s="101">
        <v>1</v>
      </c>
      <c r="B11" s="59" t="s">
        <v>31</v>
      </c>
      <c r="C11" s="102">
        <v>500</v>
      </c>
      <c r="D11" s="103">
        <f t="shared" si="0"/>
        <v>500</v>
      </c>
      <c r="E11" s="100">
        <f t="shared" si="1"/>
        <v>60.75</v>
      </c>
      <c r="F11" s="100">
        <f t="shared" si="2"/>
        <v>500</v>
      </c>
      <c r="G11" s="102">
        <f t="shared" si="8"/>
        <v>6000</v>
      </c>
      <c r="H11" s="102">
        <f t="shared" si="3"/>
        <v>500</v>
      </c>
      <c r="I11" s="100">
        <f t="shared" si="4"/>
        <v>240</v>
      </c>
      <c r="J11" s="102">
        <f t="shared" si="5"/>
        <v>250</v>
      </c>
      <c r="K11" s="100">
        <f t="shared" si="6"/>
        <v>499.79999999999995</v>
      </c>
      <c r="L11" s="100">
        <f t="shared" si="7"/>
        <v>6990</v>
      </c>
    </row>
    <row r="12" spans="1:12">
      <c r="A12" s="101">
        <v>5</v>
      </c>
      <c r="B12" s="59" t="s">
        <v>263</v>
      </c>
      <c r="C12" s="102">
        <v>350</v>
      </c>
      <c r="D12" s="103">
        <f t="shared" si="0"/>
        <v>1750</v>
      </c>
      <c r="E12" s="100">
        <f t="shared" si="1"/>
        <v>212.625</v>
      </c>
      <c r="F12" s="100">
        <f t="shared" si="2"/>
        <v>1750</v>
      </c>
      <c r="G12" s="102">
        <f t="shared" si="8"/>
        <v>21000</v>
      </c>
      <c r="H12" s="102">
        <f t="shared" si="3"/>
        <v>1750</v>
      </c>
      <c r="I12" s="100">
        <f>240*A12</f>
        <v>1200</v>
      </c>
      <c r="J12" s="102">
        <f t="shared" si="5"/>
        <v>875</v>
      </c>
      <c r="K12" s="100">
        <f t="shared" si="6"/>
        <v>1749.3000000000002</v>
      </c>
      <c r="L12" s="100">
        <f t="shared" si="7"/>
        <v>24825</v>
      </c>
    </row>
    <row r="13" spans="1:12">
      <c r="A13" s="101">
        <v>1</v>
      </c>
      <c r="B13" s="59" t="s">
        <v>42</v>
      </c>
      <c r="C13" s="102">
        <v>250</v>
      </c>
      <c r="D13" s="103">
        <f t="shared" si="0"/>
        <v>250</v>
      </c>
      <c r="E13" s="100">
        <f t="shared" si="1"/>
        <v>30.375</v>
      </c>
      <c r="F13" s="100">
        <f t="shared" si="2"/>
        <v>250</v>
      </c>
      <c r="G13" s="102">
        <f t="shared" si="8"/>
        <v>3000</v>
      </c>
      <c r="H13" s="102">
        <f t="shared" si="3"/>
        <v>250</v>
      </c>
      <c r="I13" s="100">
        <f t="shared" si="4"/>
        <v>240</v>
      </c>
      <c r="J13" s="102">
        <f t="shared" si="5"/>
        <v>125</v>
      </c>
      <c r="K13" s="100">
        <f t="shared" si="6"/>
        <v>249.89999999999998</v>
      </c>
      <c r="L13" s="100">
        <f t="shared" si="7"/>
        <v>3615</v>
      </c>
    </row>
    <row r="14" spans="1:12">
      <c r="A14" s="101">
        <v>1</v>
      </c>
      <c r="B14" s="59" t="s">
        <v>43</v>
      </c>
      <c r="C14" s="102">
        <v>300</v>
      </c>
      <c r="D14" s="103">
        <f t="shared" si="0"/>
        <v>300</v>
      </c>
      <c r="E14" s="100">
        <f t="shared" si="1"/>
        <v>36.449999999999996</v>
      </c>
      <c r="F14" s="100">
        <f t="shared" si="2"/>
        <v>300</v>
      </c>
      <c r="G14" s="102">
        <f t="shared" si="8"/>
        <v>3600</v>
      </c>
      <c r="H14" s="102">
        <f t="shared" si="3"/>
        <v>300</v>
      </c>
      <c r="I14" s="100">
        <f t="shared" si="4"/>
        <v>240</v>
      </c>
      <c r="J14" s="102">
        <f t="shared" si="5"/>
        <v>150</v>
      </c>
      <c r="K14" s="100">
        <f t="shared" si="6"/>
        <v>299.88</v>
      </c>
      <c r="L14" s="100">
        <f t="shared" si="7"/>
        <v>4290</v>
      </c>
    </row>
    <row r="15" spans="1:12">
      <c r="A15" s="197">
        <f>SUM(A5:A14)</f>
        <v>14</v>
      </c>
      <c r="B15" s="198" t="s">
        <v>35</v>
      </c>
      <c r="C15" s="199">
        <f>SUM(C5:C14)</f>
        <v>5080</v>
      </c>
      <c r="D15" s="200">
        <f>SUM(D5:D14)</f>
        <v>6480</v>
      </c>
      <c r="E15" s="199">
        <f>SUM(E5:E14)</f>
        <v>787.31999999999994</v>
      </c>
      <c r="F15" s="199">
        <f>SUM(F5:F14)</f>
        <v>6480</v>
      </c>
      <c r="G15" s="199">
        <f>SUM(G5:G14)</f>
        <v>77760</v>
      </c>
      <c r="H15" s="199">
        <f t="shared" si="3"/>
        <v>6480</v>
      </c>
      <c r="I15" s="199">
        <f>SUM(I5:I14)</f>
        <v>3360</v>
      </c>
      <c r="J15" s="199">
        <f>SUM(J5:J14)</f>
        <v>3240</v>
      </c>
      <c r="K15" s="201">
        <f>SUM(K5:K14)</f>
        <v>6477.4080000000004</v>
      </c>
      <c r="L15" s="201">
        <f>SUM(L5:L14)</f>
        <v>90840</v>
      </c>
    </row>
    <row r="16" spans="1:12">
      <c r="F16" s="136"/>
    </row>
    <row r="17" spans="2:9">
      <c r="F17" s="136"/>
    </row>
    <row r="18" spans="2:9">
      <c r="F18" s="136"/>
    </row>
    <row r="19" spans="2:9">
      <c r="B19" s="213" t="s">
        <v>265</v>
      </c>
      <c r="C19" s="213" t="s">
        <v>264</v>
      </c>
      <c r="E19" s="193" t="s">
        <v>245</v>
      </c>
      <c r="F19" s="194" t="s">
        <v>246</v>
      </c>
      <c r="G19" s="194" t="s">
        <v>247</v>
      </c>
      <c r="H19" s="198" t="s">
        <v>247</v>
      </c>
      <c r="I19" s="198" t="s">
        <v>261</v>
      </c>
    </row>
    <row r="20" spans="2:9">
      <c r="B20" s="59" t="s">
        <v>7</v>
      </c>
      <c r="C20" s="102">
        <f>+L5</f>
        <v>16440</v>
      </c>
      <c r="E20" s="195" t="s">
        <v>255</v>
      </c>
      <c r="F20" s="196" t="s">
        <v>256</v>
      </c>
      <c r="G20" s="196" t="s">
        <v>257</v>
      </c>
      <c r="H20" s="198" t="s">
        <v>258</v>
      </c>
      <c r="I20" s="198" t="s">
        <v>379</v>
      </c>
    </row>
    <row r="21" spans="2:9">
      <c r="B21" s="59" t="str">
        <f>+B6</f>
        <v>Jefe de Marketing y Vtas</v>
      </c>
      <c r="C21" s="102">
        <f>+L6</f>
        <v>8340</v>
      </c>
      <c r="E21" s="98">
        <v>1</v>
      </c>
      <c r="F21" s="99" t="s">
        <v>7</v>
      </c>
      <c r="G21" s="100">
        <v>1200</v>
      </c>
      <c r="H21" s="102">
        <f>+G21*E21</f>
        <v>1200</v>
      </c>
      <c r="I21" s="31">
        <f>+H21*12</f>
        <v>14400</v>
      </c>
    </row>
    <row r="22" spans="2:9">
      <c r="B22" s="59" t="str">
        <f>+B7</f>
        <v>Jefe Administrativo</v>
      </c>
      <c r="C22" s="102">
        <f>+L7</f>
        <v>8340</v>
      </c>
      <c r="E22" s="101">
        <v>1</v>
      </c>
      <c r="F22" s="59" t="s">
        <v>372</v>
      </c>
      <c r="G22" s="102">
        <v>600</v>
      </c>
      <c r="H22" s="102">
        <f t="shared" ref="H22:H30" si="9">+G22*E22</f>
        <v>600</v>
      </c>
      <c r="I22" s="31">
        <f t="shared" ref="I22:I30" si="10">+H22*12</f>
        <v>7200</v>
      </c>
    </row>
    <row r="23" spans="2:9">
      <c r="B23" s="59" t="s">
        <v>40</v>
      </c>
      <c r="C23" s="102">
        <f>+L8</f>
        <v>5640</v>
      </c>
      <c r="E23" s="101">
        <v>1</v>
      </c>
      <c r="F23" s="59" t="s">
        <v>371</v>
      </c>
      <c r="G23" s="102">
        <v>600</v>
      </c>
      <c r="H23" s="102">
        <f t="shared" si="9"/>
        <v>600</v>
      </c>
      <c r="I23" s="31">
        <f t="shared" si="10"/>
        <v>7200</v>
      </c>
    </row>
    <row r="24" spans="2:9">
      <c r="B24" s="59" t="s">
        <v>41</v>
      </c>
      <c r="C24" s="102">
        <f>+L9</f>
        <v>4020</v>
      </c>
      <c r="E24" s="101">
        <v>1</v>
      </c>
      <c r="F24" s="59" t="s">
        <v>40</v>
      </c>
      <c r="G24" s="102">
        <v>400</v>
      </c>
      <c r="H24" s="102">
        <f t="shared" si="9"/>
        <v>400</v>
      </c>
      <c r="I24" s="31">
        <f t="shared" si="10"/>
        <v>4800</v>
      </c>
    </row>
    <row r="25" spans="2:9">
      <c r="B25" s="59" t="s">
        <v>42</v>
      </c>
      <c r="C25" s="102">
        <f>+L13</f>
        <v>3615</v>
      </c>
      <c r="E25" s="101">
        <v>1</v>
      </c>
      <c r="F25" s="59" t="s">
        <v>41</v>
      </c>
      <c r="G25" s="102">
        <v>280</v>
      </c>
      <c r="H25" s="102">
        <f t="shared" si="9"/>
        <v>280</v>
      </c>
      <c r="I25" s="31">
        <f t="shared" si="10"/>
        <v>3360</v>
      </c>
    </row>
    <row r="26" spans="2:9">
      <c r="B26" s="59" t="s">
        <v>43</v>
      </c>
      <c r="C26" s="102">
        <f>+L14</f>
        <v>4290</v>
      </c>
      <c r="E26" s="101">
        <v>1</v>
      </c>
      <c r="F26" s="59" t="s">
        <v>370</v>
      </c>
      <c r="G26" s="102">
        <v>600</v>
      </c>
      <c r="H26" s="102">
        <f t="shared" si="9"/>
        <v>600</v>
      </c>
      <c r="I26" s="31">
        <f t="shared" si="10"/>
        <v>7200</v>
      </c>
    </row>
    <row r="27" spans="2:9">
      <c r="B27" s="213" t="s">
        <v>14</v>
      </c>
      <c r="C27" s="214">
        <f>SUM(C20:C26)</f>
        <v>50685</v>
      </c>
      <c r="E27" s="101">
        <v>1</v>
      </c>
      <c r="F27" s="59" t="s">
        <v>31</v>
      </c>
      <c r="G27" s="102">
        <v>500</v>
      </c>
      <c r="H27" s="102">
        <f t="shared" si="9"/>
        <v>500</v>
      </c>
      <c r="I27" s="31">
        <f t="shared" si="10"/>
        <v>6000</v>
      </c>
    </row>
    <row r="28" spans="2:9">
      <c r="E28" s="101">
        <v>5</v>
      </c>
      <c r="F28" s="59" t="s">
        <v>263</v>
      </c>
      <c r="G28" s="102">
        <v>350</v>
      </c>
      <c r="H28" s="102">
        <f t="shared" si="9"/>
        <v>1750</v>
      </c>
      <c r="I28" s="31">
        <f t="shared" si="10"/>
        <v>21000</v>
      </c>
    </row>
    <row r="29" spans="2:9">
      <c r="E29" s="101">
        <v>1</v>
      </c>
      <c r="F29" s="59" t="s">
        <v>42</v>
      </c>
      <c r="G29" s="102">
        <v>250</v>
      </c>
      <c r="H29" s="102">
        <f t="shared" si="9"/>
        <v>250</v>
      </c>
      <c r="I29" s="31">
        <f t="shared" si="10"/>
        <v>3000</v>
      </c>
    </row>
    <row r="30" spans="2:9">
      <c r="E30" s="101">
        <v>1</v>
      </c>
      <c r="F30" s="59" t="s">
        <v>43</v>
      </c>
      <c r="G30" s="102">
        <v>300</v>
      </c>
      <c r="H30" s="102">
        <f t="shared" si="9"/>
        <v>300</v>
      </c>
      <c r="I30" s="31">
        <f t="shared" si="10"/>
        <v>3600</v>
      </c>
    </row>
    <row r="31" spans="2:9">
      <c r="E31" s="197">
        <f>SUM(E21:E30)</f>
        <v>14</v>
      </c>
      <c r="F31" s="198" t="s">
        <v>35</v>
      </c>
      <c r="G31" s="199">
        <f>SUM(G21:G30)</f>
        <v>5080</v>
      </c>
      <c r="H31" s="199">
        <f>SUM(H21:H30)</f>
        <v>6480</v>
      </c>
      <c r="I31" s="266">
        <f>SUM(I21:I30)</f>
        <v>77760</v>
      </c>
    </row>
  </sheetData>
  <mergeCells count="1">
    <mergeCell ref="H2:I2"/>
  </mergeCells>
  <phoneticPr fontId="15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B5"/>
  <sheetViews>
    <sheetView workbookViewId="0">
      <selection activeCell="D19" sqref="D19"/>
    </sheetView>
  </sheetViews>
  <sheetFormatPr baseColWidth="10" defaultRowHeight="15"/>
  <cols>
    <col min="1" max="1" width="34" customWidth="1"/>
    <col min="2" max="2" width="13.140625" customWidth="1"/>
  </cols>
  <sheetData>
    <row r="2" spans="1:2">
      <c r="A2" s="265" t="s">
        <v>312</v>
      </c>
      <c r="B2" s="265" t="s">
        <v>162</v>
      </c>
    </row>
    <row r="3" spans="1:2">
      <c r="A3" s="255" t="s">
        <v>163</v>
      </c>
      <c r="B3" s="31">
        <f>+COSTOS!E63</f>
        <v>34200</v>
      </c>
    </row>
    <row r="4" spans="1:2">
      <c r="A4" s="255" t="s">
        <v>164</v>
      </c>
      <c r="B4" s="31">
        <f>+'COST. VARIABLE'!F13</f>
        <v>96314.747763724241</v>
      </c>
    </row>
    <row r="5" spans="1:2">
      <c r="A5" s="255" t="s">
        <v>318</v>
      </c>
      <c r="B5" s="32">
        <f>SUM(B3:B4)</f>
        <v>130514.74776372424</v>
      </c>
    </row>
  </sheetData>
  <phoneticPr fontId="15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15" type="noConversion"/>
  <pageMargins left="0.75" right="0.75" top="1" bottom="1" header="0" footer="0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D18"/>
  <sheetViews>
    <sheetView workbookViewId="0">
      <selection activeCell="B18" sqref="B18"/>
    </sheetView>
  </sheetViews>
  <sheetFormatPr baseColWidth="10" defaultRowHeight="15"/>
  <cols>
    <col min="1" max="1" width="12" customWidth="1"/>
  </cols>
  <sheetData>
    <row r="2" spans="1:4">
      <c r="A2" s="26" t="s">
        <v>116</v>
      </c>
    </row>
    <row r="3" spans="1:4">
      <c r="A3" s="363" t="s">
        <v>105</v>
      </c>
      <c r="B3" s="363"/>
    </row>
    <row r="4" spans="1:4">
      <c r="A4" s="265" t="s">
        <v>106</v>
      </c>
      <c r="B4" s="241"/>
    </row>
    <row r="5" spans="1:4">
      <c r="A5" s="265" t="s">
        <v>107</v>
      </c>
      <c r="B5" s="138">
        <v>4.1500000000000002E-2</v>
      </c>
    </row>
    <row r="6" spans="1:4">
      <c r="A6" s="265" t="s">
        <v>108</v>
      </c>
      <c r="B6" s="13">
        <v>0.92</v>
      </c>
      <c r="D6" t="s">
        <v>317</v>
      </c>
    </row>
    <row r="7" spans="1:4">
      <c r="A7" s="265" t="s">
        <v>109</v>
      </c>
      <c r="B7" s="118">
        <v>0.2</v>
      </c>
    </row>
    <row r="8" spans="1:4">
      <c r="A8" s="265" t="s">
        <v>110</v>
      </c>
      <c r="B8" s="138">
        <v>8.1600000000000006E-2</v>
      </c>
      <c r="D8" s="137">
        <v>40288</v>
      </c>
    </row>
    <row r="9" spans="1:4">
      <c r="A9" s="265" t="s">
        <v>111</v>
      </c>
      <c r="B9" s="13">
        <f>((B5+(B6*(B7-B5))+B8))*100</f>
        <v>26.892000000000003</v>
      </c>
      <c r="D9" t="s">
        <v>349</v>
      </c>
    </row>
    <row r="11" spans="1:4">
      <c r="A11" s="26" t="s">
        <v>105</v>
      </c>
    </row>
    <row r="12" spans="1:4">
      <c r="A12" s="363" t="s">
        <v>112</v>
      </c>
      <c r="B12" s="363"/>
    </row>
    <row r="13" spans="1:4">
      <c r="A13" s="265" t="s">
        <v>106</v>
      </c>
      <c r="B13" s="241"/>
    </row>
    <row r="14" spans="1:4">
      <c r="A14" s="265" t="s">
        <v>113</v>
      </c>
      <c r="B14" s="9">
        <v>0.1123</v>
      </c>
    </row>
    <row r="15" spans="1:4">
      <c r="A15" s="265" t="s">
        <v>114</v>
      </c>
      <c r="B15" s="9">
        <v>0.25</v>
      </c>
    </row>
    <row r="16" spans="1:4">
      <c r="A16" s="265" t="s">
        <v>115</v>
      </c>
      <c r="B16" s="118">
        <f>+INVERSION!B32</f>
        <v>0.45</v>
      </c>
    </row>
    <row r="17" spans="1:2">
      <c r="A17" s="265" t="s">
        <v>111</v>
      </c>
      <c r="B17" s="27">
        <f>+B9/100</f>
        <v>0.26892000000000005</v>
      </c>
    </row>
    <row r="18" spans="1:2">
      <c r="A18" s="265" t="s">
        <v>112</v>
      </c>
      <c r="B18" s="28">
        <f>(B14*((1-B15)*B16))+(B17*(1-B16))</f>
        <v>0.18580725000000003</v>
      </c>
    </row>
  </sheetData>
  <mergeCells count="2">
    <mergeCell ref="A12:B12"/>
    <mergeCell ref="A3:B3"/>
  </mergeCells>
  <phoneticPr fontId="15" type="noConversion"/>
  <pageMargins left="0.75" right="0.75" top="1" bottom="1" header="0" footer="0"/>
  <pageSetup paperSize="9" orientation="portrait" horizontalDpi="4294967293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J6:R50"/>
  <sheetViews>
    <sheetView topLeftCell="A30" workbookViewId="0">
      <selection activeCell="N54" sqref="N54"/>
    </sheetView>
  </sheetViews>
  <sheetFormatPr baseColWidth="10" defaultColWidth="11" defaultRowHeight="15"/>
  <cols>
    <col min="10" max="10" width="9.5703125" customWidth="1"/>
    <col min="11" max="11" width="31.5703125" customWidth="1"/>
  </cols>
  <sheetData>
    <row r="6" spans="10:18">
      <c r="J6" s="260" t="s">
        <v>268</v>
      </c>
      <c r="K6" s="258" t="s">
        <v>269</v>
      </c>
      <c r="L6" s="258" t="s">
        <v>270</v>
      </c>
      <c r="M6" s="259" t="s">
        <v>203</v>
      </c>
    </row>
    <row r="7" spans="10:18">
      <c r="J7" s="9" t="s">
        <v>271</v>
      </c>
      <c r="K7" s="9">
        <v>19232</v>
      </c>
      <c r="L7" s="9">
        <v>19856</v>
      </c>
      <c r="M7" s="138">
        <f t="shared" ref="M7:M24" si="0">((SUM(K7:L7))/$M$25)</f>
        <v>1.1813267682577061E-2</v>
      </c>
    </row>
    <row r="8" spans="10:18">
      <c r="J8" s="9" t="s">
        <v>272</v>
      </c>
      <c r="K8" s="9">
        <v>12021</v>
      </c>
      <c r="L8" s="9">
        <v>13456</v>
      </c>
      <c r="M8" s="138">
        <f t="shared" si="0"/>
        <v>7.6997191145368356E-3</v>
      </c>
    </row>
    <row r="9" spans="10:18">
      <c r="J9" s="9" t="s">
        <v>273</v>
      </c>
      <c r="K9" s="9">
        <v>18194</v>
      </c>
      <c r="L9" s="9">
        <v>18988</v>
      </c>
      <c r="M9" s="138">
        <f t="shared" si="0"/>
        <v>1.1237231860764949E-2</v>
      </c>
    </row>
    <row r="10" spans="10:18">
      <c r="J10" s="9" t="s">
        <v>274</v>
      </c>
      <c r="K10" s="9">
        <v>25197</v>
      </c>
      <c r="L10" s="9">
        <v>26215</v>
      </c>
      <c r="M10" s="138">
        <f t="shared" si="0"/>
        <v>1.553785607083125E-2</v>
      </c>
    </row>
    <row r="11" spans="10:18">
      <c r="J11" s="9" t="s">
        <v>275</v>
      </c>
      <c r="K11" s="9">
        <v>31257</v>
      </c>
      <c r="L11" s="9">
        <v>33129</v>
      </c>
      <c r="M11" s="138">
        <f t="shared" si="0"/>
        <v>1.9458888994330913E-2</v>
      </c>
    </row>
    <row r="12" spans="10:18">
      <c r="J12" s="9" t="s">
        <v>276</v>
      </c>
      <c r="K12" s="9">
        <v>37101</v>
      </c>
      <c r="L12" s="9">
        <v>38509</v>
      </c>
      <c r="M12" s="138">
        <f t="shared" si="0"/>
        <v>2.2851032784477376E-2</v>
      </c>
    </row>
    <row r="13" spans="10:18">
      <c r="J13" s="9" t="s">
        <v>277</v>
      </c>
      <c r="K13" s="9">
        <v>45661</v>
      </c>
      <c r="L13" s="9">
        <v>46121</v>
      </c>
      <c r="M13" s="138">
        <f t="shared" si="0"/>
        <v>2.7738572821384772E-2</v>
      </c>
    </row>
    <row r="14" spans="10:18">
      <c r="J14" s="9" t="s">
        <v>278</v>
      </c>
      <c r="K14" s="9">
        <v>65661</v>
      </c>
      <c r="L14" s="9">
        <v>64609</v>
      </c>
      <c r="M14" s="138">
        <f t="shared" si="0"/>
        <v>3.9370507086812168E-2</v>
      </c>
    </row>
    <row r="15" spans="10:18">
      <c r="J15" s="9" t="s">
        <v>279</v>
      </c>
      <c r="K15" s="9">
        <v>78750</v>
      </c>
      <c r="L15" s="9">
        <v>79374</v>
      </c>
      <c r="M15" s="138">
        <f t="shared" si="0"/>
        <v>4.7788608755623602E-2</v>
      </c>
      <c r="R15" s="285"/>
    </row>
    <row r="16" spans="10:18">
      <c r="J16" s="221" t="s">
        <v>280</v>
      </c>
      <c r="K16" s="221">
        <v>100125</v>
      </c>
      <c r="L16" s="221">
        <v>100603</v>
      </c>
      <c r="M16" s="261">
        <f t="shared" si="0"/>
        <v>6.0664490262697719E-2</v>
      </c>
    </row>
    <row r="17" spans="10:18">
      <c r="J17" s="221" t="s">
        <v>281</v>
      </c>
      <c r="K17" s="221">
        <v>112083</v>
      </c>
      <c r="L17" s="221">
        <v>117472</v>
      </c>
      <c r="M17" s="261">
        <f t="shared" si="0"/>
        <v>6.9376654289653533E-2</v>
      </c>
    </row>
    <row r="18" spans="10:18">
      <c r="J18" s="221" t="s">
        <v>282</v>
      </c>
      <c r="K18" s="221">
        <v>127650</v>
      </c>
      <c r="L18" s="221">
        <v>127943</v>
      </c>
      <c r="M18" s="261">
        <f t="shared" si="0"/>
        <v>7.7245920149225308E-2</v>
      </c>
      <c r="P18" s="284"/>
      <c r="R18" s="285"/>
    </row>
    <row r="19" spans="10:18">
      <c r="J19" s="221" t="s">
        <v>283</v>
      </c>
      <c r="K19" s="221">
        <v>135950</v>
      </c>
      <c r="L19" s="221">
        <v>140976</v>
      </c>
      <c r="M19" s="261">
        <f t="shared" si="0"/>
        <v>8.3693229795981774E-2</v>
      </c>
    </row>
    <row r="20" spans="10:18">
      <c r="J20" s="221" t="s">
        <v>284</v>
      </c>
      <c r="K20" s="221">
        <v>165858</v>
      </c>
      <c r="L20" s="221">
        <v>170750</v>
      </c>
      <c r="M20" s="262">
        <f t="shared" si="0"/>
        <v>0.10173046479985928</v>
      </c>
    </row>
    <row r="21" spans="10:18">
      <c r="J21" s="221" t="s">
        <v>285</v>
      </c>
      <c r="K21" s="221">
        <v>158859</v>
      </c>
      <c r="L21" s="221">
        <v>162598</v>
      </c>
      <c r="M21" s="261">
        <f t="shared" si="0"/>
        <v>9.7151493794468247E-2</v>
      </c>
      <c r="N21" s="264">
        <f>SUM(M16:M21)</f>
        <v>0.48986225309188586</v>
      </c>
    </row>
    <row r="22" spans="10:18">
      <c r="J22" s="183"/>
      <c r="K22" s="9">
        <v>168214</v>
      </c>
      <c r="L22" s="9">
        <v>164347</v>
      </c>
      <c r="M22" s="263">
        <f t="shared" si="0"/>
        <v>0.10050737090118478</v>
      </c>
    </row>
    <row r="23" spans="10:18">
      <c r="J23" s="339"/>
      <c r="K23" s="9">
        <v>173071</v>
      </c>
      <c r="L23" s="9">
        <v>168405</v>
      </c>
      <c r="M23" s="138">
        <f t="shared" si="0"/>
        <v>0.10320168325766693</v>
      </c>
    </row>
    <row r="24" spans="10:18">
      <c r="J24" s="9" t="s">
        <v>286</v>
      </c>
      <c r="K24" s="9">
        <v>173302</v>
      </c>
      <c r="L24" s="111">
        <v>167285</v>
      </c>
      <c r="M24" s="138">
        <f t="shared" si="0"/>
        <v>0.10293300757792351</v>
      </c>
    </row>
    <row r="25" spans="10:18" ht="15.75">
      <c r="J25" s="9"/>
      <c r="K25" s="112">
        <f>SUM(K7:K24)</f>
        <v>1648186</v>
      </c>
      <c r="L25" s="112">
        <f>SUM(L7:L24)</f>
        <v>1660636</v>
      </c>
      <c r="M25" s="112">
        <f>SUM(K25:L25)</f>
        <v>3308822</v>
      </c>
    </row>
    <row r="37" spans="11:14">
      <c r="K37" s="286" t="s">
        <v>288</v>
      </c>
      <c r="L37" s="270">
        <v>1985379</v>
      </c>
      <c r="M37" s="287">
        <f>L37/M25</f>
        <v>0.6000259306786524</v>
      </c>
      <c r="N37" s="270"/>
    </row>
    <row r="38" spans="11:14">
      <c r="K38" s="286" t="s">
        <v>287</v>
      </c>
      <c r="L38" s="270">
        <v>835486</v>
      </c>
      <c r="M38" s="287">
        <f>L38/M25</f>
        <v>0.2525025522678464</v>
      </c>
      <c r="N38" s="270"/>
    </row>
    <row r="39" spans="11:14">
      <c r="K39" s="286" t="s">
        <v>290</v>
      </c>
      <c r="L39" s="270"/>
      <c r="M39" s="288">
        <f>L38*N39</f>
        <v>693453.38</v>
      </c>
      <c r="N39" s="289">
        <v>0.83</v>
      </c>
    </row>
    <row r="40" spans="11:14">
      <c r="K40" s="286" t="s">
        <v>353</v>
      </c>
      <c r="L40" s="270"/>
      <c r="M40" s="288">
        <f>+M39*N40</f>
        <v>462302.2533333333</v>
      </c>
      <c r="N40" s="289">
        <f>+'CAPT MERCADO'!D43</f>
        <v>0.66666666666666663</v>
      </c>
    </row>
    <row r="41" spans="11:14">
      <c r="K41" s="286" t="s">
        <v>289</v>
      </c>
      <c r="L41" s="270"/>
      <c r="M41" s="288">
        <f>+M40*N41</f>
        <v>226464.42342732244</v>
      </c>
      <c r="N41" s="290">
        <f>N21</f>
        <v>0.48986225309188586</v>
      </c>
    </row>
    <row r="42" spans="11:14">
      <c r="K42" s="286" t="s">
        <v>354</v>
      </c>
      <c r="L42" s="270"/>
      <c r="M42" s="288">
        <f>+M41*N42</f>
        <v>5661.6105856830618</v>
      </c>
      <c r="N42" s="290">
        <v>2.5000000000000001E-2</v>
      </c>
    </row>
    <row r="47" spans="11:14">
      <c r="K47" s="33"/>
    </row>
    <row r="48" spans="11:14">
      <c r="K48" s="33"/>
    </row>
    <row r="49" spans="11:11">
      <c r="K49" s="147"/>
    </row>
    <row r="50" spans="11:11">
      <c r="K50" s="33"/>
    </row>
  </sheetData>
  <phoneticPr fontId="15" type="noConversion"/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N8"/>
  <sheetViews>
    <sheetView zoomScale="160" zoomScaleNormal="160" workbookViewId="0">
      <selection activeCell="D9" sqref="D9"/>
    </sheetView>
  </sheetViews>
  <sheetFormatPr baseColWidth="10" defaultRowHeight="15"/>
  <cols>
    <col min="1" max="1" width="14.28515625" customWidth="1"/>
    <col min="2" max="2" width="6.5703125" customWidth="1"/>
    <col min="3" max="3" width="8.140625" customWidth="1"/>
    <col min="4" max="4" width="8.7109375" customWidth="1"/>
    <col min="5" max="5" width="7.140625" customWidth="1"/>
    <col min="6" max="6" width="8" customWidth="1"/>
    <col min="7" max="7" width="7.42578125" customWidth="1"/>
    <col min="8" max="8" width="7.85546875" customWidth="1"/>
    <col min="9" max="9" width="7.7109375" customWidth="1"/>
    <col min="10" max="10" width="7.85546875" customWidth="1"/>
    <col min="11" max="11" width="10.28515625" customWidth="1"/>
    <col min="12" max="12" width="8.42578125" customWidth="1"/>
    <col min="13" max="13" width="10" customWidth="1"/>
    <col min="14" max="14" width="9.85546875" customWidth="1"/>
  </cols>
  <sheetData>
    <row r="2" spans="1:14" ht="15.75">
      <c r="A2" s="2"/>
      <c r="B2" s="49" t="s">
        <v>143</v>
      </c>
      <c r="C2" s="49"/>
      <c r="D2" s="49"/>
      <c r="E2" s="48"/>
      <c r="F2" s="2"/>
      <c r="G2" s="2"/>
      <c r="H2" s="2"/>
      <c r="I2" s="2"/>
      <c r="J2" s="2"/>
    </row>
    <row r="3" spans="1:14" ht="15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4">
      <c r="A4" s="319" t="s">
        <v>144</v>
      </c>
      <c r="B4" s="320"/>
      <c r="C4" s="320" t="s">
        <v>50</v>
      </c>
      <c r="D4" s="320" t="s">
        <v>51</v>
      </c>
      <c r="E4" s="320" t="s">
        <v>52</v>
      </c>
      <c r="F4" s="320" t="s">
        <v>53</v>
      </c>
      <c r="G4" s="320" t="s">
        <v>54</v>
      </c>
      <c r="H4" s="320" t="s">
        <v>55</v>
      </c>
      <c r="I4" s="320" t="s">
        <v>56</v>
      </c>
      <c r="J4" s="320" t="s">
        <v>301</v>
      </c>
      <c r="K4" s="320" t="s">
        <v>57</v>
      </c>
      <c r="L4" s="320" t="s">
        <v>58</v>
      </c>
      <c r="M4" s="320" t="s">
        <v>59</v>
      </c>
      <c r="N4" s="320" t="s">
        <v>60</v>
      </c>
    </row>
    <row r="5" spans="1:14">
      <c r="A5" s="319" t="s">
        <v>145</v>
      </c>
      <c r="B5" s="82"/>
      <c r="C5" s="315"/>
      <c r="D5" s="315">
        <f>'INGRESOS Y EGRESOS'!C77</f>
        <v>17627.626921312218</v>
      </c>
      <c r="E5" s="315">
        <f>'INGRESOS Y EGRESOS'!D77</f>
        <v>17627.626921312218</v>
      </c>
      <c r="F5" s="315">
        <f>'INGRESOS Y EGRESOS'!E77</f>
        <v>17627.626921312218</v>
      </c>
      <c r="G5" s="315">
        <f>'INGRESOS Y EGRESOS'!F77</f>
        <v>17627.626921312218</v>
      </c>
      <c r="H5" s="315">
        <f>'INGRESOS Y EGRESOS'!G77</f>
        <v>17627.626921312218</v>
      </c>
      <c r="I5" s="315">
        <f>'INGRESOS Y EGRESOS'!H77</f>
        <v>17627.626921312218</v>
      </c>
      <c r="J5" s="315">
        <f>'INGRESOS Y EGRESOS'!I77</f>
        <v>17627.626921312218</v>
      </c>
      <c r="K5" s="315">
        <f>'INGRESOS Y EGRESOS'!J77</f>
        <v>17627.626921312218</v>
      </c>
      <c r="L5" s="315">
        <f>'INGRESOS Y EGRESOS'!K77</f>
        <v>17627.626921312218</v>
      </c>
      <c r="M5" s="315">
        <f>'INGRESOS Y EGRESOS'!L77</f>
        <v>17627.626921312218</v>
      </c>
      <c r="N5" s="315">
        <f>'INGRESOS Y EGRESOS'!M77</f>
        <v>17627.626921312218</v>
      </c>
    </row>
    <row r="6" spans="1:14">
      <c r="A6" s="319" t="s">
        <v>66</v>
      </c>
      <c r="B6" s="80"/>
      <c r="C6" s="315">
        <f>'INGRESOS Y EGRESOS'!B94</f>
        <v>18286.64564697702</v>
      </c>
      <c r="D6" s="315">
        <f>'INGRESOS Y EGRESOS'!C94</f>
        <v>18286.64564697702</v>
      </c>
      <c r="E6" s="315">
        <f>'INGRESOS Y EGRESOS'!D94</f>
        <v>18286.64564697702</v>
      </c>
      <c r="F6" s="315">
        <f>'INGRESOS Y EGRESOS'!E94</f>
        <v>18286.64564697702</v>
      </c>
      <c r="G6" s="315">
        <f>'INGRESOS Y EGRESOS'!F94</f>
        <v>18286.64564697702</v>
      </c>
      <c r="H6" s="315">
        <f>'INGRESOS Y EGRESOS'!G94</f>
        <v>18286.64564697702</v>
      </c>
      <c r="I6" s="315">
        <f>'INGRESOS Y EGRESOS'!H94</f>
        <v>18286.64564697702</v>
      </c>
      <c r="J6" s="315">
        <f>'INGRESOS Y EGRESOS'!I94</f>
        <v>18286.64564697702</v>
      </c>
      <c r="K6" s="315">
        <f>'INGRESOS Y EGRESOS'!J94</f>
        <v>18286.64564697702</v>
      </c>
      <c r="L6" s="315">
        <f>'INGRESOS Y EGRESOS'!K94</f>
        <v>18286.64564697702</v>
      </c>
      <c r="M6" s="315">
        <f>'INGRESOS Y EGRESOS'!L94</f>
        <v>18286.64564697702</v>
      </c>
      <c r="N6" s="315">
        <f>'INGRESOS Y EGRESOS'!M94</f>
        <v>18286.64564697702</v>
      </c>
    </row>
    <row r="7" spans="1:14">
      <c r="A7" s="319" t="s">
        <v>146</v>
      </c>
      <c r="B7" s="82"/>
      <c r="C7" s="315">
        <f t="shared" ref="C7:N7" si="0">+C5-C6</f>
        <v>-18286.64564697702</v>
      </c>
      <c r="D7" s="315">
        <f>+D5-D6</f>
        <v>-659.01872566480233</v>
      </c>
      <c r="E7" s="315">
        <f t="shared" si="0"/>
        <v>-659.01872566480233</v>
      </c>
      <c r="F7" s="315">
        <f t="shared" si="0"/>
        <v>-659.01872566480233</v>
      </c>
      <c r="G7" s="315">
        <f t="shared" si="0"/>
        <v>-659.01872566480233</v>
      </c>
      <c r="H7" s="315">
        <f t="shared" si="0"/>
        <v>-659.01872566480233</v>
      </c>
      <c r="I7" s="315">
        <f t="shared" si="0"/>
        <v>-659.01872566480233</v>
      </c>
      <c r="J7" s="315">
        <f t="shared" si="0"/>
        <v>-659.01872566480233</v>
      </c>
      <c r="K7" s="315">
        <f t="shared" si="0"/>
        <v>-659.01872566480233</v>
      </c>
      <c r="L7" s="315">
        <f t="shared" si="0"/>
        <v>-659.01872566480233</v>
      </c>
      <c r="M7" s="315">
        <f t="shared" si="0"/>
        <v>-659.01872566480233</v>
      </c>
      <c r="N7" s="315">
        <f t="shared" si="0"/>
        <v>-659.01872566480233</v>
      </c>
    </row>
    <row r="8" spans="1:14">
      <c r="A8" s="319" t="s">
        <v>147</v>
      </c>
      <c r="B8" s="321"/>
      <c r="C8" s="322">
        <f t="shared" ref="C8:N8" si="1">+C7+B8</f>
        <v>-18286.64564697702</v>
      </c>
      <c r="D8" s="322">
        <f>+D7+C8</f>
        <v>-18945.664372641822</v>
      </c>
      <c r="E8" s="322">
        <f t="shared" si="1"/>
        <v>-19604.683098306625</v>
      </c>
      <c r="F8" s="322">
        <f t="shared" si="1"/>
        <v>-20263.701823971427</v>
      </c>
      <c r="G8" s="322">
        <f t="shared" si="1"/>
        <v>-20922.720549636229</v>
      </c>
      <c r="H8" s="322">
        <f t="shared" si="1"/>
        <v>-21581.739275301032</v>
      </c>
      <c r="I8" s="322">
        <f t="shared" si="1"/>
        <v>-22240.758000965834</v>
      </c>
      <c r="J8" s="322">
        <f t="shared" si="1"/>
        <v>-22899.776726630636</v>
      </c>
      <c r="K8" s="322">
        <f t="shared" si="1"/>
        <v>-23558.795452295439</v>
      </c>
      <c r="L8" s="322">
        <f t="shared" si="1"/>
        <v>-24217.814177960241</v>
      </c>
      <c r="M8" s="322">
        <f t="shared" si="1"/>
        <v>-24876.832903625043</v>
      </c>
      <c r="N8" s="322">
        <f t="shared" si="1"/>
        <v>-25535.851629289846</v>
      </c>
    </row>
  </sheetData>
  <phoneticPr fontId="15" type="noConversion"/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B2:J75"/>
  <sheetViews>
    <sheetView showGridLines="0" tabSelected="1" zoomScale="136" zoomScaleNormal="136" workbookViewId="0">
      <selection activeCell="H69" sqref="H69"/>
    </sheetView>
  </sheetViews>
  <sheetFormatPr baseColWidth="10" defaultRowHeight="15"/>
  <cols>
    <col min="1" max="1" width="2.7109375" customWidth="1"/>
    <col min="2" max="2" width="14.85546875" bestFit="1" customWidth="1"/>
    <col min="3" max="3" width="23.42578125" customWidth="1"/>
    <col min="4" max="4" width="5" customWidth="1"/>
    <col min="5" max="5" width="11.28515625" customWidth="1"/>
    <col min="6" max="6" width="9.85546875" customWidth="1"/>
    <col min="7" max="7" width="12.28515625" bestFit="1" customWidth="1"/>
    <col min="8" max="9" width="9.7109375" customWidth="1"/>
    <col min="10" max="10" width="12.28515625" bestFit="1" customWidth="1"/>
  </cols>
  <sheetData>
    <row r="2" spans="2:10" ht="15.75">
      <c r="B2" s="364" t="s">
        <v>165</v>
      </c>
      <c r="C2" s="364"/>
      <c r="D2" s="364"/>
      <c r="E2" s="364"/>
      <c r="F2" s="364"/>
      <c r="G2" s="364"/>
      <c r="H2" s="364"/>
      <c r="I2" s="364"/>
      <c r="J2" s="364"/>
    </row>
    <row r="3" spans="2:10">
      <c r="B3" s="365" t="s">
        <v>376</v>
      </c>
      <c r="C3" s="365"/>
      <c r="D3" s="365"/>
      <c r="E3" s="365"/>
      <c r="F3" s="365"/>
      <c r="G3" s="365"/>
      <c r="H3" s="365"/>
      <c r="I3" s="365"/>
      <c r="J3" s="365"/>
    </row>
    <row r="4" spans="2:10">
      <c r="B4" s="60"/>
      <c r="C4" s="60"/>
      <c r="D4" s="60"/>
      <c r="E4" s="366" t="s">
        <v>166</v>
      </c>
      <c r="F4" s="366"/>
      <c r="G4" s="366"/>
      <c r="H4" s="366"/>
      <c r="I4" s="366"/>
      <c r="J4" s="366"/>
    </row>
    <row r="5" spans="2:10" ht="15.75" thickBot="1">
      <c r="B5" s="110" t="s">
        <v>303</v>
      </c>
      <c r="C5" s="124">
        <v>0.05</v>
      </c>
      <c r="D5" s="124"/>
      <c r="E5" s="61">
        <v>2010</v>
      </c>
      <c r="F5" s="62">
        <v>2011</v>
      </c>
      <c r="G5" s="62">
        <v>2012</v>
      </c>
      <c r="H5" s="62">
        <v>2013</v>
      </c>
      <c r="I5" s="62">
        <v>2014</v>
      </c>
      <c r="J5" s="62">
        <v>2015</v>
      </c>
    </row>
    <row r="6" spans="2:10">
      <c r="B6" s="63"/>
      <c r="C6" s="127" t="s">
        <v>304</v>
      </c>
      <c r="D6" s="131" t="s">
        <v>199</v>
      </c>
      <c r="E6" s="125"/>
      <c r="F6" s="126"/>
      <c r="G6" s="126"/>
      <c r="H6" s="126"/>
      <c r="I6" s="126"/>
      <c r="J6" s="126"/>
    </row>
    <row r="7" spans="2:10">
      <c r="B7" s="64" t="s">
        <v>167</v>
      </c>
      <c r="C7" s="79" t="s">
        <v>305</v>
      </c>
      <c r="D7" s="129">
        <v>13</v>
      </c>
      <c r="E7" s="129"/>
      <c r="F7" s="130">
        <f>'INGRESOS Y EGRESOS'!N8</f>
        <v>4584.8404644618768</v>
      </c>
      <c r="G7" s="130">
        <f>F7*(1+$C$5)</f>
        <v>4814.0824876849711</v>
      </c>
      <c r="H7" s="130">
        <f>G7*(1+$C$5)</f>
        <v>5054.7866120692197</v>
      </c>
      <c r="I7" s="130">
        <f>H7*(1+$C$5)</f>
        <v>5307.5259426726807</v>
      </c>
      <c r="J7" s="130">
        <f>I7*(1+$C$5)</f>
        <v>5572.9022398063153</v>
      </c>
    </row>
    <row r="8" spans="2:10">
      <c r="B8" s="64"/>
      <c r="C8" s="79" t="s">
        <v>311</v>
      </c>
      <c r="D8" s="80">
        <v>13</v>
      </c>
      <c r="E8" s="80"/>
      <c r="F8" s="130">
        <f>'INGRESOS Y EGRESOS'!N17</f>
        <v>1930.4591429313157</v>
      </c>
      <c r="G8" s="130">
        <f>F8*(1+$C$5)</f>
        <v>2026.9821000778816</v>
      </c>
      <c r="H8" s="130">
        <f t="shared" ref="H8:J10" si="0">G8*(1+$C$5)</f>
        <v>2128.3312050817758</v>
      </c>
      <c r="I8" s="130">
        <f t="shared" si="0"/>
        <v>2234.7477653358646</v>
      </c>
      <c r="J8" s="130">
        <f t="shared" si="0"/>
        <v>2346.4851536026581</v>
      </c>
    </row>
    <row r="9" spans="2:10">
      <c r="B9" s="64" t="s">
        <v>168</v>
      </c>
      <c r="C9" s="79" t="s">
        <v>306</v>
      </c>
      <c r="D9" s="80">
        <v>10</v>
      </c>
      <c r="E9" s="80"/>
      <c r="F9" s="130">
        <f>'INGRESOS Y EGRESOS'!N26</f>
        <v>1689.1517500649013</v>
      </c>
      <c r="G9" s="130">
        <f>F9*(1+$C$5)</f>
        <v>1773.6093375681464</v>
      </c>
      <c r="H9" s="130">
        <f t="shared" si="0"/>
        <v>1862.2898044465537</v>
      </c>
      <c r="I9" s="130">
        <f t="shared" si="0"/>
        <v>1955.4042946688814</v>
      </c>
      <c r="J9" s="130">
        <f t="shared" si="0"/>
        <v>2053.1745094023254</v>
      </c>
    </row>
    <row r="10" spans="2:10">
      <c r="B10" s="64"/>
      <c r="C10" s="79" t="s">
        <v>23</v>
      </c>
      <c r="D10" s="80">
        <v>15</v>
      </c>
      <c r="E10" s="80"/>
      <c r="F10" s="130">
        <f>+'INGRESOS Y EGRESOS'!N35</f>
        <v>1974.3332143615723</v>
      </c>
      <c r="G10" s="130">
        <f>F10*(1+$C$5)</f>
        <v>2073.049875079651</v>
      </c>
      <c r="H10" s="130">
        <f t="shared" si="0"/>
        <v>2176.7023688336335</v>
      </c>
      <c r="I10" s="130">
        <f t="shared" si="0"/>
        <v>2285.5374872753155</v>
      </c>
      <c r="J10" s="130">
        <f t="shared" si="0"/>
        <v>2399.8143616390812</v>
      </c>
    </row>
    <row r="11" spans="2:10">
      <c r="B11" s="64" t="s">
        <v>114</v>
      </c>
      <c r="C11" s="127" t="s">
        <v>307</v>
      </c>
      <c r="D11" s="127"/>
      <c r="E11" s="80"/>
      <c r="F11" s="90">
        <f>(F7*$D$7)+(F8*$D$8)+(F9*$D$9)+(F10*$D$10)</f>
        <v>131205.41061218412</v>
      </c>
      <c r="G11" s="90">
        <f>(G7*$D$7)+(G8*$D$8)+(G9*$D$9)+(G10*$D$10)</f>
        <v>137765.6811427933</v>
      </c>
      <c r="H11" s="90">
        <f>(H7*$D$7)+(H8*$D$8)+(H9*$D$9)+(H10*$D$10)</f>
        <v>144653.96519993298</v>
      </c>
      <c r="I11" s="90">
        <f>(I7*$D$7)+(I8*$D$8)+(I9*$D$9)+(I10*$D$10)</f>
        <v>151886.66345992964</v>
      </c>
      <c r="J11" s="90">
        <f>(J7*$D$7)+(J8*$D$8)+(J9*$D$9)+(J10*$D$10)</f>
        <v>159480.99663292611</v>
      </c>
    </row>
    <row r="12" spans="2:10">
      <c r="B12" s="64"/>
      <c r="C12" s="79"/>
      <c r="D12" s="79"/>
      <c r="E12" s="80"/>
      <c r="F12" s="81"/>
      <c r="G12" s="81"/>
      <c r="H12" s="81"/>
      <c r="I12" s="81"/>
      <c r="J12" s="81"/>
    </row>
    <row r="13" spans="2:10">
      <c r="B13" s="64" t="s">
        <v>170</v>
      </c>
      <c r="C13" s="127" t="s">
        <v>308</v>
      </c>
      <c r="D13" s="127"/>
      <c r="E13" s="80"/>
      <c r="F13" s="81"/>
      <c r="G13" s="81"/>
      <c r="H13" s="81"/>
      <c r="I13" s="81"/>
      <c r="J13" s="81"/>
    </row>
    <row r="14" spans="2:10">
      <c r="B14" s="64"/>
      <c r="C14" s="79" t="s">
        <v>305</v>
      </c>
      <c r="D14" s="188">
        <v>13</v>
      </c>
      <c r="E14" s="80"/>
      <c r="F14" s="130">
        <f>'INGRESOS Y EGRESOS'!N45</f>
        <v>1667.2147143497725</v>
      </c>
      <c r="G14" s="130">
        <f>F14*(1+$C$5)</f>
        <v>1750.5754500672613</v>
      </c>
      <c r="H14" s="130">
        <f>G14*(1+$C$5)</f>
        <v>1838.1042225706244</v>
      </c>
      <c r="I14" s="130">
        <f>H14*(1+$C$5)</f>
        <v>1930.0094336991558</v>
      </c>
      <c r="J14" s="130">
        <f>I14*(1+$C$5)</f>
        <v>2026.5099053841136</v>
      </c>
    </row>
    <row r="15" spans="2:10">
      <c r="B15" s="64" t="s">
        <v>172</v>
      </c>
      <c r="C15" s="79" t="s">
        <v>311</v>
      </c>
      <c r="D15" s="189">
        <v>13</v>
      </c>
      <c r="E15" s="80"/>
      <c r="F15" s="130">
        <f>'INGRESOS Y EGRESOS'!N54</f>
        <v>701.98514288411479</v>
      </c>
      <c r="G15" s="130">
        <f>F15*(1+$C$5)</f>
        <v>737.0844000283206</v>
      </c>
      <c r="H15" s="130">
        <f t="shared" ref="H15:J17" si="1">G15*(1+$C$5)</f>
        <v>773.93862002973663</v>
      </c>
      <c r="I15" s="130">
        <f t="shared" si="1"/>
        <v>812.63555103122349</v>
      </c>
      <c r="J15" s="130">
        <f t="shared" si="1"/>
        <v>853.26732858278467</v>
      </c>
    </row>
    <row r="16" spans="2:10">
      <c r="B16" s="64"/>
      <c r="C16" s="79" t="s">
        <v>306</v>
      </c>
      <c r="D16" s="189">
        <v>10</v>
      </c>
      <c r="E16" s="80"/>
      <c r="F16" s="130">
        <f>'INGRESOS Y EGRESOS'!N63</f>
        <v>563.05058335496688</v>
      </c>
      <c r="G16" s="130">
        <f>F16*(1+$C$5)</f>
        <v>591.20311252271529</v>
      </c>
      <c r="H16" s="130">
        <f t="shared" si="1"/>
        <v>620.76326814885113</v>
      </c>
      <c r="I16" s="130">
        <f t="shared" si="1"/>
        <v>651.80143155629366</v>
      </c>
      <c r="J16" s="130">
        <f t="shared" si="1"/>
        <v>684.39150313410835</v>
      </c>
    </row>
    <row r="17" spans="2:10">
      <c r="B17" s="64" t="s">
        <v>174</v>
      </c>
      <c r="C17" s="79" t="s">
        <v>23</v>
      </c>
      <c r="D17" s="189">
        <v>15</v>
      </c>
      <c r="E17" s="80"/>
      <c r="F17" s="130">
        <f>'INGRESOS Y EGRESOS'!N72</f>
        <v>658.11107145385768</v>
      </c>
      <c r="G17" s="130">
        <f>F17*(1+$C$5)</f>
        <v>691.01662502655063</v>
      </c>
      <c r="H17" s="130">
        <f t="shared" si="1"/>
        <v>725.56745627787814</v>
      </c>
      <c r="I17" s="130">
        <f t="shared" si="1"/>
        <v>761.84582909177209</v>
      </c>
      <c r="J17" s="130">
        <f t="shared" si="1"/>
        <v>799.93812054636078</v>
      </c>
    </row>
    <row r="18" spans="2:10">
      <c r="B18" s="64"/>
      <c r="C18" s="127" t="s">
        <v>320</v>
      </c>
      <c r="D18" s="190"/>
      <c r="E18" s="80"/>
      <c r="F18" s="90">
        <f>($D$14*F14)+($D$15*F15)+($D$16*F16)+($D$17*F17)</f>
        <v>46301.770049398066</v>
      </c>
      <c r="G18" s="90">
        <f>($D$14*G14)+($D$15*G15)+($D$16*G16)+($D$17*G17)</f>
        <v>48616.858551867976</v>
      </c>
      <c r="H18" s="90">
        <f>($D$14*H14)+($D$15*H15)+($D$16*H16)+($D$17*H17)</f>
        <v>51047.701479461371</v>
      </c>
      <c r="I18" s="90">
        <f>($D$14*I14)+($D$15*I15)+($D$16*I16)+($D$17*I17)</f>
        <v>53600.086553434448</v>
      </c>
      <c r="J18" s="90">
        <f>($D$14*J14)+($D$15*J15)+($D$16*J16)+($D$17*J17)</f>
        <v>56280.090881106174</v>
      </c>
    </row>
    <row r="19" spans="2:10">
      <c r="B19" s="64"/>
      <c r="C19" s="177" t="s">
        <v>366</v>
      </c>
      <c r="D19" s="178"/>
      <c r="E19" s="80"/>
      <c r="F19" s="90">
        <f>+'INGRESOS Y EGRESOS'!E79</f>
        <v>22253.904008791535</v>
      </c>
      <c r="G19" s="90">
        <f>+F19*1.05</f>
        <v>23366.599209231113</v>
      </c>
      <c r="H19" s="90">
        <f>+G19*1.05</f>
        <v>24534.92916969267</v>
      </c>
      <c r="I19" s="90">
        <f>+H19*1.05</f>
        <v>25761.675628177305</v>
      </c>
      <c r="J19" s="90">
        <f>+I19*1.05</f>
        <v>27049.759409586171</v>
      </c>
    </row>
    <row r="20" spans="2:10">
      <c r="B20" s="64"/>
      <c r="C20" s="292" t="s">
        <v>321</v>
      </c>
      <c r="D20" s="293"/>
      <c r="E20" s="192"/>
      <c r="F20" s="144">
        <f>+F11+F18+F19</f>
        <v>199761.0846703737</v>
      </c>
      <c r="G20" s="144">
        <f>+G11+G18+G19</f>
        <v>209749.1389038924</v>
      </c>
      <c r="H20" s="144">
        <f>+H11+H18+H19</f>
        <v>220236.59584908703</v>
      </c>
      <c r="I20" s="144">
        <f>+I11+I18+I19</f>
        <v>231248.42564154137</v>
      </c>
      <c r="J20" s="144">
        <f>+J11+J18+J19</f>
        <v>242810.84692361846</v>
      </c>
    </row>
    <row r="21" spans="2:10">
      <c r="B21" s="64" t="s">
        <v>172</v>
      </c>
      <c r="C21" s="127" t="s">
        <v>309</v>
      </c>
      <c r="D21" s="294"/>
      <c r="E21" s="88"/>
      <c r="F21" s="81"/>
      <c r="G21" s="81"/>
      <c r="H21" s="81"/>
      <c r="I21" s="81"/>
      <c r="J21" s="81"/>
    </row>
    <row r="22" spans="2:10">
      <c r="B22" s="64"/>
      <c r="C22" s="127" t="s">
        <v>310</v>
      </c>
      <c r="D22" s="294"/>
      <c r="E22" s="88"/>
      <c r="F22" s="81"/>
      <c r="G22" s="81"/>
      <c r="H22" s="81"/>
      <c r="I22" s="81"/>
      <c r="J22" s="81"/>
    </row>
    <row r="23" spans="2:10">
      <c r="B23" s="64" t="s">
        <v>167</v>
      </c>
      <c r="C23" s="79" t="s">
        <v>305</v>
      </c>
      <c r="D23" s="191">
        <f>'COST. VARIABLE'!$E$38</f>
        <v>5.421666666666666</v>
      </c>
      <c r="E23" s="88"/>
      <c r="F23" s="81">
        <f>$D$23*F7</f>
        <v>24857.476718157472</v>
      </c>
      <c r="G23" s="81">
        <f>$D$23*G7</f>
        <v>26100.35055406535</v>
      </c>
      <c r="H23" s="81">
        <f>$D$23*H7</f>
        <v>27405.368081768615</v>
      </c>
      <c r="I23" s="81">
        <f>$D$23*I7</f>
        <v>28775.636485857045</v>
      </c>
      <c r="J23" s="81">
        <f>$D$23*J7</f>
        <v>30214.418310149904</v>
      </c>
    </row>
    <row r="24" spans="2:10">
      <c r="B24" s="64"/>
      <c r="C24" s="79" t="s">
        <v>311</v>
      </c>
      <c r="D24" s="82">
        <f>'COST. VARIABLE'!$J$38</f>
        <v>5.421666666666666</v>
      </c>
      <c r="E24" s="88"/>
      <c r="F24" s="81">
        <f>$D$24*F8</f>
        <v>10466.305986592615</v>
      </c>
      <c r="G24" s="81">
        <f>$D$24*G8</f>
        <v>10989.621285922247</v>
      </c>
      <c r="H24" s="81">
        <f>$D$24*H8</f>
        <v>11539.10235021836</v>
      </c>
      <c r="I24" s="81">
        <f>$D$24*I8</f>
        <v>12116.057467729277</v>
      </c>
      <c r="J24" s="81">
        <f>$D$24*J8</f>
        <v>12721.860341115744</v>
      </c>
    </row>
    <row r="25" spans="2:10">
      <c r="B25" s="64"/>
      <c r="C25" s="79" t="s">
        <v>306</v>
      </c>
      <c r="D25" s="82">
        <f>'COST. VARIABLE'!$O$38</f>
        <v>5.171666666666666</v>
      </c>
      <c r="E25" s="88"/>
      <c r="F25" s="81">
        <f>$D$25*F9</f>
        <v>8735.7298007523132</v>
      </c>
      <c r="G25" s="81">
        <f>$D$25*G9</f>
        <v>9172.5162907899303</v>
      </c>
      <c r="H25" s="81">
        <f>$D$25*H9</f>
        <v>9631.1421053294252</v>
      </c>
      <c r="I25" s="81">
        <f>$D$25*I9</f>
        <v>10112.699210595898</v>
      </c>
      <c r="J25" s="81">
        <f>$D$25*J9</f>
        <v>10618.334171125691</v>
      </c>
    </row>
    <row r="26" spans="2:10">
      <c r="B26" s="65" t="s">
        <v>384</v>
      </c>
      <c r="C26" s="79" t="s">
        <v>23</v>
      </c>
      <c r="D26" s="82">
        <f>'COST. VARIABLE'!$T$38</f>
        <v>7.5049999999999999</v>
      </c>
      <c r="E26" s="88"/>
      <c r="F26" s="81">
        <f>$D$26*F10</f>
        <v>14817.370773783599</v>
      </c>
      <c r="G26" s="81">
        <f>$D$26*G10</f>
        <v>15558.239312472781</v>
      </c>
      <c r="H26" s="81">
        <f>$D$26*H10</f>
        <v>16336.151278096419</v>
      </c>
      <c r="I26" s="81">
        <f>$D$26*I10</f>
        <v>17152.958842001241</v>
      </c>
      <c r="J26" s="81">
        <f>$D$26*J10</f>
        <v>18010.606784101303</v>
      </c>
    </row>
    <row r="27" spans="2:10">
      <c r="B27" s="64"/>
      <c r="C27" s="127" t="s">
        <v>313</v>
      </c>
      <c r="D27" s="132"/>
      <c r="E27" s="88"/>
      <c r="F27" s="90">
        <f>SUM(F23:F26)</f>
        <v>58876.883279286005</v>
      </c>
      <c r="G27" s="90">
        <f>SUM(G23:G26)</f>
        <v>61820.727443250311</v>
      </c>
      <c r="H27" s="90">
        <f>SUM(H23:H26)</f>
        <v>64911.763815412822</v>
      </c>
      <c r="I27" s="90">
        <f>SUM(I23:I26)</f>
        <v>68157.352006183457</v>
      </c>
      <c r="J27" s="90">
        <f>SUM(J23:J26)</f>
        <v>71565.219606492639</v>
      </c>
    </row>
    <row r="28" spans="2:10">
      <c r="B28" s="65" t="s">
        <v>167</v>
      </c>
      <c r="C28" s="79"/>
      <c r="D28" s="82"/>
      <c r="E28" s="88"/>
      <c r="F28" s="81"/>
      <c r="G28" s="81"/>
      <c r="H28" s="81"/>
      <c r="I28" s="81"/>
      <c r="J28" s="81"/>
    </row>
    <row r="29" spans="2:10">
      <c r="B29" s="64"/>
      <c r="C29" s="127" t="s">
        <v>308</v>
      </c>
      <c r="D29" s="82"/>
      <c r="E29" s="88"/>
      <c r="F29" s="81"/>
      <c r="G29" s="81"/>
      <c r="H29" s="81"/>
      <c r="I29" s="81"/>
      <c r="J29" s="81"/>
    </row>
    <row r="30" spans="2:10">
      <c r="B30" s="64" t="s">
        <v>168</v>
      </c>
      <c r="C30" s="79" t="s">
        <v>305</v>
      </c>
      <c r="D30" s="82">
        <f>+'COST. VARIABLE'!$E$48</f>
        <v>3.5766666666666667</v>
      </c>
      <c r="E30" s="88"/>
      <c r="F30" s="81">
        <f>$D$30*F14</f>
        <v>5963.0712949910194</v>
      </c>
      <c r="G30" s="81">
        <f>$D$30*G14</f>
        <v>6261.2248597405714</v>
      </c>
      <c r="H30" s="81">
        <f>$D$30*H14</f>
        <v>6574.2861027276003</v>
      </c>
      <c r="I30" s="81">
        <f>$D$30*I14</f>
        <v>6903.0004078639804</v>
      </c>
      <c r="J30" s="81">
        <f>$D$30*J14</f>
        <v>7248.1504282571796</v>
      </c>
    </row>
    <row r="31" spans="2:10">
      <c r="B31" s="64"/>
      <c r="C31" s="79" t="s">
        <v>311</v>
      </c>
      <c r="D31" s="132">
        <f>+'COST. VARIABLE'!$J$48</f>
        <v>3.5766666666666667</v>
      </c>
      <c r="E31" s="88"/>
      <c r="F31" s="81">
        <f>$D$31*F15</f>
        <v>2510.7668610488504</v>
      </c>
      <c r="G31" s="81">
        <f>$D$31*G15</f>
        <v>2636.3052041012934</v>
      </c>
      <c r="H31" s="81">
        <f>$D$31*H15</f>
        <v>2768.1204643063579</v>
      </c>
      <c r="I31" s="81">
        <f>$D$31*I15</f>
        <v>2906.5264875216758</v>
      </c>
      <c r="J31" s="81">
        <f>$D$31*J15</f>
        <v>3051.8528118977597</v>
      </c>
    </row>
    <row r="32" spans="2:10">
      <c r="B32" s="64" t="s">
        <v>385</v>
      </c>
      <c r="C32" s="79" t="s">
        <v>306</v>
      </c>
      <c r="D32" s="82">
        <f>'COST. VARIABLE'!$O$48</f>
        <v>3.3266666666666667</v>
      </c>
      <c r="E32" s="88"/>
      <c r="F32" s="81">
        <f>$D$32*F17</f>
        <v>2189.3161643698331</v>
      </c>
      <c r="G32" s="81">
        <f>$D$32*G17</f>
        <v>2298.7819725883251</v>
      </c>
      <c r="H32" s="81">
        <f>$D$32*H17</f>
        <v>2413.7210712177412</v>
      </c>
      <c r="I32" s="81">
        <f>$D$32*I17</f>
        <v>2534.4071247786283</v>
      </c>
      <c r="J32" s="81">
        <f>$D$32*J17</f>
        <v>2661.1274810175601</v>
      </c>
    </row>
    <row r="33" spans="2:10">
      <c r="B33" s="64"/>
      <c r="C33" s="79" t="s">
        <v>23</v>
      </c>
      <c r="D33" s="82">
        <f>'COST. VARIABLE'!$T$48</f>
        <v>5.66</v>
      </c>
      <c r="E33" s="82"/>
      <c r="F33" s="81">
        <f>$D$33*F17</f>
        <v>3724.9086644288345</v>
      </c>
      <c r="G33" s="81">
        <f>$D$33*G17</f>
        <v>3911.1540976502765</v>
      </c>
      <c r="H33" s="81">
        <f>$D$33*H17</f>
        <v>4106.71180253279</v>
      </c>
      <c r="I33" s="81">
        <f>$D$33*I17</f>
        <v>4312.0473926594304</v>
      </c>
      <c r="J33" s="81">
        <f>$D$33*J17</f>
        <v>4527.6497622924026</v>
      </c>
    </row>
    <row r="34" spans="2:10">
      <c r="B34" s="64" t="s">
        <v>115</v>
      </c>
      <c r="C34" s="127" t="s">
        <v>314</v>
      </c>
      <c r="D34" s="133"/>
      <c r="E34" s="82"/>
      <c r="F34" s="90">
        <f>SUM(F30:F33)</f>
        <v>14388.062984838538</v>
      </c>
      <c r="G34" s="90">
        <f>SUM(G30:G33)</f>
        <v>15107.466134080467</v>
      </c>
      <c r="H34" s="90">
        <f>SUM(H30:H33)</f>
        <v>15862.83944078449</v>
      </c>
      <c r="I34" s="90">
        <f>SUM(I30:I33)</f>
        <v>16655.981412823716</v>
      </c>
      <c r="J34" s="90">
        <f>SUM(J30:J33)</f>
        <v>17488.780483464903</v>
      </c>
    </row>
    <row r="35" spans="2:10">
      <c r="B35" s="64"/>
      <c r="C35" s="127" t="s">
        <v>347</v>
      </c>
      <c r="D35" s="133"/>
      <c r="E35" s="82"/>
      <c r="F35" s="144">
        <f>+F27+F34</f>
        <v>73264.946264124548</v>
      </c>
      <c r="G35" s="144">
        <f>+G27+G34</f>
        <v>76928.193577330778</v>
      </c>
      <c r="H35" s="144">
        <f>+H27+H34</f>
        <v>80774.603256197312</v>
      </c>
      <c r="I35" s="144">
        <f>+I27+I34</f>
        <v>84813.333419007176</v>
      </c>
      <c r="J35" s="144">
        <f>+J27+J34</f>
        <v>89054.000089957539</v>
      </c>
    </row>
    <row r="36" spans="2:10">
      <c r="B36" s="64" t="s">
        <v>114</v>
      </c>
      <c r="C36" s="79" t="s">
        <v>319</v>
      </c>
      <c r="D36" s="79"/>
      <c r="E36" s="80"/>
      <c r="F36" s="83">
        <f>+'COSTO DE VENTA'!B5</f>
        <v>130514.74776372424</v>
      </c>
      <c r="G36" s="83">
        <f>+((F36+(F36*0.05)))</f>
        <v>137040.48515191046</v>
      </c>
      <c r="H36" s="83">
        <f>+((G36+(G36*0.05)))</f>
        <v>143892.50940950599</v>
      </c>
      <c r="I36" s="83">
        <f>+((H36+(H36*0.05)))</f>
        <v>151087.13487998128</v>
      </c>
      <c r="J36" s="83">
        <f>+((I36+(I36*0.05)))</f>
        <v>158641.49162398034</v>
      </c>
    </row>
    <row r="37" spans="2:10">
      <c r="B37" s="64"/>
      <c r="C37" s="84" t="s">
        <v>169</v>
      </c>
      <c r="D37" s="84"/>
      <c r="E37" s="85"/>
      <c r="F37" s="86">
        <f>+F20-F35</f>
        <v>126496.13840624916</v>
      </c>
      <c r="G37" s="86">
        <f>+G20-G35</f>
        <v>132820.94532656163</v>
      </c>
      <c r="H37" s="86">
        <f>+H20-H35</f>
        <v>139461.9925928897</v>
      </c>
      <c r="I37" s="86">
        <f>+I20-I35</f>
        <v>146435.09222253418</v>
      </c>
      <c r="J37" s="86">
        <f>+J20-J35</f>
        <v>153756.84683366091</v>
      </c>
    </row>
    <row r="38" spans="2:10">
      <c r="B38" s="64" t="s">
        <v>170</v>
      </c>
      <c r="C38" s="87" t="s">
        <v>171</v>
      </c>
      <c r="D38" s="87"/>
      <c r="E38" s="85"/>
      <c r="F38" s="86">
        <f>SUM(F39:F44)</f>
        <v>105725</v>
      </c>
      <c r="G38" s="86">
        <f>SUM(G39:G44)</f>
        <v>105725</v>
      </c>
      <c r="H38" s="86">
        <f>SUM(H39:H44)</f>
        <v>105725</v>
      </c>
      <c r="I38" s="86">
        <f>SUM(I39:I44)</f>
        <v>105725</v>
      </c>
      <c r="J38" s="86">
        <f>SUM(J39:J44)</f>
        <v>105725</v>
      </c>
    </row>
    <row r="39" spans="2:10">
      <c r="B39" s="165"/>
      <c r="C39" s="79" t="s">
        <v>173</v>
      </c>
      <c r="D39" s="79"/>
      <c r="E39" s="80"/>
      <c r="F39" s="83">
        <f>SUELDOS!C27</f>
        <v>50685</v>
      </c>
      <c r="G39" s="83">
        <f t="shared" ref="G39:J44" si="2">+F39</f>
        <v>50685</v>
      </c>
      <c r="H39" s="83">
        <f t="shared" si="2"/>
        <v>50685</v>
      </c>
      <c r="I39" s="83">
        <f t="shared" si="2"/>
        <v>50685</v>
      </c>
      <c r="J39" s="83">
        <f t="shared" si="2"/>
        <v>50685</v>
      </c>
    </row>
    <row r="40" spans="2:10">
      <c r="B40" s="64" t="s">
        <v>172</v>
      </c>
      <c r="C40" s="79" t="s">
        <v>323</v>
      </c>
      <c r="D40" s="79"/>
      <c r="E40" s="80"/>
      <c r="F40" s="83">
        <f>+COSTOS!$D$34</f>
        <v>8400</v>
      </c>
      <c r="G40" s="83">
        <f>+COSTOS!$D$34</f>
        <v>8400</v>
      </c>
      <c r="H40" s="83">
        <f>+COSTOS!$D$34</f>
        <v>8400</v>
      </c>
      <c r="I40" s="83">
        <f>+COSTOS!$D$34</f>
        <v>8400</v>
      </c>
      <c r="J40" s="83">
        <f>+COSTOS!$D$34</f>
        <v>8400</v>
      </c>
    </row>
    <row r="41" spans="2:10">
      <c r="B41" s="64"/>
      <c r="C41" s="79" t="s">
        <v>175</v>
      </c>
      <c r="D41" s="79"/>
      <c r="E41" s="80"/>
      <c r="F41" s="83">
        <f>+COSTOS!D35+COSTOS!D36+COSTOS!D37</f>
        <v>10200</v>
      </c>
      <c r="G41" s="83">
        <f t="shared" si="2"/>
        <v>10200</v>
      </c>
      <c r="H41" s="83">
        <f t="shared" si="2"/>
        <v>10200</v>
      </c>
      <c r="I41" s="83">
        <f t="shared" si="2"/>
        <v>10200</v>
      </c>
      <c r="J41" s="83">
        <f t="shared" si="2"/>
        <v>10200</v>
      </c>
    </row>
    <row r="42" spans="2:10">
      <c r="B42" s="64" t="s">
        <v>174</v>
      </c>
      <c r="C42" s="79" t="s">
        <v>176</v>
      </c>
      <c r="D42" s="79"/>
      <c r="E42" s="80"/>
      <c r="F42" s="83">
        <f>+COSTOS!D38</f>
        <v>1200</v>
      </c>
      <c r="G42" s="83">
        <f t="shared" si="2"/>
        <v>1200</v>
      </c>
      <c r="H42" s="83">
        <f t="shared" si="2"/>
        <v>1200</v>
      </c>
      <c r="I42" s="83">
        <f t="shared" si="2"/>
        <v>1200</v>
      </c>
      <c r="J42" s="83">
        <f t="shared" si="2"/>
        <v>1200</v>
      </c>
    </row>
    <row r="43" spans="2:10">
      <c r="B43" s="64"/>
      <c r="C43" s="79" t="s">
        <v>177</v>
      </c>
      <c r="D43" s="79"/>
      <c r="E43" s="80"/>
      <c r="F43" s="83">
        <f>+COSTOS!D39</f>
        <v>30600</v>
      </c>
      <c r="G43" s="83">
        <f t="shared" si="2"/>
        <v>30600</v>
      </c>
      <c r="H43" s="83">
        <f t="shared" si="2"/>
        <v>30600</v>
      </c>
      <c r="I43" s="83">
        <f t="shared" si="2"/>
        <v>30600</v>
      </c>
      <c r="J43" s="83">
        <f t="shared" si="2"/>
        <v>30600</v>
      </c>
    </row>
    <row r="44" spans="2:10">
      <c r="B44" s="64" t="s">
        <v>168</v>
      </c>
      <c r="C44" s="163" t="s">
        <v>346</v>
      </c>
      <c r="D44" s="79"/>
      <c r="E44" s="80"/>
      <c r="F44" s="83">
        <f>+COSTOS!D40</f>
        <v>4640</v>
      </c>
      <c r="G44" s="83">
        <f t="shared" si="2"/>
        <v>4640</v>
      </c>
      <c r="H44" s="83">
        <f t="shared" si="2"/>
        <v>4640</v>
      </c>
      <c r="I44" s="83">
        <f t="shared" si="2"/>
        <v>4640</v>
      </c>
      <c r="J44" s="83">
        <f t="shared" si="2"/>
        <v>4640</v>
      </c>
    </row>
    <row r="45" spans="2:10">
      <c r="B45" s="64"/>
      <c r="C45" s="87" t="s">
        <v>178</v>
      </c>
      <c r="D45" s="87"/>
      <c r="E45" s="85"/>
      <c r="F45" s="86">
        <f>F46+F47+F48+F49</f>
        <v>4216</v>
      </c>
      <c r="G45" s="86">
        <f>+G46+G47+G48+G49</f>
        <v>4216</v>
      </c>
      <c r="H45" s="86">
        <f>+H46+H47+H48+H49</f>
        <v>4216</v>
      </c>
      <c r="I45" s="86">
        <f>+I46+I47+I49+I48</f>
        <v>4216</v>
      </c>
      <c r="J45" s="86">
        <f>+J46+J47+J49+J48</f>
        <v>4216</v>
      </c>
    </row>
    <row r="46" spans="2:10">
      <c r="B46" s="64"/>
      <c r="C46" s="79" t="s">
        <v>179</v>
      </c>
      <c r="D46" s="79"/>
      <c r="E46" s="80"/>
      <c r="F46" s="83">
        <f>+'VAL. DESECHO'!F9</f>
        <v>1624</v>
      </c>
      <c r="G46" s="83">
        <f>+F46</f>
        <v>1624</v>
      </c>
      <c r="H46" s="83">
        <f>+G46</f>
        <v>1624</v>
      </c>
      <c r="I46" s="83">
        <f>+H46</f>
        <v>1624</v>
      </c>
      <c r="J46" s="83">
        <f>+I46</f>
        <v>1624</v>
      </c>
    </row>
    <row r="47" spans="2:10">
      <c r="B47" s="64"/>
      <c r="C47" s="79" t="s">
        <v>180</v>
      </c>
      <c r="D47" s="79"/>
      <c r="E47" s="80"/>
      <c r="F47" s="83">
        <f>+'VAL. DESECHO'!F10</f>
        <v>500</v>
      </c>
      <c r="G47" s="83">
        <f t="shared" ref="G47:J49" si="3">+F47</f>
        <v>500</v>
      </c>
      <c r="H47" s="83">
        <f t="shared" si="3"/>
        <v>500</v>
      </c>
      <c r="I47" s="83">
        <f t="shared" si="3"/>
        <v>500</v>
      </c>
      <c r="J47" s="83">
        <f t="shared" si="3"/>
        <v>500</v>
      </c>
    </row>
    <row r="48" spans="2:10">
      <c r="B48" s="64"/>
      <c r="C48" s="79" t="s">
        <v>181</v>
      </c>
      <c r="D48" s="79"/>
      <c r="E48" s="80"/>
      <c r="F48" s="83">
        <f>+'VAL. DESECHO'!F11</f>
        <v>448</v>
      </c>
      <c r="G48" s="83">
        <f t="shared" si="3"/>
        <v>448</v>
      </c>
      <c r="H48" s="83">
        <f t="shared" si="3"/>
        <v>448</v>
      </c>
      <c r="I48" s="83">
        <f t="shared" si="3"/>
        <v>448</v>
      </c>
      <c r="J48" s="83">
        <f t="shared" si="3"/>
        <v>448</v>
      </c>
    </row>
    <row r="49" spans="2:10">
      <c r="B49" s="64"/>
      <c r="C49" s="79" t="s">
        <v>182</v>
      </c>
      <c r="D49" s="79"/>
      <c r="E49" s="80"/>
      <c r="F49" s="83">
        <f>+'VAL. DESECHO'!F12</f>
        <v>1644</v>
      </c>
      <c r="G49" s="83">
        <f t="shared" si="3"/>
        <v>1644</v>
      </c>
      <c r="H49" s="83">
        <f t="shared" si="3"/>
        <v>1644</v>
      </c>
      <c r="I49" s="83">
        <f t="shared" si="3"/>
        <v>1644</v>
      </c>
      <c r="J49" s="83">
        <f t="shared" si="3"/>
        <v>1644</v>
      </c>
    </row>
    <row r="50" spans="2:10">
      <c r="B50" s="64"/>
      <c r="C50" s="84" t="s">
        <v>183</v>
      </c>
      <c r="D50" s="84"/>
      <c r="E50" s="85"/>
      <c r="F50" s="86">
        <f>+F37-F38-F45</f>
        <v>16555.138406249156</v>
      </c>
      <c r="G50" s="86">
        <f>+G37-G38-G45</f>
        <v>22879.945326561632</v>
      </c>
      <c r="H50" s="86">
        <f>+H37-H38-H45</f>
        <v>29520.992592889699</v>
      </c>
      <c r="I50" s="86">
        <f>+I37-I38-I45</f>
        <v>36494.092222534178</v>
      </c>
      <c r="J50" s="86">
        <f>+J37-J38-J45</f>
        <v>43815.846833660908</v>
      </c>
    </row>
    <row r="51" spans="2:10">
      <c r="B51" s="64"/>
      <c r="C51" s="87" t="s">
        <v>184</v>
      </c>
      <c r="D51" s="87"/>
      <c r="E51" s="85"/>
      <c r="F51" s="86">
        <f>+F52</f>
        <v>3225.7827477699834</v>
      </c>
      <c r="G51" s="86">
        <f>+G52</f>
        <v>2710.1816215364402</v>
      </c>
      <c r="H51" s="86">
        <f>+H52</f>
        <v>2136.6784888268703</v>
      </c>
      <c r="I51" s="86">
        <f>+I52</f>
        <v>1498.7709543140161</v>
      </c>
      <c r="J51" s="86">
        <f>+J52</f>
        <v>789.22640367536792</v>
      </c>
    </row>
    <row r="52" spans="2:10">
      <c r="B52" s="64"/>
      <c r="C52" s="79" t="s">
        <v>185</v>
      </c>
      <c r="D52" s="79"/>
      <c r="E52" s="80"/>
      <c r="F52" s="83">
        <f>+AMORTIZACION!D21</f>
        <v>3225.7827477699834</v>
      </c>
      <c r="G52" s="83">
        <f>+AMORTIZACION!D22</f>
        <v>2710.1816215364402</v>
      </c>
      <c r="H52" s="83">
        <f>+AMORTIZACION!D23</f>
        <v>2136.6784888268703</v>
      </c>
      <c r="I52" s="83">
        <f>+AMORTIZACION!D24</f>
        <v>1498.7709543140161</v>
      </c>
      <c r="J52" s="83">
        <f>+AMORTIZACION!D25</f>
        <v>789.22640367536792</v>
      </c>
    </row>
    <row r="53" spans="2:10">
      <c r="B53" s="64"/>
      <c r="C53" s="84" t="s">
        <v>186</v>
      </c>
      <c r="D53" s="84"/>
      <c r="E53" s="85"/>
      <c r="F53" s="86">
        <f>+F50-F51</f>
        <v>13329.355658479173</v>
      </c>
      <c r="G53" s="86">
        <f>+G50-G51</f>
        <v>20169.763705025191</v>
      </c>
      <c r="H53" s="86">
        <f>+H50-H51</f>
        <v>27384.314104062829</v>
      </c>
      <c r="I53" s="86">
        <f>+I50-I51</f>
        <v>34995.321268220163</v>
      </c>
      <c r="J53" s="86">
        <f>+J50-J51</f>
        <v>43026.620429985538</v>
      </c>
    </row>
    <row r="54" spans="2:10">
      <c r="B54" s="64"/>
      <c r="C54" s="134" t="s">
        <v>325</v>
      </c>
      <c r="D54" s="134"/>
      <c r="E54" s="135"/>
      <c r="F54" s="153">
        <f>F53*0.15</f>
        <v>1999.4033487718759</v>
      </c>
      <c r="G54" s="153">
        <f>G53*0.15</f>
        <v>3025.4645557537783</v>
      </c>
      <c r="H54" s="153">
        <f>H53*0.15</f>
        <v>4107.647115609424</v>
      </c>
      <c r="I54" s="153">
        <f>I53*0.15</f>
        <v>5249.2981902330239</v>
      </c>
      <c r="J54" s="153">
        <f>J53*0.15</f>
        <v>6453.9930644978303</v>
      </c>
    </row>
    <row r="55" spans="2:10" ht="15.75" thickBot="1">
      <c r="B55" s="166"/>
      <c r="C55" s="79" t="s">
        <v>187</v>
      </c>
      <c r="D55" s="79"/>
      <c r="E55" s="80"/>
      <c r="F55" s="83">
        <f>(F53-F54)*0.25</f>
        <v>2832.4880774268245</v>
      </c>
      <c r="G55" s="83">
        <f>(G53-G54)*0.25</f>
        <v>4286.0747873178534</v>
      </c>
      <c r="H55" s="83">
        <f>(H53-H54)*0.25</f>
        <v>5819.1667471133514</v>
      </c>
      <c r="I55" s="83">
        <f>(I53-I54)*0.25</f>
        <v>7436.5057694967845</v>
      </c>
      <c r="J55" s="83">
        <f>(J53-J54)*0.25</f>
        <v>9143.1568413719269</v>
      </c>
    </row>
    <row r="56" spans="2:10">
      <c r="B56" s="367" t="s">
        <v>238</v>
      </c>
      <c r="C56" s="84" t="s">
        <v>188</v>
      </c>
      <c r="D56" s="84"/>
      <c r="E56" s="85"/>
      <c r="F56" s="86">
        <f>+F53-F55-F54</f>
        <v>8497.4642322804739</v>
      </c>
      <c r="G56" s="86">
        <f>+G53-G55-G54</f>
        <v>12858.224361953558</v>
      </c>
      <c r="H56" s="86">
        <f>+H53-H55-H54</f>
        <v>17457.500241340054</v>
      </c>
      <c r="I56" s="86">
        <f>+I53-I55-I54</f>
        <v>22309.517308490354</v>
      </c>
      <c r="J56" s="86">
        <f>+J53-J55-J54</f>
        <v>27429.470524115779</v>
      </c>
    </row>
    <row r="57" spans="2:10">
      <c r="B57" s="368"/>
      <c r="C57" s="79" t="s">
        <v>189</v>
      </c>
      <c r="D57" s="88"/>
      <c r="E57" s="80"/>
      <c r="F57" s="83">
        <f>+F45</f>
        <v>4216</v>
      </c>
      <c r="G57" s="83">
        <f>+G45</f>
        <v>4216</v>
      </c>
      <c r="H57" s="83">
        <f>+H45</f>
        <v>4216</v>
      </c>
      <c r="I57" s="83">
        <f>+I45</f>
        <v>4216</v>
      </c>
      <c r="J57" s="83">
        <f>+J45</f>
        <v>4216</v>
      </c>
    </row>
    <row r="58" spans="2:10">
      <c r="B58" s="368"/>
      <c r="C58" s="79" t="s">
        <v>190</v>
      </c>
      <c r="D58" s="88"/>
      <c r="E58" s="80"/>
      <c r="F58" s="83">
        <f>+AMORTIZACION!C21</f>
        <v>4591.2834036824843</v>
      </c>
      <c r="G58" s="83">
        <f>+AMORTIZACION!C22</f>
        <v>5106.8845299160275</v>
      </c>
      <c r="H58" s="83">
        <f>+AMORTIZACION!C23</f>
        <v>5680.3876626255969</v>
      </c>
      <c r="I58" s="83">
        <f>+AMORTIZACION!C24</f>
        <v>6318.2951971384509</v>
      </c>
      <c r="J58" s="83">
        <f>+AMORTIZACION!C25</f>
        <v>7027.8397477770995</v>
      </c>
    </row>
    <row r="59" spans="2:10">
      <c r="B59" s="368"/>
      <c r="C59" s="79" t="s">
        <v>191</v>
      </c>
      <c r="D59" s="88"/>
      <c r="E59" s="83">
        <f>-INVERSION!B14</f>
        <v>-45546</v>
      </c>
      <c r="F59" s="83"/>
      <c r="G59" s="83"/>
      <c r="H59" s="83"/>
      <c r="I59" s="83"/>
      <c r="J59" s="83"/>
    </row>
    <row r="60" spans="2:10">
      <c r="B60" s="368"/>
      <c r="C60" s="79" t="s">
        <v>192</v>
      </c>
      <c r="D60" s="88"/>
      <c r="E60" s="83">
        <f>-INVERSION!B17</f>
        <v>-18286.64564697702</v>
      </c>
      <c r="F60" s="83"/>
      <c r="G60" s="83"/>
      <c r="H60" s="83"/>
      <c r="I60" s="83"/>
      <c r="J60" s="83">
        <f>-E60</f>
        <v>18286.64564697702</v>
      </c>
    </row>
    <row r="61" spans="2:10">
      <c r="B61" s="368"/>
      <c r="C61" s="79" t="s">
        <v>193</v>
      </c>
      <c r="D61" s="88"/>
      <c r="E61" s="83">
        <f>+INVERSION!C32</f>
        <v>28724.690541139658</v>
      </c>
      <c r="F61" s="83"/>
      <c r="G61" s="83"/>
      <c r="H61" s="83"/>
      <c r="I61" s="83"/>
      <c r="J61" s="83"/>
    </row>
    <row r="62" spans="2:10">
      <c r="B62" s="368"/>
      <c r="C62" s="79" t="s">
        <v>194</v>
      </c>
      <c r="D62" s="88"/>
      <c r="E62" s="80"/>
      <c r="F62" s="83"/>
      <c r="G62" s="83"/>
      <c r="H62" s="83"/>
      <c r="I62" s="83"/>
      <c r="J62" s="83">
        <f>+'VAL. DESECHO'!I13</f>
        <v>2344</v>
      </c>
    </row>
    <row r="63" spans="2:10" ht="15.75" thickBot="1">
      <c r="B63" s="369"/>
      <c r="C63" s="84" t="s">
        <v>195</v>
      </c>
      <c r="D63" s="89"/>
      <c r="E63" s="90">
        <f>+SUM(E59:E61)</f>
        <v>-35107.955105837362</v>
      </c>
      <c r="F63" s="90">
        <f>+F56+F57-F58</f>
        <v>8122.1808285979896</v>
      </c>
      <c r="G63" s="90">
        <f>+G56+G57-G58</f>
        <v>11967.339832037531</v>
      </c>
      <c r="H63" s="90">
        <f>+H56+H57-H58</f>
        <v>15993.112578714457</v>
      </c>
      <c r="I63" s="90">
        <f>+I56+I57-I58</f>
        <v>20207.222111351904</v>
      </c>
      <c r="J63" s="90">
        <f>+J56+J57+J60+J62-J58</f>
        <v>45248.2764233157</v>
      </c>
    </row>
    <row r="64" spans="2:10">
      <c r="B64" s="295"/>
      <c r="C64" s="296" t="s">
        <v>105</v>
      </c>
      <c r="D64" s="296"/>
      <c r="E64" s="297">
        <f>+CAPM!B18</f>
        <v>0.18580725000000003</v>
      </c>
      <c r="F64" s="298"/>
      <c r="G64" s="298"/>
      <c r="H64" s="298"/>
      <c r="I64" s="295"/>
      <c r="J64" s="295"/>
    </row>
    <row r="65" spans="2:10">
      <c r="B65" s="295"/>
      <c r="C65" s="299" t="s">
        <v>196</v>
      </c>
      <c r="D65" s="299"/>
      <c r="E65" s="323">
        <f>NPV(E64,F63:J63)+(E63)</f>
        <v>19362.751345199969</v>
      </c>
      <c r="F65" s="300"/>
      <c r="G65" s="300"/>
      <c r="H65" s="300"/>
      <c r="I65" s="295"/>
      <c r="J65" s="295"/>
    </row>
    <row r="66" spans="2:10">
      <c r="B66" s="295"/>
      <c r="C66" s="299" t="s">
        <v>197</v>
      </c>
      <c r="D66" s="299"/>
      <c r="E66" s="324">
        <f>IRR(E63:J63)</f>
        <v>0.35178991255320585</v>
      </c>
      <c r="F66" s="295"/>
      <c r="G66" s="295"/>
      <c r="H66" s="295"/>
      <c r="I66" s="295"/>
      <c r="J66" s="295"/>
    </row>
    <row r="73" spans="2:10">
      <c r="E73" s="76"/>
    </row>
    <row r="74" spans="2:10">
      <c r="E74" s="70"/>
    </row>
    <row r="75" spans="2:10">
      <c r="E75" s="70"/>
    </row>
  </sheetData>
  <mergeCells count="4">
    <mergeCell ref="B2:J2"/>
    <mergeCell ref="B3:J3"/>
    <mergeCell ref="E4:J4"/>
    <mergeCell ref="B56:B63"/>
  </mergeCells>
  <phoneticPr fontId="15" type="noConversion"/>
  <printOptions horizontalCentered="1" verticalCentered="1"/>
  <pageMargins left="0.74803149606299213" right="0.74803149606299213" top="0.98425196850393704" bottom="0.98425196850393704" header="0" footer="0"/>
  <pageSetup paperSize="9" scale="72" orientation="portrait" verticalDpi="0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2:J75"/>
  <sheetViews>
    <sheetView showGridLines="0" zoomScaleNormal="100" workbookViewId="0">
      <selection activeCell="D17" sqref="D17"/>
    </sheetView>
  </sheetViews>
  <sheetFormatPr baseColWidth="10" defaultRowHeight="15"/>
  <cols>
    <col min="1" max="1" width="5.140625" customWidth="1"/>
    <col min="2" max="2" width="14.85546875" bestFit="1" customWidth="1"/>
    <col min="3" max="3" width="24.42578125" customWidth="1"/>
    <col min="4" max="4" width="6.140625" customWidth="1"/>
    <col min="5" max="5" width="13" customWidth="1"/>
    <col min="6" max="6" width="11.5703125" customWidth="1"/>
    <col min="7" max="7" width="12.140625" customWidth="1"/>
    <col min="8" max="8" width="10.42578125" customWidth="1"/>
    <col min="9" max="9" width="9.85546875" customWidth="1"/>
    <col min="10" max="10" width="11.28515625" customWidth="1"/>
  </cols>
  <sheetData>
    <row r="2" spans="2:10" ht="15.75">
      <c r="B2" s="364" t="s">
        <v>165</v>
      </c>
      <c r="C2" s="364"/>
      <c r="D2" s="364"/>
      <c r="E2" s="364"/>
      <c r="F2" s="364"/>
      <c r="G2" s="364"/>
      <c r="H2" s="364"/>
      <c r="I2" s="364"/>
      <c r="J2" s="364"/>
    </row>
    <row r="3" spans="2:10">
      <c r="B3" s="365" t="s">
        <v>382</v>
      </c>
      <c r="C3" s="365"/>
      <c r="D3" s="365"/>
      <c r="E3" s="365"/>
      <c r="F3" s="365"/>
      <c r="G3" s="365"/>
      <c r="H3" s="365"/>
      <c r="I3" s="365"/>
      <c r="J3" s="365"/>
    </row>
    <row r="4" spans="2:10">
      <c r="B4" s="60"/>
      <c r="C4" s="60"/>
      <c r="D4" s="60"/>
      <c r="E4" s="366" t="s">
        <v>166</v>
      </c>
      <c r="F4" s="366"/>
      <c r="G4" s="366"/>
      <c r="H4" s="366"/>
      <c r="I4" s="366"/>
      <c r="J4" s="366"/>
    </row>
    <row r="5" spans="2:10" ht="15.75" thickBot="1">
      <c r="B5" s="110" t="s">
        <v>303</v>
      </c>
      <c r="C5" s="187">
        <v>7.4999999999999997E-2</v>
      </c>
      <c r="D5" s="124"/>
      <c r="E5" s="61">
        <v>2010</v>
      </c>
      <c r="F5" s="62">
        <v>2011</v>
      </c>
      <c r="G5" s="62">
        <v>2012</v>
      </c>
      <c r="H5" s="62">
        <v>2013</v>
      </c>
      <c r="I5" s="62">
        <v>2014</v>
      </c>
      <c r="J5" s="62">
        <v>2015</v>
      </c>
    </row>
    <row r="6" spans="2:10">
      <c r="B6" s="63"/>
      <c r="C6" s="127" t="s">
        <v>304</v>
      </c>
      <c r="D6" s="328" t="s">
        <v>199</v>
      </c>
      <c r="E6" s="125"/>
      <c r="F6" s="126"/>
      <c r="G6" s="126"/>
      <c r="H6" s="126"/>
      <c r="I6" s="126"/>
      <c r="J6" s="126"/>
    </row>
    <row r="7" spans="2:10">
      <c r="B7" s="64" t="s">
        <v>167</v>
      </c>
      <c r="C7" s="79" t="s">
        <v>305</v>
      </c>
      <c r="D7" s="188">
        <v>13</v>
      </c>
      <c r="E7" s="129"/>
      <c r="F7" s="130">
        <f>'INGRESOS Y EGRESOS'!N8</f>
        <v>4584.8404644618768</v>
      </c>
      <c r="G7" s="130">
        <f t="shared" ref="G7:J10" si="0">F7*(1+$C$5)</f>
        <v>4928.7034992965173</v>
      </c>
      <c r="H7" s="130">
        <f t="shared" si="0"/>
        <v>5298.3562617437556</v>
      </c>
      <c r="I7" s="130">
        <f t="shared" si="0"/>
        <v>5695.7329813745373</v>
      </c>
      <c r="J7" s="130">
        <f t="shared" si="0"/>
        <v>6122.9129549776271</v>
      </c>
    </row>
    <row r="8" spans="2:10">
      <c r="B8" s="64"/>
      <c r="C8" s="79" t="s">
        <v>311</v>
      </c>
      <c r="D8" s="189">
        <v>13</v>
      </c>
      <c r="E8" s="80"/>
      <c r="F8" s="130">
        <f>'INGRESOS Y EGRESOS'!N17</f>
        <v>1930.4591429313157</v>
      </c>
      <c r="G8" s="130">
        <f t="shared" si="0"/>
        <v>2075.2435786511642</v>
      </c>
      <c r="H8" s="130">
        <f t="shared" si="0"/>
        <v>2230.8868470500015</v>
      </c>
      <c r="I8" s="130">
        <f t="shared" si="0"/>
        <v>2398.2033605787515</v>
      </c>
      <c r="J8" s="130">
        <f t="shared" si="0"/>
        <v>2578.0686126221576</v>
      </c>
    </row>
    <row r="9" spans="2:10">
      <c r="B9" s="64" t="s">
        <v>168</v>
      </c>
      <c r="C9" s="79" t="s">
        <v>306</v>
      </c>
      <c r="D9" s="189">
        <v>10</v>
      </c>
      <c r="E9" s="80"/>
      <c r="F9" s="130">
        <f>'INGRESOS Y EGRESOS'!N26</f>
        <v>1689.1517500649013</v>
      </c>
      <c r="G9" s="130">
        <f t="shared" si="0"/>
        <v>1815.8381313197688</v>
      </c>
      <c r="H9" s="130">
        <f t="shared" si="0"/>
        <v>1952.0259911687513</v>
      </c>
      <c r="I9" s="130">
        <f t="shared" si="0"/>
        <v>2098.4279405064076</v>
      </c>
      <c r="J9" s="130">
        <f t="shared" si="0"/>
        <v>2255.8100360443882</v>
      </c>
    </row>
    <row r="10" spans="2:10">
      <c r="B10" s="64"/>
      <c r="C10" s="79" t="s">
        <v>23</v>
      </c>
      <c r="D10" s="189">
        <v>15</v>
      </c>
      <c r="E10" s="80"/>
      <c r="F10" s="130">
        <f>+'INGRESOS Y EGRESOS'!N35</f>
        <v>1974.3332143615723</v>
      </c>
      <c r="G10" s="130">
        <f t="shared" si="0"/>
        <v>2122.4082054386904</v>
      </c>
      <c r="H10" s="130">
        <f t="shared" si="0"/>
        <v>2281.5888208465922</v>
      </c>
      <c r="I10" s="130">
        <f t="shared" si="0"/>
        <v>2452.7079824100865</v>
      </c>
      <c r="J10" s="130">
        <f t="shared" si="0"/>
        <v>2636.6610810908428</v>
      </c>
    </row>
    <row r="11" spans="2:10">
      <c r="B11" s="64" t="s">
        <v>114</v>
      </c>
      <c r="C11" s="127" t="s">
        <v>307</v>
      </c>
      <c r="D11" s="329"/>
      <c r="E11" s="80"/>
      <c r="F11" s="90">
        <f>(F7*$D$7)+(F8*$D$8)+(F9*$D$9)+(F10*$D$10)</f>
        <v>131205.41061218412</v>
      </c>
      <c r="G11" s="90">
        <f>(G7*$D$7)+(G8*$D$8)+(G9*$D$9)+(G10*$D$10)</f>
        <v>141045.81640809789</v>
      </c>
      <c r="H11" s="90">
        <f>(H7*$D$7)+(H8*$D$8)+(H9*$D$9)+(H10*$D$10)</f>
        <v>151624.25263870525</v>
      </c>
      <c r="I11" s="90">
        <f>(I7*$D$7)+(I8*$D$8)+(I9*$D$9)+(I10*$D$10)</f>
        <v>162996.07158660813</v>
      </c>
      <c r="J11" s="90">
        <f>(J7*$D$7)+(J8*$D$8)+(J9*$D$9)+(J10*$D$10)</f>
        <v>175220.77695560374</v>
      </c>
    </row>
    <row r="12" spans="2:10">
      <c r="B12" s="64"/>
      <c r="C12" s="79"/>
      <c r="D12" s="330"/>
      <c r="E12" s="80"/>
      <c r="F12" s="81"/>
      <c r="G12" s="81"/>
      <c r="H12" s="81"/>
      <c r="I12" s="81"/>
      <c r="J12" s="81"/>
    </row>
    <row r="13" spans="2:10">
      <c r="B13" s="64" t="s">
        <v>170</v>
      </c>
      <c r="C13" s="127" t="s">
        <v>308</v>
      </c>
      <c r="D13" s="329"/>
      <c r="E13" s="80"/>
      <c r="F13" s="81"/>
      <c r="G13" s="81"/>
      <c r="H13" s="81"/>
      <c r="I13" s="81"/>
      <c r="J13" s="81"/>
    </row>
    <row r="14" spans="2:10">
      <c r="B14" s="64"/>
      <c r="C14" s="79" t="s">
        <v>305</v>
      </c>
      <c r="D14" s="188">
        <v>13</v>
      </c>
      <c r="E14" s="80"/>
      <c r="F14" s="130">
        <f>'INGRESOS Y EGRESOS'!N45</f>
        <v>1667.2147143497725</v>
      </c>
      <c r="G14" s="130">
        <f t="shared" ref="G14:J17" si="1">F14*(1+$C$5)</f>
        <v>1792.2558179260054</v>
      </c>
      <c r="H14" s="130">
        <f t="shared" si="1"/>
        <v>1926.6750042704557</v>
      </c>
      <c r="I14" s="130">
        <f t="shared" si="1"/>
        <v>2071.1756295907398</v>
      </c>
      <c r="J14" s="130">
        <f t="shared" si="1"/>
        <v>2226.5138018100452</v>
      </c>
    </row>
    <row r="15" spans="2:10">
      <c r="B15" s="64" t="s">
        <v>172</v>
      </c>
      <c r="C15" s="79" t="s">
        <v>311</v>
      </c>
      <c r="D15" s="189">
        <v>13</v>
      </c>
      <c r="E15" s="80"/>
      <c r="F15" s="130">
        <f>'INGRESOS Y EGRESOS'!N54</f>
        <v>701.98514288411479</v>
      </c>
      <c r="G15" s="130">
        <f t="shared" si="1"/>
        <v>754.63402860042333</v>
      </c>
      <c r="H15" s="130">
        <f t="shared" si="1"/>
        <v>811.23158074545506</v>
      </c>
      <c r="I15" s="130">
        <f t="shared" si="1"/>
        <v>872.07394930136411</v>
      </c>
      <c r="J15" s="130">
        <f t="shared" si="1"/>
        <v>937.47949549896634</v>
      </c>
    </row>
    <row r="16" spans="2:10">
      <c r="B16" s="64"/>
      <c r="C16" s="79" t="s">
        <v>306</v>
      </c>
      <c r="D16" s="189">
        <v>10</v>
      </c>
      <c r="E16" s="80"/>
      <c r="F16" s="130">
        <f>'INGRESOS Y EGRESOS'!N63</f>
        <v>563.05058335496688</v>
      </c>
      <c r="G16" s="130">
        <f t="shared" si="1"/>
        <v>605.27937710658932</v>
      </c>
      <c r="H16" s="130">
        <f t="shared" si="1"/>
        <v>650.67533038958345</v>
      </c>
      <c r="I16" s="130">
        <f t="shared" si="1"/>
        <v>699.47598016880215</v>
      </c>
      <c r="J16" s="130">
        <f t="shared" si="1"/>
        <v>751.93667868146224</v>
      </c>
    </row>
    <row r="17" spans="2:10">
      <c r="B17" s="64" t="s">
        <v>174</v>
      </c>
      <c r="C17" s="79" t="s">
        <v>23</v>
      </c>
      <c r="D17" s="80">
        <v>15</v>
      </c>
      <c r="E17" s="80"/>
      <c r="F17" s="130">
        <f>'INGRESOS Y EGRESOS'!N72</f>
        <v>658.11107145385768</v>
      </c>
      <c r="G17" s="130">
        <f t="shared" si="1"/>
        <v>707.46940181289699</v>
      </c>
      <c r="H17" s="130">
        <f t="shared" si="1"/>
        <v>760.52960694886428</v>
      </c>
      <c r="I17" s="130">
        <f t="shared" si="1"/>
        <v>817.56932747002907</v>
      </c>
      <c r="J17" s="130">
        <f t="shared" si="1"/>
        <v>878.88702703028116</v>
      </c>
    </row>
    <row r="18" spans="2:10">
      <c r="B18" s="64"/>
      <c r="C18" s="127" t="s">
        <v>320</v>
      </c>
      <c r="D18" s="128"/>
      <c r="E18" s="80"/>
      <c r="F18" s="90">
        <f>($D$14*F14)+($D$15*F15)+($D$16*F16)+($D$17*F17)</f>
        <v>46301.770049398066</v>
      </c>
      <c r="G18" s="90">
        <f>($D$14*G14)+($D$15*G15)+($D$16*G16)+($D$17*G17)</f>
        <v>49774.402803102923</v>
      </c>
      <c r="H18" s="90">
        <f>($D$14*H14)+($D$15*H15)+($D$16*H16)+($D$17*H17)</f>
        <v>53507.483013335637</v>
      </c>
      <c r="I18" s="90">
        <f>($D$14*I14)+($D$15*I15)+($D$16*I16)+($D$17*I17)</f>
        <v>57520.54423933581</v>
      </c>
      <c r="J18" s="90">
        <f>($D$14*J14)+($D$15*J15)+($D$16*J16)+($D$17*J17)</f>
        <v>61834.585057285985</v>
      </c>
    </row>
    <row r="19" spans="2:10">
      <c r="B19" s="64"/>
      <c r="C19" s="177" t="s">
        <v>366</v>
      </c>
      <c r="D19" s="128"/>
      <c r="E19" s="80"/>
      <c r="F19" s="90">
        <f>+'INGRESOS Y EGRESOS'!E79</f>
        <v>22253.904008791535</v>
      </c>
      <c r="G19" s="90">
        <f>+F19*1.05</f>
        <v>23366.599209231113</v>
      </c>
      <c r="H19" s="90">
        <f>+G19*1.05</f>
        <v>24534.92916969267</v>
      </c>
      <c r="I19" s="90">
        <f>+H19*1.05</f>
        <v>25761.675628177305</v>
      </c>
      <c r="J19" s="90">
        <f>+I19*1.05</f>
        <v>27049.759409586171</v>
      </c>
    </row>
    <row r="20" spans="2:10">
      <c r="B20" s="64"/>
      <c r="C20" s="142" t="s">
        <v>321</v>
      </c>
      <c r="D20" s="331"/>
      <c r="E20" s="192"/>
      <c r="F20" s="144">
        <f>+F11+F18+F19</f>
        <v>199761.0846703737</v>
      </c>
      <c r="G20" s="144">
        <f>+G11+G18+G19</f>
        <v>214186.81842043193</v>
      </c>
      <c r="H20" s="144">
        <f>+H11+H18+H19</f>
        <v>229666.66482173358</v>
      </c>
      <c r="I20" s="144">
        <f>+I11+I18+I19</f>
        <v>246278.29145412124</v>
      </c>
      <c r="J20" s="144">
        <f>+J11+J18+J19</f>
        <v>264105.1214224759</v>
      </c>
    </row>
    <row r="21" spans="2:10">
      <c r="B21" s="64" t="s">
        <v>172</v>
      </c>
      <c r="C21" s="127" t="s">
        <v>309</v>
      </c>
      <c r="D21" s="9"/>
      <c r="E21" s="88"/>
      <c r="F21" s="81"/>
      <c r="G21" s="81"/>
      <c r="H21" s="81"/>
      <c r="I21" s="81"/>
      <c r="J21" s="81"/>
    </row>
    <row r="22" spans="2:10">
      <c r="B22" s="64"/>
      <c r="C22" s="127" t="s">
        <v>310</v>
      </c>
      <c r="D22" s="9"/>
      <c r="E22" s="88"/>
      <c r="F22" s="81"/>
      <c r="G22" s="81"/>
      <c r="H22" s="81"/>
      <c r="I22" s="81"/>
      <c r="J22" s="81"/>
    </row>
    <row r="23" spans="2:10">
      <c r="B23" s="64" t="s">
        <v>167</v>
      </c>
      <c r="C23" s="79" t="s">
        <v>305</v>
      </c>
      <c r="D23" s="191">
        <f>'COST. VARIABLE'!$E$38</f>
        <v>5.421666666666666</v>
      </c>
      <c r="E23" s="88"/>
      <c r="F23" s="81">
        <f>$D$23*F7</f>
        <v>24857.476718157472</v>
      </c>
      <c r="G23" s="81">
        <f>$D$23*G7</f>
        <v>26721.787472019281</v>
      </c>
      <c r="H23" s="81">
        <f>$D$23*H7</f>
        <v>28725.921532420725</v>
      </c>
      <c r="I23" s="81">
        <f>$D$23*I7</f>
        <v>30880.365647352279</v>
      </c>
      <c r="J23" s="81">
        <f>$D$23*J7</f>
        <v>33196.393070903694</v>
      </c>
    </row>
    <row r="24" spans="2:10">
      <c r="B24" s="64"/>
      <c r="C24" s="79" t="s">
        <v>311</v>
      </c>
      <c r="D24" s="82">
        <f>'COST. VARIABLE'!$J$38</f>
        <v>5.421666666666666</v>
      </c>
      <c r="E24" s="88"/>
      <c r="F24" s="81">
        <f>$D$24*F8</f>
        <v>10466.305986592615</v>
      </c>
      <c r="G24" s="81">
        <f>$D$24*G8</f>
        <v>11251.278935587061</v>
      </c>
      <c r="H24" s="81">
        <f>$D$24*H8</f>
        <v>12095.12485575609</v>
      </c>
      <c r="I24" s="81">
        <f>$D$24*I8</f>
        <v>13002.259219937796</v>
      </c>
      <c r="J24" s="81">
        <f>$D$24*J8</f>
        <v>13977.428661433129</v>
      </c>
    </row>
    <row r="25" spans="2:10">
      <c r="B25" s="64"/>
      <c r="C25" s="79" t="s">
        <v>306</v>
      </c>
      <c r="D25" s="82">
        <f>'COST. VARIABLE'!$O$38</f>
        <v>5.171666666666666</v>
      </c>
      <c r="E25" s="88"/>
      <c r="F25" s="81">
        <f>$D$25*F9</f>
        <v>8735.7298007523132</v>
      </c>
      <c r="G25" s="81">
        <f>$D$25*G9</f>
        <v>9390.9095358087361</v>
      </c>
      <c r="H25" s="81">
        <f>$D$25*H9</f>
        <v>10095.227750994391</v>
      </c>
      <c r="I25" s="81">
        <f>$D$25*I9</f>
        <v>10852.369832318969</v>
      </c>
      <c r="J25" s="81">
        <f>$D$25*J9</f>
        <v>11666.297569742892</v>
      </c>
    </row>
    <row r="26" spans="2:10">
      <c r="B26" s="64" t="s">
        <v>384</v>
      </c>
      <c r="C26" s="79" t="s">
        <v>23</v>
      </c>
      <c r="D26" s="82">
        <f>'COST. VARIABLE'!$T$38</f>
        <v>7.5049999999999999</v>
      </c>
      <c r="E26" s="88"/>
      <c r="F26" s="81">
        <f>$D$26*F10</f>
        <v>14817.370773783599</v>
      </c>
      <c r="G26" s="81">
        <f>$D$26*G10</f>
        <v>15928.673581817371</v>
      </c>
      <c r="H26" s="81">
        <f>$D$26*H10</f>
        <v>17123.324100453676</v>
      </c>
      <c r="I26" s="81">
        <f>$D$26*I10</f>
        <v>18407.5734079877</v>
      </c>
      <c r="J26" s="81">
        <f>$D$26*J10</f>
        <v>19788.141413586774</v>
      </c>
    </row>
    <row r="27" spans="2:10">
      <c r="B27" s="64"/>
      <c r="C27" s="127" t="s">
        <v>313</v>
      </c>
      <c r="D27" s="132"/>
      <c r="E27" s="88"/>
      <c r="F27" s="90">
        <f>SUM(F23:F26)</f>
        <v>58876.883279286005</v>
      </c>
      <c r="G27" s="90">
        <f>SUM(G23:G26)</f>
        <v>63292.649525232446</v>
      </c>
      <c r="H27" s="90">
        <f>SUM(H23:H26)</f>
        <v>68039.598239624873</v>
      </c>
      <c r="I27" s="90">
        <f>SUM(I23:I26)</f>
        <v>73142.568107596744</v>
      </c>
      <c r="J27" s="90">
        <f>SUM(J23:J26)</f>
        <v>78628.260715666489</v>
      </c>
    </row>
    <row r="28" spans="2:10">
      <c r="B28" s="64" t="s">
        <v>167</v>
      </c>
      <c r="C28" s="79"/>
      <c r="D28" s="82"/>
      <c r="E28" s="88"/>
      <c r="F28" s="81"/>
      <c r="G28" s="81"/>
      <c r="H28" s="81"/>
      <c r="I28" s="81"/>
      <c r="J28" s="81"/>
    </row>
    <row r="29" spans="2:10">
      <c r="B29" s="64"/>
      <c r="C29" s="127" t="s">
        <v>308</v>
      </c>
      <c r="D29" s="82"/>
      <c r="E29" s="88"/>
      <c r="F29" s="81"/>
      <c r="G29" s="81"/>
      <c r="H29" s="81"/>
      <c r="I29" s="81"/>
      <c r="J29" s="81"/>
    </row>
    <row r="30" spans="2:10">
      <c r="B30" s="64" t="s">
        <v>168</v>
      </c>
      <c r="C30" s="79" t="s">
        <v>305</v>
      </c>
      <c r="D30" s="82">
        <f>+'COST. VARIABLE'!$E$48</f>
        <v>3.5766666666666667</v>
      </c>
      <c r="E30" s="88"/>
      <c r="F30" s="81">
        <f>$D$30*F14</f>
        <v>5963.0712949910194</v>
      </c>
      <c r="G30" s="81">
        <f>$D$30*G14</f>
        <v>6410.3016421153461</v>
      </c>
      <c r="H30" s="81">
        <f>$D$30*H14</f>
        <v>6891.0742652739964</v>
      </c>
      <c r="I30" s="81">
        <f>$D$30*I14</f>
        <v>7407.9048351695465</v>
      </c>
      <c r="J30" s="81">
        <f>$D$30*J14</f>
        <v>7963.4976978072618</v>
      </c>
    </row>
    <row r="31" spans="2:10">
      <c r="B31" s="64"/>
      <c r="C31" s="79" t="s">
        <v>311</v>
      </c>
      <c r="D31" s="132">
        <f>+'COST. VARIABLE'!$J$48</f>
        <v>3.5766666666666667</v>
      </c>
      <c r="E31" s="88"/>
      <c r="F31" s="81">
        <f>$D$31*F15</f>
        <v>2510.7668610488504</v>
      </c>
      <c r="G31" s="81">
        <f>$D$31*G15</f>
        <v>2699.0743756275142</v>
      </c>
      <c r="H31" s="81">
        <f>$D$31*H15</f>
        <v>2901.5049537995774</v>
      </c>
      <c r="I31" s="81">
        <f>$D$31*I15</f>
        <v>3119.1178253345456</v>
      </c>
      <c r="J31" s="81">
        <f>$D$31*J15</f>
        <v>3353.0516622346363</v>
      </c>
    </row>
    <row r="32" spans="2:10">
      <c r="B32" s="64" t="s">
        <v>385</v>
      </c>
      <c r="C32" s="79" t="s">
        <v>306</v>
      </c>
      <c r="D32" s="82">
        <f>'COST. VARIABLE'!$O$48</f>
        <v>3.3266666666666667</v>
      </c>
      <c r="E32" s="88"/>
      <c r="F32" s="81">
        <f>$D$32*F17</f>
        <v>2189.3161643698331</v>
      </c>
      <c r="G32" s="81">
        <f>$D$32*G17</f>
        <v>2353.5148766975708</v>
      </c>
      <c r="H32" s="81">
        <f>$D$32*H17</f>
        <v>2530.0284924498883</v>
      </c>
      <c r="I32" s="81">
        <f>$D$32*I17</f>
        <v>2719.7806293836302</v>
      </c>
      <c r="J32" s="81">
        <f>$D$32*J17</f>
        <v>2923.7641765874018</v>
      </c>
    </row>
    <row r="33" spans="2:10">
      <c r="B33" s="64"/>
      <c r="C33" s="79" t="s">
        <v>23</v>
      </c>
      <c r="D33" s="82">
        <f>'COST. VARIABLE'!$T$48</f>
        <v>5.66</v>
      </c>
      <c r="E33" s="82"/>
      <c r="F33" s="81">
        <f>$D$33*F17</f>
        <v>3724.9086644288345</v>
      </c>
      <c r="G33" s="81">
        <f>$D$33*G17</f>
        <v>4004.2768142609971</v>
      </c>
      <c r="H33" s="81">
        <f>$D$33*H17</f>
        <v>4304.597575330572</v>
      </c>
      <c r="I33" s="81">
        <f>$D$33*I17</f>
        <v>4627.4423934803644</v>
      </c>
      <c r="J33" s="81">
        <f>$D$33*J17</f>
        <v>4974.5005729913919</v>
      </c>
    </row>
    <row r="34" spans="2:10">
      <c r="B34" s="64" t="s">
        <v>115</v>
      </c>
      <c r="C34" s="127" t="s">
        <v>314</v>
      </c>
      <c r="D34" s="133"/>
      <c r="E34" s="82"/>
      <c r="F34" s="90">
        <f>SUM(F30:F33)</f>
        <v>14388.062984838538</v>
      </c>
      <c r="G34" s="90">
        <f>SUM(G30:G33)</f>
        <v>15467.167708701427</v>
      </c>
      <c r="H34" s="90">
        <f>SUM(H30:H33)</f>
        <v>16627.205286854034</v>
      </c>
      <c r="I34" s="90">
        <f>SUM(I30:I33)</f>
        <v>17874.245683368084</v>
      </c>
      <c r="J34" s="90">
        <f>SUM(J30:J33)</f>
        <v>19214.814109620689</v>
      </c>
    </row>
    <row r="35" spans="2:10">
      <c r="B35" s="64"/>
      <c r="C35" s="127" t="s">
        <v>347</v>
      </c>
      <c r="D35" s="133"/>
      <c r="E35" s="82"/>
      <c r="F35" s="144">
        <f>+F27+F34</f>
        <v>73264.946264124548</v>
      </c>
      <c r="G35" s="144">
        <f>+G27+G34</f>
        <v>78759.817233933878</v>
      </c>
      <c r="H35" s="144">
        <f>+H27+H34</f>
        <v>84666.803526478907</v>
      </c>
      <c r="I35" s="144">
        <f>+I27+I34</f>
        <v>91016.813790964836</v>
      </c>
      <c r="J35" s="144">
        <f>+J27+J34</f>
        <v>97843.074825287185</v>
      </c>
    </row>
    <row r="36" spans="2:10">
      <c r="B36" s="64" t="s">
        <v>114</v>
      </c>
      <c r="C36" s="79" t="s">
        <v>319</v>
      </c>
      <c r="D36" s="79"/>
      <c r="E36" s="80"/>
      <c r="F36" s="83">
        <f>+'COSTO DE VENTA'!B5</f>
        <v>130514.74776372424</v>
      </c>
      <c r="G36" s="83">
        <f>+((F36+(F36*0.05)))</f>
        <v>137040.48515191046</v>
      </c>
      <c r="H36" s="83">
        <f>+((G36+(G36*0.05)))</f>
        <v>143892.50940950599</v>
      </c>
      <c r="I36" s="83">
        <f>+((H36+(H36*0.05)))</f>
        <v>151087.13487998128</v>
      </c>
      <c r="J36" s="83">
        <f>+((I36+(I36*0.05)))</f>
        <v>158641.49162398034</v>
      </c>
    </row>
    <row r="37" spans="2:10">
      <c r="B37" s="64"/>
      <c r="C37" s="84" t="s">
        <v>169</v>
      </c>
      <c r="D37" s="84"/>
      <c r="E37" s="85"/>
      <c r="F37" s="86">
        <f>+F20-F35</f>
        <v>126496.13840624916</v>
      </c>
      <c r="G37" s="86">
        <f>+G20-G35</f>
        <v>135427.00118649803</v>
      </c>
      <c r="H37" s="86">
        <f>+H20-H35</f>
        <v>144999.86129525467</v>
      </c>
      <c r="I37" s="86">
        <f>+I20-I35</f>
        <v>155261.4776631564</v>
      </c>
      <c r="J37" s="86">
        <f>+J20-J35</f>
        <v>166262.04659718872</v>
      </c>
    </row>
    <row r="38" spans="2:10">
      <c r="B38" s="64" t="s">
        <v>170</v>
      </c>
      <c r="C38" s="87" t="s">
        <v>171</v>
      </c>
      <c r="D38" s="87"/>
      <c r="E38" s="85"/>
      <c r="F38" s="86">
        <f>SUM(F39:F44)</f>
        <v>105725</v>
      </c>
      <c r="G38" s="86">
        <f>SUM(G39:G44)</f>
        <v>105725</v>
      </c>
      <c r="H38" s="86">
        <f>SUM(H39:H44)</f>
        <v>105725</v>
      </c>
      <c r="I38" s="86">
        <f>SUM(I39:I44)</f>
        <v>105725</v>
      </c>
      <c r="J38" s="86">
        <f>SUM(J39:J44)</f>
        <v>105725</v>
      </c>
    </row>
    <row r="39" spans="2:10">
      <c r="B39" s="332"/>
      <c r="C39" s="79" t="s">
        <v>173</v>
      </c>
      <c r="D39" s="79"/>
      <c r="E39" s="80"/>
      <c r="F39" s="83">
        <f>+SUELDOS!C27</f>
        <v>50685</v>
      </c>
      <c r="G39" s="83">
        <f>+F39</f>
        <v>50685</v>
      </c>
      <c r="H39" s="83">
        <f>+G39</f>
        <v>50685</v>
      </c>
      <c r="I39" s="83">
        <f>+H39</f>
        <v>50685</v>
      </c>
      <c r="J39" s="83">
        <f>+I39</f>
        <v>50685</v>
      </c>
    </row>
    <row r="40" spans="2:10">
      <c r="B40" s="64" t="s">
        <v>172</v>
      </c>
      <c r="C40" s="79" t="s">
        <v>323</v>
      </c>
      <c r="D40" s="79"/>
      <c r="E40" s="80"/>
      <c r="F40" s="83">
        <f>+COSTOS!$D$34</f>
        <v>8400</v>
      </c>
      <c r="G40" s="83">
        <f>+COSTOS!$D$34</f>
        <v>8400</v>
      </c>
      <c r="H40" s="83">
        <f>+COSTOS!$D$34</f>
        <v>8400</v>
      </c>
      <c r="I40" s="83">
        <f>+COSTOS!$D$34</f>
        <v>8400</v>
      </c>
      <c r="J40" s="83">
        <f>+COSTOS!$D$34</f>
        <v>8400</v>
      </c>
    </row>
    <row r="41" spans="2:10">
      <c r="B41" s="64"/>
      <c r="C41" s="79" t="s">
        <v>175</v>
      </c>
      <c r="D41" s="79"/>
      <c r="E41" s="80"/>
      <c r="F41" s="83">
        <f>+COSTOS!D35+COSTOS!D36+COSTOS!D37</f>
        <v>10200</v>
      </c>
      <c r="G41" s="83">
        <f t="shared" ref="G41:J44" si="2">+F41</f>
        <v>10200</v>
      </c>
      <c r="H41" s="83">
        <f t="shared" si="2"/>
        <v>10200</v>
      </c>
      <c r="I41" s="83">
        <f t="shared" si="2"/>
        <v>10200</v>
      </c>
      <c r="J41" s="83">
        <f t="shared" si="2"/>
        <v>10200</v>
      </c>
    </row>
    <row r="42" spans="2:10">
      <c r="B42" s="64" t="s">
        <v>174</v>
      </c>
      <c r="C42" s="79" t="s">
        <v>176</v>
      </c>
      <c r="D42" s="79"/>
      <c r="E42" s="80"/>
      <c r="F42" s="83">
        <f>+COSTOS!D38</f>
        <v>1200</v>
      </c>
      <c r="G42" s="83">
        <f t="shared" si="2"/>
        <v>1200</v>
      </c>
      <c r="H42" s="83">
        <f t="shared" si="2"/>
        <v>1200</v>
      </c>
      <c r="I42" s="83">
        <f t="shared" si="2"/>
        <v>1200</v>
      </c>
      <c r="J42" s="83">
        <f t="shared" si="2"/>
        <v>1200</v>
      </c>
    </row>
    <row r="43" spans="2:10">
      <c r="B43" s="64"/>
      <c r="C43" s="79" t="s">
        <v>177</v>
      </c>
      <c r="D43" s="79"/>
      <c r="E43" s="80"/>
      <c r="F43" s="83">
        <f>+COSTOS!D39</f>
        <v>30600</v>
      </c>
      <c r="G43" s="83">
        <f t="shared" si="2"/>
        <v>30600</v>
      </c>
      <c r="H43" s="83">
        <f t="shared" si="2"/>
        <v>30600</v>
      </c>
      <c r="I43" s="83">
        <f t="shared" si="2"/>
        <v>30600</v>
      </c>
      <c r="J43" s="83">
        <f t="shared" si="2"/>
        <v>30600</v>
      </c>
    </row>
    <row r="44" spans="2:10">
      <c r="B44" s="64" t="s">
        <v>168</v>
      </c>
      <c r="C44" s="163" t="s">
        <v>346</v>
      </c>
      <c r="D44" s="79"/>
      <c r="E44" s="80"/>
      <c r="F44" s="83">
        <f>+COSTOS!D40</f>
        <v>4640</v>
      </c>
      <c r="G44" s="83">
        <f t="shared" si="2"/>
        <v>4640</v>
      </c>
      <c r="H44" s="83">
        <f t="shared" si="2"/>
        <v>4640</v>
      </c>
      <c r="I44" s="83">
        <f t="shared" si="2"/>
        <v>4640</v>
      </c>
      <c r="J44" s="83">
        <f t="shared" si="2"/>
        <v>4640</v>
      </c>
    </row>
    <row r="45" spans="2:10">
      <c r="B45" s="64"/>
      <c r="C45" s="87" t="s">
        <v>178</v>
      </c>
      <c r="D45" s="87"/>
      <c r="E45" s="85"/>
      <c r="F45" s="86">
        <f>F46+F47+F48+F49</f>
        <v>4216</v>
      </c>
      <c r="G45" s="86">
        <f>+G46+G47+G48+G49</f>
        <v>4216</v>
      </c>
      <c r="H45" s="86">
        <f>+H46+H47+H48+H49</f>
        <v>4216</v>
      </c>
      <c r="I45" s="86">
        <f>+I46+I47+I49+I48</f>
        <v>4216</v>
      </c>
      <c r="J45" s="86">
        <f>+J46+J47+J49+J48</f>
        <v>4216</v>
      </c>
    </row>
    <row r="46" spans="2:10">
      <c r="B46" s="64"/>
      <c r="C46" s="79" t="s">
        <v>179</v>
      </c>
      <c r="D46" s="79"/>
      <c r="E46" s="80"/>
      <c r="F46" s="83">
        <f>+'VAL. DESECHO'!F9</f>
        <v>1624</v>
      </c>
      <c r="G46" s="83">
        <f t="shared" ref="G46:J49" si="3">+F46</f>
        <v>1624</v>
      </c>
      <c r="H46" s="83">
        <f t="shared" si="3"/>
        <v>1624</v>
      </c>
      <c r="I46" s="83">
        <f t="shared" si="3"/>
        <v>1624</v>
      </c>
      <c r="J46" s="83">
        <f t="shared" si="3"/>
        <v>1624</v>
      </c>
    </row>
    <row r="47" spans="2:10">
      <c r="B47" s="64"/>
      <c r="C47" s="79" t="s">
        <v>180</v>
      </c>
      <c r="D47" s="79"/>
      <c r="E47" s="80"/>
      <c r="F47" s="83">
        <f>+'VAL. DESECHO'!F10</f>
        <v>500</v>
      </c>
      <c r="G47" s="83">
        <f t="shared" si="3"/>
        <v>500</v>
      </c>
      <c r="H47" s="83">
        <f t="shared" si="3"/>
        <v>500</v>
      </c>
      <c r="I47" s="83">
        <f t="shared" si="3"/>
        <v>500</v>
      </c>
      <c r="J47" s="83">
        <f t="shared" si="3"/>
        <v>500</v>
      </c>
    </row>
    <row r="48" spans="2:10">
      <c r="B48" s="64"/>
      <c r="C48" s="79" t="s">
        <v>181</v>
      </c>
      <c r="D48" s="79"/>
      <c r="E48" s="80"/>
      <c r="F48" s="83">
        <f>+'VAL. DESECHO'!F11</f>
        <v>448</v>
      </c>
      <c r="G48" s="83">
        <f t="shared" si="3"/>
        <v>448</v>
      </c>
      <c r="H48" s="83">
        <f t="shared" si="3"/>
        <v>448</v>
      </c>
      <c r="I48" s="83">
        <f t="shared" si="3"/>
        <v>448</v>
      </c>
      <c r="J48" s="83">
        <f t="shared" si="3"/>
        <v>448</v>
      </c>
    </row>
    <row r="49" spans="2:10">
      <c r="B49" s="64"/>
      <c r="C49" s="79" t="s">
        <v>182</v>
      </c>
      <c r="D49" s="79"/>
      <c r="E49" s="80"/>
      <c r="F49" s="83">
        <f>+'VAL. DESECHO'!F12</f>
        <v>1644</v>
      </c>
      <c r="G49" s="83">
        <f t="shared" si="3"/>
        <v>1644</v>
      </c>
      <c r="H49" s="83">
        <f t="shared" si="3"/>
        <v>1644</v>
      </c>
      <c r="I49" s="83">
        <f t="shared" si="3"/>
        <v>1644</v>
      </c>
      <c r="J49" s="83">
        <f t="shared" si="3"/>
        <v>1644</v>
      </c>
    </row>
    <row r="50" spans="2:10">
      <c r="B50" s="64"/>
      <c r="C50" s="84" t="s">
        <v>183</v>
      </c>
      <c r="D50" s="84"/>
      <c r="E50" s="85"/>
      <c r="F50" s="86">
        <f>+F37-F38-F45</f>
        <v>16555.138406249156</v>
      </c>
      <c r="G50" s="86">
        <f>+G37-G38-G45</f>
        <v>25486.001186498033</v>
      </c>
      <c r="H50" s="86">
        <f>+H37-H38-H45</f>
        <v>35058.861295254668</v>
      </c>
      <c r="I50" s="86">
        <f>+I37-I38-I45</f>
        <v>45320.477663156402</v>
      </c>
      <c r="J50" s="86">
        <f>+J37-J38-J45</f>
        <v>56321.046597188717</v>
      </c>
    </row>
    <row r="51" spans="2:10">
      <c r="B51" s="64"/>
      <c r="C51" s="87" t="s">
        <v>184</v>
      </c>
      <c r="D51" s="87"/>
      <c r="E51" s="85"/>
      <c r="F51" s="86">
        <f>+F52</f>
        <v>3225.7827477699834</v>
      </c>
      <c r="G51" s="86">
        <f>+G52</f>
        <v>2710.1816215364402</v>
      </c>
      <c r="H51" s="86">
        <f>+H52</f>
        <v>2136.6784888268703</v>
      </c>
      <c r="I51" s="86">
        <f>+I52</f>
        <v>1498.7709543140161</v>
      </c>
      <c r="J51" s="86">
        <f>+J52</f>
        <v>789.22640367536792</v>
      </c>
    </row>
    <row r="52" spans="2:10">
      <c r="B52" s="64"/>
      <c r="C52" s="79" t="s">
        <v>185</v>
      </c>
      <c r="D52" s="79"/>
      <c r="E52" s="80"/>
      <c r="F52" s="83">
        <f>+AMORTIZACION!D21</f>
        <v>3225.7827477699834</v>
      </c>
      <c r="G52" s="83">
        <f>+AMORTIZACION!D22</f>
        <v>2710.1816215364402</v>
      </c>
      <c r="H52" s="83">
        <f>+AMORTIZACION!D23</f>
        <v>2136.6784888268703</v>
      </c>
      <c r="I52" s="83">
        <f>+AMORTIZACION!D24</f>
        <v>1498.7709543140161</v>
      </c>
      <c r="J52" s="83">
        <f>+AMORTIZACION!D25</f>
        <v>789.22640367536792</v>
      </c>
    </row>
    <row r="53" spans="2:10">
      <c r="B53" s="64"/>
      <c r="C53" s="84" t="s">
        <v>186</v>
      </c>
      <c r="D53" s="84"/>
      <c r="E53" s="85"/>
      <c r="F53" s="86">
        <f>+F50-F51</f>
        <v>13329.355658479173</v>
      </c>
      <c r="G53" s="86">
        <f>+G50-G51</f>
        <v>22775.819564961592</v>
      </c>
      <c r="H53" s="86">
        <f>+H50-H51</f>
        <v>32922.182806427794</v>
      </c>
      <c r="I53" s="86">
        <f>+I50-I51</f>
        <v>43821.706708842386</v>
      </c>
      <c r="J53" s="86">
        <f>+J50-J51</f>
        <v>55531.820193513347</v>
      </c>
    </row>
    <row r="54" spans="2:10">
      <c r="B54" s="64"/>
      <c r="C54" s="134" t="s">
        <v>325</v>
      </c>
      <c r="D54" s="134"/>
      <c r="E54" s="135"/>
      <c r="F54" s="153">
        <f>F53*0.15</f>
        <v>1999.4033487718759</v>
      </c>
      <c r="G54" s="153">
        <f>G53*0.15</f>
        <v>3416.3729347442386</v>
      </c>
      <c r="H54" s="153">
        <f>H53*0.15</f>
        <v>4938.3274209641686</v>
      </c>
      <c r="I54" s="153">
        <f>I53*0.15</f>
        <v>6573.2560063263581</v>
      </c>
      <c r="J54" s="153">
        <f>J53*0.15</f>
        <v>8329.773029027001</v>
      </c>
    </row>
    <row r="55" spans="2:10" ht="15.75" thickBot="1">
      <c r="B55" s="166"/>
      <c r="C55" s="79" t="s">
        <v>187</v>
      </c>
      <c r="D55" s="79"/>
      <c r="E55" s="80"/>
      <c r="F55" s="83">
        <f>(F53-F54)*0.25</f>
        <v>2832.4880774268245</v>
      </c>
      <c r="G55" s="83">
        <f>(G53-G54)*0.25</f>
        <v>4839.8616575543383</v>
      </c>
      <c r="H55" s="83">
        <f>(H53-H54)*0.25</f>
        <v>6995.9638463659066</v>
      </c>
      <c r="I55" s="83">
        <f>(I53-I54)*0.25</f>
        <v>9312.1126756290068</v>
      </c>
      <c r="J55" s="83">
        <f>(J53-J54)*0.25</f>
        <v>11800.511791121586</v>
      </c>
    </row>
    <row r="56" spans="2:10">
      <c r="B56" s="367" t="s">
        <v>238</v>
      </c>
      <c r="C56" s="84" t="s">
        <v>188</v>
      </c>
      <c r="D56" s="84"/>
      <c r="E56" s="85"/>
      <c r="F56" s="86">
        <f>+F53-F55-F54</f>
        <v>8497.4642322804739</v>
      </c>
      <c r="G56" s="86">
        <f>+G53-G55-G54</f>
        <v>14519.584972663015</v>
      </c>
      <c r="H56" s="86">
        <f>+H53-H55-H54</f>
        <v>20987.89153909772</v>
      </c>
      <c r="I56" s="86">
        <f>+I53-I55-I54</f>
        <v>27936.338026887017</v>
      </c>
      <c r="J56" s="86">
        <f>+J53-J55-J54</f>
        <v>35401.535373364764</v>
      </c>
    </row>
    <row r="57" spans="2:10">
      <c r="B57" s="368"/>
      <c r="C57" s="79" t="s">
        <v>189</v>
      </c>
      <c r="D57" s="88"/>
      <c r="E57" s="80"/>
      <c r="F57" s="83">
        <f>+F45</f>
        <v>4216</v>
      </c>
      <c r="G57" s="83">
        <f>+G45</f>
        <v>4216</v>
      </c>
      <c r="H57" s="83">
        <f>+H45</f>
        <v>4216</v>
      </c>
      <c r="I57" s="83">
        <f>+I45</f>
        <v>4216</v>
      </c>
      <c r="J57" s="83">
        <f>+J45</f>
        <v>4216</v>
      </c>
    </row>
    <row r="58" spans="2:10">
      <c r="B58" s="368"/>
      <c r="C58" s="79" t="s">
        <v>190</v>
      </c>
      <c r="D58" s="88"/>
      <c r="E58" s="80"/>
      <c r="F58" s="83">
        <f>+AMORTIZACION!C21</f>
        <v>4591.2834036824843</v>
      </c>
      <c r="G58" s="83">
        <f>+AMORTIZACION!C22</f>
        <v>5106.8845299160275</v>
      </c>
      <c r="H58" s="83">
        <f>+AMORTIZACION!C23</f>
        <v>5680.3876626255969</v>
      </c>
      <c r="I58" s="83">
        <f>+AMORTIZACION!C24</f>
        <v>6318.2951971384509</v>
      </c>
      <c r="J58" s="83">
        <f>+AMORTIZACION!C25</f>
        <v>7027.8397477770995</v>
      </c>
    </row>
    <row r="59" spans="2:10">
      <c r="B59" s="368"/>
      <c r="C59" s="79" t="s">
        <v>191</v>
      </c>
      <c r="D59" s="88"/>
      <c r="E59" s="83">
        <f>-INVERSION!B14</f>
        <v>-45546</v>
      </c>
      <c r="F59" s="83"/>
      <c r="G59" s="83"/>
      <c r="H59" s="83"/>
      <c r="I59" s="83"/>
      <c r="J59" s="83"/>
    </row>
    <row r="60" spans="2:10">
      <c r="B60" s="368"/>
      <c r="C60" s="79" t="s">
        <v>192</v>
      </c>
      <c r="D60" s="88"/>
      <c r="E60" s="83">
        <f>-INVERSION!B17</f>
        <v>-18286.64564697702</v>
      </c>
      <c r="F60" s="83"/>
      <c r="G60" s="83"/>
      <c r="H60" s="83"/>
      <c r="I60" s="83"/>
      <c r="J60" s="83">
        <f>-E60</f>
        <v>18286.64564697702</v>
      </c>
    </row>
    <row r="61" spans="2:10">
      <c r="B61" s="368"/>
      <c r="C61" s="79" t="s">
        <v>193</v>
      </c>
      <c r="D61" s="88"/>
      <c r="E61" s="83">
        <f>+INVERSION!C32</f>
        <v>28724.690541139658</v>
      </c>
      <c r="F61" s="83"/>
      <c r="G61" s="83"/>
      <c r="H61" s="83"/>
      <c r="I61" s="83"/>
      <c r="J61" s="83"/>
    </row>
    <row r="62" spans="2:10">
      <c r="B62" s="368"/>
      <c r="C62" s="79" t="s">
        <v>194</v>
      </c>
      <c r="D62" s="88"/>
      <c r="E62" s="80"/>
      <c r="F62" s="83"/>
      <c r="G62" s="83"/>
      <c r="H62" s="83"/>
      <c r="I62" s="83"/>
      <c r="J62" s="83">
        <f>+'VAL. DESECHO'!I13</f>
        <v>2344</v>
      </c>
    </row>
    <row r="63" spans="2:10" ht="15.75" thickBot="1">
      <c r="B63" s="369"/>
      <c r="C63" s="84" t="s">
        <v>195</v>
      </c>
      <c r="D63" s="89"/>
      <c r="E63" s="90">
        <f>+SUM(E59:E61)</f>
        <v>-35107.955105837362</v>
      </c>
      <c r="F63" s="90">
        <f>+F56+F57-F58</f>
        <v>8122.1808285979896</v>
      </c>
      <c r="G63" s="90">
        <f>+G56+G57-G58</f>
        <v>13628.700442746987</v>
      </c>
      <c r="H63" s="90">
        <f>+H56+H57-H58</f>
        <v>19523.503876472125</v>
      </c>
      <c r="I63" s="90">
        <f>+I56+I57-I58</f>
        <v>25834.042829748567</v>
      </c>
      <c r="J63" s="90">
        <f>+J56+J57+J60+J62-J58</f>
        <v>53220.341272564685</v>
      </c>
    </row>
    <row r="64" spans="2:10">
      <c r="C64" s="66" t="s">
        <v>105</v>
      </c>
      <c r="D64" s="66"/>
      <c r="E64" s="291">
        <f>+CAPM!B18</f>
        <v>0.18580725000000003</v>
      </c>
      <c r="F64" s="67"/>
      <c r="G64" s="67"/>
      <c r="H64" s="67"/>
    </row>
    <row r="65" spans="3:8">
      <c r="C65" s="68" t="s">
        <v>196</v>
      </c>
      <c r="D65" s="68"/>
      <c r="E65" s="91">
        <f>NPV(E64,F63:J63)+(E63)</f>
        <v>28907.530270685507</v>
      </c>
      <c r="F65" s="47"/>
      <c r="G65" s="47"/>
      <c r="H65" s="47"/>
    </row>
    <row r="66" spans="3:8">
      <c r="C66" s="68" t="s">
        <v>197</v>
      </c>
      <c r="D66" s="68"/>
      <c r="E66" s="69">
        <f>IRR(E63:J63)</f>
        <v>0.41696680589481877</v>
      </c>
    </row>
    <row r="73" spans="3:8">
      <c r="E73" s="76"/>
    </row>
    <row r="74" spans="3:8">
      <c r="E74" s="70"/>
    </row>
    <row r="75" spans="3:8">
      <c r="E75" s="70"/>
    </row>
  </sheetData>
  <mergeCells count="4">
    <mergeCell ref="B2:J2"/>
    <mergeCell ref="B3:J3"/>
    <mergeCell ref="E4:J4"/>
    <mergeCell ref="B56:B63"/>
  </mergeCells>
  <phoneticPr fontId="15" type="noConversion"/>
  <pageMargins left="0.75" right="0.75" top="1" bottom="1" header="0" footer="0"/>
  <pageSetup paperSize="9" orientation="portrait" horizontalDpi="4294967293" verticalDpi="0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B2:J75"/>
  <sheetViews>
    <sheetView showGridLines="0" topLeftCell="A46" zoomScaleNormal="100" workbookViewId="0">
      <selection activeCell="C15" sqref="C15"/>
    </sheetView>
  </sheetViews>
  <sheetFormatPr baseColWidth="10" defaultRowHeight="15"/>
  <cols>
    <col min="2" max="2" width="14.85546875" bestFit="1" customWidth="1"/>
    <col min="3" max="3" width="21.7109375" customWidth="1"/>
    <col min="4" max="4" width="5" customWidth="1"/>
    <col min="5" max="5" width="11.5703125" customWidth="1"/>
    <col min="6" max="6" width="11.28515625" customWidth="1"/>
    <col min="7" max="7" width="11.140625" customWidth="1"/>
    <col min="8" max="8" width="11.42578125" customWidth="1"/>
    <col min="9" max="10" width="11.7109375" customWidth="1"/>
  </cols>
  <sheetData>
    <row r="2" spans="2:10" ht="15.75">
      <c r="B2" s="364" t="s">
        <v>165</v>
      </c>
      <c r="C2" s="364"/>
      <c r="D2" s="364"/>
      <c r="E2" s="364"/>
      <c r="F2" s="364"/>
      <c r="G2" s="364"/>
      <c r="H2" s="364"/>
      <c r="I2" s="364"/>
      <c r="J2" s="364"/>
    </row>
    <row r="3" spans="2:10">
      <c r="B3" s="365" t="s">
        <v>383</v>
      </c>
      <c r="C3" s="365"/>
      <c r="D3" s="365"/>
      <c r="E3" s="365"/>
      <c r="F3" s="365"/>
      <c r="G3" s="365"/>
      <c r="H3" s="365"/>
      <c r="I3" s="365"/>
      <c r="J3" s="365"/>
    </row>
    <row r="4" spans="2:10">
      <c r="B4" s="60"/>
      <c r="C4" s="60"/>
      <c r="D4" s="60"/>
      <c r="E4" s="366" t="s">
        <v>166</v>
      </c>
      <c r="F4" s="366"/>
      <c r="G4" s="366"/>
      <c r="H4" s="366"/>
      <c r="I4" s="366"/>
      <c r="J4" s="366"/>
    </row>
    <row r="5" spans="2:10" ht="15.75" thickBot="1">
      <c r="B5" s="110" t="s">
        <v>303</v>
      </c>
      <c r="C5" s="187">
        <v>2.5000000000000001E-2</v>
      </c>
      <c r="D5" s="124"/>
      <c r="E5" s="61">
        <v>2010</v>
      </c>
      <c r="F5" s="62">
        <v>2011</v>
      </c>
      <c r="G5" s="62">
        <v>2012</v>
      </c>
      <c r="H5" s="62">
        <v>2013</v>
      </c>
      <c r="I5" s="62">
        <v>2014</v>
      </c>
      <c r="J5" s="62">
        <v>2015</v>
      </c>
    </row>
    <row r="6" spans="2:10">
      <c r="B6" s="63"/>
      <c r="C6" s="127" t="s">
        <v>304</v>
      </c>
      <c r="D6" s="131" t="s">
        <v>199</v>
      </c>
      <c r="E6" s="125"/>
      <c r="F6" s="126"/>
      <c r="G6" s="126"/>
      <c r="H6" s="126"/>
      <c r="I6" s="126"/>
      <c r="J6" s="126"/>
    </row>
    <row r="7" spans="2:10">
      <c r="B7" s="64" t="s">
        <v>167</v>
      </c>
      <c r="C7" s="79" t="s">
        <v>305</v>
      </c>
      <c r="D7" s="129">
        <v>13</v>
      </c>
      <c r="E7" s="129"/>
      <c r="F7" s="130">
        <f>'INGRESOS Y EGRESOS'!N8</f>
        <v>4584.8404644618768</v>
      </c>
      <c r="G7" s="130">
        <f>F7*(1+$C$5)</f>
        <v>4699.461476073423</v>
      </c>
      <c r="H7" s="130">
        <f t="shared" ref="G7:J10" si="0">G7*(1+$C$5)</f>
        <v>4816.9480129752583</v>
      </c>
      <c r="I7" s="130">
        <f t="shared" si="0"/>
        <v>4937.3717132996389</v>
      </c>
      <c r="J7" s="130">
        <f t="shared" si="0"/>
        <v>5060.8060061321294</v>
      </c>
    </row>
    <row r="8" spans="2:10">
      <c r="B8" s="64"/>
      <c r="C8" s="79" t="s">
        <v>311</v>
      </c>
      <c r="D8" s="80">
        <v>13</v>
      </c>
      <c r="E8" s="80"/>
      <c r="F8" s="130">
        <f>'INGRESOS Y EGRESOS'!N17</f>
        <v>1930.4591429313157</v>
      </c>
      <c r="G8" s="130">
        <f t="shared" si="0"/>
        <v>1978.7206215045985</v>
      </c>
      <c r="H8" s="130">
        <f t="shared" si="0"/>
        <v>2028.1886370422133</v>
      </c>
      <c r="I8" s="130">
        <f t="shared" si="0"/>
        <v>2078.8933529682686</v>
      </c>
      <c r="J8" s="130">
        <f t="shared" si="0"/>
        <v>2130.8656867924751</v>
      </c>
    </row>
    <row r="9" spans="2:10">
      <c r="B9" s="64" t="s">
        <v>168</v>
      </c>
      <c r="C9" s="79" t="s">
        <v>306</v>
      </c>
      <c r="D9" s="80">
        <v>10</v>
      </c>
      <c r="E9" s="80"/>
      <c r="F9" s="130">
        <f>'INGRESOS Y EGRESOS'!N26</f>
        <v>1689.1517500649013</v>
      </c>
      <c r="G9" s="130">
        <f t="shared" si="0"/>
        <v>1731.3805438165236</v>
      </c>
      <c r="H9" s="130">
        <f t="shared" si="0"/>
        <v>1774.6650574119367</v>
      </c>
      <c r="I9" s="130">
        <f t="shared" si="0"/>
        <v>1819.0316838472349</v>
      </c>
      <c r="J9" s="130">
        <f t="shared" si="0"/>
        <v>1864.5074759434156</v>
      </c>
    </row>
    <row r="10" spans="2:10">
      <c r="B10" s="64"/>
      <c r="C10" s="79" t="s">
        <v>23</v>
      </c>
      <c r="D10" s="80">
        <v>15</v>
      </c>
      <c r="E10" s="80"/>
      <c r="F10" s="130">
        <f>+'INGRESOS Y EGRESOS'!N35</f>
        <v>1974.3332143615723</v>
      </c>
      <c r="G10" s="130">
        <f t="shared" si="0"/>
        <v>2023.6915447206115</v>
      </c>
      <c r="H10" s="130">
        <f t="shared" si="0"/>
        <v>2074.2838333386267</v>
      </c>
      <c r="I10" s="130">
        <f t="shared" si="0"/>
        <v>2126.140929172092</v>
      </c>
      <c r="J10" s="130">
        <f t="shared" si="0"/>
        <v>2179.2944524013942</v>
      </c>
    </row>
    <row r="11" spans="2:10">
      <c r="B11" s="64" t="s">
        <v>114</v>
      </c>
      <c r="C11" s="127" t="s">
        <v>307</v>
      </c>
      <c r="D11" s="127"/>
      <c r="E11" s="80"/>
      <c r="F11" s="90">
        <f>(F7*$D$7)+(F8*$D$8)+(F9*$D$9)+(F10*$D$10)</f>
        <v>131205.41061218412</v>
      </c>
      <c r="G11" s="90">
        <f>(G7*$D$7)+(G8*$D$8)+(G9*$D$9)+(G10*$D$10)</f>
        <v>134485.54587748868</v>
      </c>
      <c r="H11" s="90">
        <f>(H7*$D$7)+(H8*$D$8)+(H9*$D$9)+(H10*$D$10)</f>
        <v>137847.68452442589</v>
      </c>
      <c r="I11" s="90">
        <f>(I7*$D$7)+(I8*$D$8)+(I9*$D$9)+(I10*$D$10)</f>
        <v>141293.87663753651</v>
      </c>
      <c r="J11" s="90">
        <f>(J7*$D$7)+(J8*$D$8)+(J9*$D$9)+(J10*$D$10)</f>
        <v>144826.22355347493</v>
      </c>
    </row>
    <row r="12" spans="2:10">
      <c r="B12" s="64"/>
      <c r="C12" s="79"/>
      <c r="D12" s="79"/>
      <c r="E12" s="80"/>
      <c r="F12" s="81"/>
      <c r="G12" s="81"/>
      <c r="H12" s="81"/>
      <c r="I12" s="81"/>
      <c r="J12" s="81"/>
    </row>
    <row r="13" spans="2:10">
      <c r="B13" s="64" t="s">
        <v>170</v>
      </c>
      <c r="C13" s="127" t="s">
        <v>308</v>
      </c>
      <c r="D13" s="127"/>
      <c r="E13" s="80"/>
      <c r="F13" s="81"/>
      <c r="G13" s="81"/>
      <c r="H13" s="81"/>
      <c r="I13" s="81"/>
      <c r="J13" s="81"/>
    </row>
    <row r="14" spans="2:10">
      <c r="B14" s="64"/>
      <c r="C14" s="79" t="s">
        <v>305</v>
      </c>
      <c r="D14" s="129">
        <v>13</v>
      </c>
      <c r="E14" s="80"/>
      <c r="F14" s="130">
        <f>'INGRESOS Y EGRESOS'!N45</f>
        <v>1667.2147143497725</v>
      </c>
      <c r="G14" s="130">
        <f t="shared" ref="G14:J17" si="1">F14*(1+$C$5)</f>
        <v>1708.8950822085167</v>
      </c>
      <c r="H14" s="130">
        <f t="shared" si="1"/>
        <v>1751.6174592637294</v>
      </c>
      <c r="I14" s="130">
        <f t="shared" si="1"/>
        <v>1795.4078957453225</v>
      </c>
      <c r="J14" s="130">
        <f t="shared" si="1"/>
        <v>1840.2930931389556</v>
      </c>
    </row>
    <row r="15" spans="2:10">
      <c r="B15" s="64" t="s">
        <v>172</v>
      </c>
      <c r="C15" s="79" t="s">
        <v>311</v>
      </c>
      <c r="D15" s="80">
        <v>13</v>
      </c>
      <c r="E15" s="179"/>
      <c r="F15" s="130">
        <f>'INGRESOS Y EGRESOS'!N54</f>
        <v>701.98514288411479</v>
      </c>
      <c r="G15" s="130">
        <f t="shared" si="1"/>
        <v>719.53477145621764</v>
      </c>
      <c r="H15" s="130">
        <f t="shared" si="1"/>
        <v>737.52314074262301</v>
      </c>
      <c r="I15" s="130">
        <f t="shared" si="1"/>
        <v>755.96121926118849</v>
      </c>
      <c r="J15" s="130">
        <f t="shared" si="1"/>
        <v>774.86024974271811</v>
      </c>
    </row>
    <row r="16" spans="2:10">
      <c r="B16" s="64"/>
      <c r="C16" s="79" t="s">
        <v>306</v>
      </c>
      <c r="D16" s="80">
        <v>10</v>
      </c>
      <c r="E16" s="179"/>
      <c r="F16" s="130">
        <f>'INGRESOS Y EGRESOS'!N63</f>
        <v>563.05058335496688</v>
      </c>
      <c r="G16" s="130">
        <f t="shared" si="1"/>
        <v>577.12684793884102</v>
      </c>
      <c r="H16" s="130">
        <f t="shared" si="1"/>
        <v>591.555019137312</v>
      </c>
      <c r="I16" s="130">
        <f t="shared" si="1"/>
        <v>606.34389461574472</v>
      </c>
      <c r="J16" s="130">
        <f t="shared" si="1"/>
        <v>621.50249198113829</v>
      </c>
    </row>
    <row r="17" spans="2:10">
      <c r="B17" s="64" t="s">
        <v>174</v>
      </c>
      <c r="C17" s="79" t="s">
        <v>23</v>
      </c>
      <c r="D17" s="80">
        <v>15</v>
      </c>
      <c r="E17" s="179"/>
      <c r="F17" s="130">
        <f>'INGRESOS Y EGRESOS'!N72</f>
        <v>658.11107145385768</v>
      </c>
      <c r="G17" s="130">
        <f t="shared" si="1"/>
        <v>674.56384824020404</v>
      </c>
      <c r="H17" s="130">
        <f t="shared" si="1"/>
        <v>691.42794444620904</v>
      </c>
      <c r="I17" s="130">
        <f t="shared" si="1"/>
        <v>708.71364305736415</v>
      </c>
      <c r="J17" s="130">
        <f t="shared" si="1"/>
        <v>726.43148413379822</v>
      </c>
    </row>
    <row r="18" spans="2:10">
      <c r="B18" s="64"/>
      <c r="C18" s="127" t="s">
        <v>320</v>
      </c>
      <c r="D18" s="128"/>
      <c r="E18" s="179"/>
      <c r="F18" s="90">
        <f>($D$14*F14)+($D$15*F15)+($D$16*F16)+($D$17*F17)</f>
        <v>46301.770049398066</v>
      </c>
      <c r="G18" s="90">
        <f>($D$14*G14)+($D$15*G15)+($D$16*G16)+($D$17*G17)</f>
        <v>47459.314300633014</v>
      </c>
      <c r="H18" s="90">
        <f>($D$14*H14)+($D$15*H15)+($D$16*H16)+($D$17*H17)</f>
        <v>48645.797158148838</v>
      </c>
      <c r="I18" s="90">
        <f>($D$14*I14)+($D$15*I15)+($D$16*I16)+($D$17*I17)</f>
        <v>49861.94208710255</v>
      </c>
      <c r="J18" s="90">
        <f>($D$14*J14)+($D$15*J15)+($D$16*J16)+($D$17*J17)</f>
        <v>51108.490639280113</v>
      </c>
    </row>
    <row r="19" spans="2:10">
      <c r="B19" s="64"/>
      <c r="C19" s="177" t="s">
        <v>366</v>
      </c>
      <c r="D19" s="128"/>
      <c r="E19" s="179"/>
      <c r="F19" s="90">
        <f>+'INGRESOS Y EGRESOS'!E79</f>
        <v>22253.904008791535</v>
      </c>
      <c r="G19" s="90">
        <f>+F19*1.05</f>
        <v>23366.599209231113</v>
      </c>
      <c r="H19" s="90">
        <f>+G19*1.05</f>
        <v>24534.92916969267</v>
      </c>
      <c r="I19" s="90">
        <f>+H19*1.05</f>
        <v>25761.675628177305</v>
      </c>
      <c r="J19" s="90">
        <f>+I19*1.05</f>
        <v>27049.759409586171</v>
      </c>
    </row>
    <row r="20" spans="2:10">
      <c r="B20" s="64"/>
      <c r="C20" s="292" t="s">
        <v>321</v>
      </c>
      <c r="D20" s="192"/>
      <c r="E20" s="143"/>
      <c r="F20" s="144">
        <f>+F11+F18+F19</f>
        <v>199761.0846703737</v>
      </c>
      <c r="G20" s="144">
        <f>+G11+G18+G19</f>
        <v>205311.45938735281</v>
      </c>
      <c r="H20" s="144">
        <f>+H11+H18+H19</f>
        <v>211028.41085226741</v>
      </c>
      <c r="I20" s="144">
        <f>+I11+I18+I19</f>
        <v>216917.49435281637</v>
      </c>
      <c r="J20" s="144">
        <f>+J11+J18+J19</f>
        <v>222984.47360234123</v>
      </c>
    </row>
    <row r="21" spans="2:10">
      <c r="B21" s="64" t="s">
        <v>172</v>
      </c>
      <c r="C21" s="127" t="s">
        <v>309</v>
      </c>
      <c r="D21" s="303"/>
      <c r="E21" s="79"/>
      <c r="F21" s="81"/>
      <c r="G21" s="81"/>
      <c r="H21" s="81"/>
      <c r="I21" s="81"/>
      <c r="J21" s="81"/>
    </row>
    <row r="22" spans="2:10">
      <c r="B22" s="64"/>
      <c r="C22" s="127" t="s">
        <v>310</v>
      </c>
      <c r="D22" s="303"/>
      <c r="E22" s="88"/>
      <c r="F22" s="81"/>
      <c r="G22" s="81"/>
      <c r="H22" s="81"/>
      <c r="I22" s="81"/>
      <c r="J22" s="81"/>
    </row>
    <row r="23" spans="2:10">
      <c r="B23" s="64" t="s">
        <v>167</v>
      </c>
      <c r="C23" s="79" t="s">
        <v>305</v>
      </c>
      <c r="D23" s="132">
        <f>'COST. VARIABLE'!$E$38</f>
        <v>5.421666666666666</v>
      </c>
      <c r="E23" s="88"/>
      <c r="F23" s="81">
        <f>$D$23*F7</f>
        <v>24857.476718157472</v>
      </c>
      <c r="G23" s="81">
        <f>$D$23*G7</f>
        <v>25478.913636111403</v>
      </c>
      <c r="H23" s="81">
        <f>$D$23*H7</f>
        <v>26115.886477014188</v>
      </c>
      <c r="I23" s="81">
        <f>$D$23*I7</f>
        <v>26768.783638939538</v>
      </c>
      <c r="J23" s="81">
        <f>$D$23*J7</f>
        <v>27438.003229913025</v>
      </c>
    </row>
    <row r="24" spans="2:10">
      <c r="B24" s="64"/>
      <c r="C24" s="79" t="s">
        <v>311</v>
      </c>
      <c r="D24" s="82">
        <f>'COST. VARIABLE'!$J$38</f>
        <v>5.421666666666666</v>
      </c>
      <c r="E24" s="88"/>
      <c r="F24" s="81">
        <f>$D$24*F8</f>
        <v>10466.305986592615</v>
      </c>
      <c r="G24" s="81">
        <f>$D$24*G8</f>
        <v>10727.963636257431</v>
      </c>
      <c r="H24" s="81">
        <f>$D$24*H8</f>
        <v>10996.162727163864</v>
      </c>
      <c r="I24" s="81">
        <f>$D$24*I8</f>
        <v>11271.066795342962</v>
      </c>
      <c r="J24" s="81">
        <f>$D$24*J8</f>
        <v>11552.843465226535</v>
      </c>
    </row>
    <row r="25" spans="2:10">
      <c r="B25" s="64"/>
      <c r="C25" s="79" t="s">
        <v>306</v>
      </c>
      <c r="D25" s="82">
        <f>'COST. VARIABLE'!$O$38</f>
        <v>5.171666666666666</v>
      </c>
      <c r="E25" s="88"/>
      <c r="F25" s="81">
        <f>$D$25*F9</f>
        <v>8735.7298007523132</v>
      </c>
      <c r="G25" s="81">
        <f>$D$25*G9</f>
        <v>8954.1230457711208</v>
      </c>
      <c r="H25" s="81">
        <f>$D$25*H9</f>
        <v>9177.9761219153988</v>
      </c>
      <c r="I25" s="81">
        <f>$D$25*I9</f>
        <v>9407.4255249632824</v>
      </c>
      <c r="J25" s="81">
        <f>$D$25*J9</f>
        <v>9642.611163087362</v>
      </c>
    </row>
    <row r="26" spans="2:10">
      <c r="B26" s="64" t="s">
        <v>384</v>
      </c>
      <c r="C26" s="79" t="s">
        <v>23</v>
      </c>
      <c r="D26" s="82">
        <f>'COST. VARIABLE'!$T$38</f>
        <v>7.5049999999999999</v>
      </c>
      <c r="E26" s="88"/>
      <c r="F26" s="81">
        <f>$D$26*F10</f>
        <v>14817.370773783599</v>
      </c>
      <c r="G26" s="81">
        <f>$D$26*G10</f>
        <v>15187.80504312819</v>
      </c>
      <c r="H26" s="81">
        <f>$D$26*H10</f>
        <v>15567.500169206392</v>
      </c>
      <c r="I26" s="81">
        <f>$D$26*I10</f>
        <v>15956.687673436551</v>
      </c>
      <c r="J26" s="81">
        <f>$D$26*J10</f>
        <v>16355.604865272464</v>
      </c>
    </row>
    <row r="27" spans="2:10">
      <c r="B27" s="64"/>
      <c r="C27" s="127" t="s">
        <v>313</v>
      </c>
      <c r="D27" s="132"/>
      <c r="E27" s="88"/>
      <c r="F27" s="90">
        <f>SUM(F23:F26)</f>
        <v>58876.883279286005</v>
      </c>
      <c r="G27" s="90">
        <f>SUM(G23:G26)</f>
        <v>60348.80536126814</v>
      </c>
      <c r="H27" s="90">
        <f>SUM(H23:H26)</f>
        <v>61857.525495299851</v>
      </c>
      <c r="I27" s="90">
        <f>SUM(I23:I26)</f>
        <v>63403.963632682338</v>
      </c>
      <c r="J27" s="90">
        <f>SUM(J23:J26)</f>
        <v>64989.062723499388</v>
      </c>
    </row>
    <row r="28" spans="2:10">
      <c r="B28" s="64" t="s">
        <v>167</v>
      </c>
      <c r="C28" s="79"/>
      <c r="D28" s="82"/>
      <c r="E28" s="88"/>
      <c r="F28" s="81"/>
      <c r="G28" s="81"/>
      <c r="H28" s="81"/>
      <c r="I28" s="81"/>
      <c r="J28" s="81"/>
    </row>
    <row r="29" spans="2:10">
      <c r="B29" s="64"/>
      <c r="C29" s="127" t="s">
        <v>308</v>
      </c>
      <c r="D29" s="82"/>
      <c r="E29" s="88"/>
      <c r="F29" s="81"/>
      <c r="G29" s="81"/>
      <c r="H29" s="81"/>
      <c r="I29" s="81"/>
      <c r="J29" s="81"/>
    </row>
    <row r="30" spans="2:10">
      <c r="B30" s="64" t="s">
        <v>168</v>
      </c>
      <c r="C30" s="79" t="s">
        <v>305</v>
      </c>
      <c r="D30" s="82">
        <f>+'COST. VARIABLE'!$E$48</f>
        <v>3.5766666666666667</v>
      </c>
      <c r="E30" s="88"/>
      <c r="F30" s="81">
        <f>$D$30*F14</f>
        <v>5963.0712949910194</v>
      </c>
      <c r="G30" s="81">
        <f>$D$30*G14</f>
        <v>6112.148077365795</v>
      </c>
      <c r="H30" s="81">
        <f>$D$30*H14</f>
        <v>6264.9517792999386</v>
      </c>
      <c r="I30" s="81">
        <f>$D$30*I14</f>
        <v>6421.5755737824365</v>
      </c>
      <c r="J30" s="81">
        <f>$D$30*J14</f>
        <v>6582.1149631269973</v>
      </c>
    </row>
    <row r="31" spans="2:10">
      <c r="B31" s="64"/>
      <c r="C31" s="79" t="s">
        <v>311</v>
      </c>
      <c r="D31" s="132">
        <f>+'COST. VARIABLE'!$J$48</f>
        <v>3.5766666666666667</v>
      </c>
      <c r="E31" s="88"/>
      <c r="F31" s="81">
        <f>$D$31*F15</f>
        <v>2510.7668610488504</v>
      </c>
      <c r="G31" s="81">
        <f>$D$31*G15</f>
        <v>2573.5360325750717</v>
      </c>
      <c r="H31" s="81">
        <f>$D$31*H15</f>
        <v>2637.8744333894483</v>
      </c>
      <c r="I31" s="81">
        <f>$D$31*I15</f>
        <v>2703.8212942241844</v>
      </c>
      <c r="J31" s="81">
        <f>$D$31*J15</f>
        <v>2771.4168265797884</v>
      </c>
    </row>
    <row r="32" spans="2:10">
      <c r="B32" s="64" t="s">
        <v>385</v>
      </c>
      <c r="C32" s="79" t="s">
        <v>306</v>
      </c>
      <c r="D32" s="82">
        <f>'COST. VARIABLE'!$O$48</f>
        <v>3.3266666666666667</v>
      </c>
      <c r="E32" s="88"/>
      <c r="F32" s="81">
        <f>$D$32*F17</f>
        <v>2189.3161643698331</v>
      </c>
      <c r="G32" s="81">
        <f>$D$32*G17</f>
        <v>2244.0490684790789</v>
      </c>
      <c r="H32" s="81">
        <f>$D$32*H17</f>
        <v>2300.1502951910552</v>
      </c>
      <c r="I32" s="81">
        <f>$D$32*I17</f>
        <v>2357.6540525708315</v>
      </c>
      <c r="J32" s="81">
        <f>$D$32*J17</f>
        <v>2416.5954038851019</v>
      </c>
    </row>
    <row r="33" spans="2:10">
      <c r="B33" s="64"/>
      <c r="C33" s="79" t="s">
        <v>23</v>
      </c>
      <c r="D33" s="82">
        <f>'COST. VARIABLE'!$T$48</f>
        <v>5.66</v>
      </c>
      <c r="E33" s="82"/>
      <c r="F33" s="81">
        <f>$D$33*F17</f>
        <v>3724.9086644288345</v>
      </c>
      <c r="G33" s="81">
        <f>$D$33*G17</f>
        <v>3818.0313810395551</v>
      </c>
      <c r="H33" s="81">
        <f>$D$33*H17</f>
        <v>3913.4821655655433</v>
      </c>
      <c r="I33" s="81">
        <f>$D$33*I17</f>
        <v>4011.319219704681</v>
      </c>
      <c r="J33" s="81">
        <f>$D$33*J17</f>
        <v>4111.6022001972979</v>
      </c>
    </row>
    <row r="34" spans="2:10">
      <c r="B34" s="64" t="s">
        <v>115</v>
      </c>
      <c r="C34" s="127" t="s">
        <v>314</v>
      </c>
      <c r="D34" s="133"/>
      <c r="E34" s="82"/>
      <c r="F34" s="90">
        <f>SUM(F30:F33)</f>
        <v>14388.062984838538</v>
      </c>
      <c r="G34" s="90">
        <f>SUM(G30:G33)</f>
        <v>14747.7645594595</v>
      </c>
      <c r="H34" s="90">
        <f>SUM(H30:H33)</f>
        <v>15116.458673445984</v>
      </c>
      <c r="I34" s="90">
        <f>SUM(I30:I33)</f>
        <v>15494.370140282133</v>
      </c>
      <c r="J34" s="90">
        <f>SUM(J30:J33)</f>
        <v>15881.729393789185</v>
      </c>
    </row>
    <row r="35" spans="2:10">
      <c r="B35" s="64"/>
      <c r="C35" s="127" t="s">
        <v>347</v>
      </c>
      <c r="D35" s="133"/>
      <c r="E35" s="82"/>
      <c r="F35" s="144">
        <f>+F27+F34</f>
        <v>73264.946264124548</v>
      </c>
      <c r="G35" s="144">
        <f>+G27+G34</f>
        <v>75096.569920727634</v>
      </c>
      <c r="H35" s="144">
        <f>+H27+H34</f>
        <v>76973.984168745839</v>
      </c>
      <c r="I35" s="144">
        <f>+I27+I34</f>
        <v>78898.33377296447</v>
      </c>
      <c r="J35" s="144">
        <f>+J27+J34</f>
        <v>80870.792117288569</v>
      </c>
    </row>
    <row r="36" spans="2:10">
      <c r="B36" s="64" t="s">
        <v>114</v>
      </c>
      <c r="C36" s="79" t="s">
        <v>319</v>
      </c>
      <c r="D36" s="79"/>
      <c r="E36" s="80"/>
      <c r="F36" s="83">
        <f>+'COSTO DE VENTA'!B5</f>
        <v>130514.74776372424</v>
      </c>
      <c r="G36" s="83">
        <f>+((F36+(F36*0.05)))</f>
        <v>137040.48515191046</v>
      </c>
      <c r="H36" s="83">
        <f>+((G36+(G36*0.05)))</f>
        <v>143892.50940950599</v>
      </c>
      <c r="I36" s="83">
        <f>+((H36+(H36*0.05)))</f>
        <v>151087.13487998128</v>
      </c>
      <c r="J36" s="83">
        <f>+((I36+(I36*0.05)))</f>
        <v>158641.49162398034</v>
      </c>
    </row>
    <row r="37" spans="2:10">
      <c r="B37" s="64"/>
      <c r="C37" s="84" t="s">
        <v>169</v>
      </c>
      <c r="D37" s="84"/>
      <c r="E37" s="85"/>
      <c r="F37" s="86">
        <f>+F20-F35</f>
        <v>126496.13840624916</v>
      </c>
      <c r="G37" s="86">
        <f>+G20-G35</f>
        <v>130214.88946662517</v>
      </c>
      <c r="H37" s="86">
        <f>+H20-H35</f>
        <v>134054.42668352157</v>
      </c>
      <c r="I37" s="86">
        <f>+I20-I35</f>
        <v>138019.16057985189</v>
      </c>
      <c r="J37" s="86">
        <f>+J20-J35</f>
        <v>142113.68148505266</v>
      </c>
    </row>
    <row r="38" spans="2:10">
      <c r="B38" s="64" t="s">
        <v>170</v>
      </c>
      <c r="C38" s="87" t="s">
        <v>171</v>
      </c>
      <c r="D38" s="87"/>
      <c r="E38" s="85"/>
      <c r="F38" s="86">
        <f>SUM(F39:F44)</f>
        <v>105725</v>
      </c>
      <c r="G38" s="86">
        <f>SUM(G39:G44)</f>
        <v>105725</v>
      </c>
      <c r="H38" s="86">
        <f>SUM(H39:H44)</f>
        <v>105725</v>
      </c>
      <c r="I38" s="86">
        <f>SUM(I39:I44)</f>
        <v>105725</v>
      </c>
      <c r="J38" s="86">
        <f>SUM(J39:J44)</f>
        <v>105725</v>
      </c>
    </row>
    <row r="39" spans="2:10">
      <c r="B39" s="332"/>
      <c r="C39" s="79" t="s">
        <v>173</v>
      </c>
      <c r="D39" s="79"/>
      <c r="E39" s="80"/>
      <c r="F39" s="83">
        <f>+SUELDOS!C27</f>
        <v>50685</v>
      </c>
      <c r="G39" s="83">
        <f>+F39</f>
        <v>50685</v>
      </c>
      <c r="H39" s="83">
        <f>+G39</f>
        <v>50685</v>
      </c>
      <c r="I39" s="83">
        <f>+H39</f>
        <v>50685</v>
      </c>
      <c r="J39" s="83">
        <f>+I39</f>
        <v>50685</v>
      </c>
    </row>
    <row r="40" spans="2:10">
      <c r="B40" s="64" t="s">
        <v>172</v>
      </c>
      <c r="C40" s="79" t="s">
        <v>323</v>
      </c>
      <c r="D40" s="79"/>
      <c r="E40" s="80"/>
      <c r="F40" s="83">
        <f>+COSTOS!$D$34</f>
        <v>8400</v>
      </c>
      <c r="G40" s="83">
        <f>+COSTOS!$D$34</f>
        <v>8400</v>
      </c>
      <c r="H40" s="83">
        <f>+COSTOS!$D$34</f>
        <v>8400</v>
      </c>
      <c r="I40" s="83">
        <f>+COSTOS!$D$34</f>
        <v>8400</v>
      </c>
      <c r="J40" s="83">
        <f>+COSTOS!$D$34</f>
        <v>8400</v>
      </c>
    </row>
    <row r="41" spans="2:10">
      <c r="B41" s="64"/>
      <c r="C41" s="79" t="s">
        <v>175</v>
      </c>
      <c r="D41" s="79"/>
      <c r="E41" s="80"/>
      <c r="F41" s="83">
        <f>+COSTOS!D35+COSTOS!D36+COSTOS!D37</f>
        <v>10200</v>
      </c>
      <c r="G41" s="83">
        <f t="shared" ref="G41:J44" si="2">+F41</f>
        <v>10200</v>
      </c>
      <c r="H41" s="83">
        <f t="shared" si="2"/>
        <v>10200</v>
      </c>
      <c r="I41" s="83">
        <f t="shared" si="2"/>
        <v>10200</v>
      </c>
      <c r="J41" s="83">
        <f t="shared" si="2"/>
        <v>10200</v>
      </c>
    </row>
    <row r="42" spans="2:10">
      <c r="B42" s="64" t="s">
        <v>174</v>
      </c>
      <c r="C42" s="79" t="s">
        <v>176</v>
      </c>
      <c r="D42" s="79"/>
      <c r="E42" s="80"/>
      <c r="F42" s="83">
        <f>+COSTOS!D38</f>
        <v>1200</v>
      </c>
      <c r="G42" s="83">
        <f t="shared" si="2"/>
        <v>1200</v>
      </c>
      <c r="H42" s="83">
        <f t="shared" si="2"/>
        <v>1200</v>
      </c>
      <c r="I42" s="83">
        <f t="shared" si="2"/>
        <v>1200</v>
      </c>
      <c r="J42" s="83">
        <f t="shared" si="2"/>
        <v>1200</v>
      </c>
    </row>
    <row r="43" spans="2:10">
      <c r="B43" s="64"/>
      <c r="C43" s="79" t="s">
        <v>177</v>
      </c>
      <c r="D43" s="79"/>
      <c r="E43" s="80"/>
      <c r="F43" s="83">
        <f>+COSTOS!D39</f>
        <v>30600</v>
      </c>
      <c r="G43" s="83">
        <f t="shared" si="2"/>
        <v>30600</v>
      </c>
      <c r="H43" s="83">
        <f t="shared" si="2"/>
        <v>30600</v>
      </c>
      <c r="I43" s="83">
        <f t="shared" si="2"/>
        <v>30600</v>
      </c>
      <c r="J43" s="83">
        <f t="shared" si="2"/>
        <v>30600</v>
      </c>
    </row>
    <row r="44" spans="2:10">
      <c r="B44" s="64" t="s">
        <v>168</v>
      </c>
      <c r="C44" s="163" t="s">
        <v>346</v>
      </c>
      <c r="D44" s="79"/>
      <c r="E44" s="80"/>
      <c r="F44" s="83">
        <f>+COSTOS!D40</f>
        <v>4640</v>
      </c>
      <c r="G44" s="83">
        <f t="shared" si="2"/>
        <v>4640</v>
      </c>
      <c r="H44" s="83">
        <f t="shared" si="2"/>
        <v>4640</v>
      </c>
      <c r="I44" s="83">
        <f t="shared" si="2"/>
        <v>4640</v>
      </c>
      <c r="J44" s="83">
        <f t="shared" si="2"/>
        <v>4640</v>
      </c>
    </row>
    <row r="45" spans="2:10">
      <c r="B45" s="64"/>
      <c r="C45" s="87" t="s">
        <v>178</v>
      </c>
      <c r="D45" s="87"/>
      <c r="E45" s="85"/>
      <c r="F45" s="86">
        <f>F46+F47+F48+F49</f>
        <v>4216</v>
      </c>
      <c r="G45" s="86">
        <f>+G46+G47+G48+G49</f>
        <v>4216</v>
      </c>
      <c r="H45" s="86">
        <f>+H46+H47+H48+H49</f>
        <v>4216</v>
      </c>
      <c r="I45" s="86">
        <f>+I46+I47+I49+I48</f>
        <v>4216</v>
      </c>
      <c r="J45" s="86">
        <f>+J46+J47+J49+J48</f>
        <v>4216</v>
      </c>
    </row>
    <row r="46" spans="2:10">
      <c r="B46" s="64"/>
      <c r="C46" s="79" t="s">
        <v>179</v>
      </c>
      <c r="D46" s="79"/>
      <c r="E46" s="80"/>
      <c r="F46" s="83">
        <f>+'VAL. DESECHO'!F9</f>
        <v>1624</v>
      </c>
      <c r="G46" s="83">
        <f t="shared" ref="G46:J49" si="3">+F46</f>
        <v>1624</v>
      </c>
      <c r="H46" s="83">
        <f t="shared" si="3"/>
        <v>1624</v>
      </c>
      <c r="I46" s="83">
        <f t="shared" si="3"/>
        <v>1624</v>
      </c>
      <c r="J46" s="83">
        <f t="shared" si="3"/>
        <v>1624</v>
      </c>
    </row>
    <row r="47" spans="2:10">
      <c r="B47" s="64"/>
      <c r="C47" s="79" t="s">
        <v>180</v>
      </c>
      <c r="D47" s="79"/>
      <c r="E47" s="80"/>
      <c r="F47" s="83">
        <f>+'VAL. DESECHO'!F10</f>
        <v>500</v>
      </c>
      <c r="G47" s="83">
        <f t="shared" si="3"/>
        <v>500</v>
      </c>
      <c r="H47" s="83">
        <f t="shared" si="3"/>
        <v>500</v>
      </c>
      <c r="I47" s="83">
        <f t="shared" si="3"/>
        <v>500</v>
      </c>
      <c r="J47" s="83">
        <f t="shared" si="3"/>
        <v>500</v>
      </c>
    </row>
    <row r="48" spans="2:10">
      <c r="B48" s="64"/>
      <c r="C48" s="79" t="s">
        <v>181</v>
      </c>
      <c r="D48" s="79"/>
      <c r="E48" s="80"/>
      <c r="F48" s="83">
        <f>+'VAL. DESECHO'!F11</f>
        <v>448</v>
      </c>
      <c r="G48" s="83">
        <f t="shared" si="3"/>
        <v>448</v>
      </c>
      <c r="H48" s="83">
        <f t="shared" si="3"/>
        <v>448</v>
      </c>
      <c r="I48" s="83">
        <f t="shared" si="3"/>
        <v>448</v>
      </c>
      <c r="J48" s="83">
        <f t="shared" si="3"/>
        <v>448</v>
      </c>
    </row>
    <row r="49" spans="2:10">
      <c r="B49" s="64"/>
      <c r="C49" s="79" t="s">
        <v>182</v>
      </c>
      <c r="D49" s="79"/>
      <c r="E49" s="80"/>
      <c r="F49" s="83">
        <f>+'VAL. DESECHO'!F12</f>
        <v>1644</v>
      </c>
      <c r="G49" s="83">
        <f t="shared" si="3"/>
        <v>1644</v>
      </c>
      <c r="H49" s="83">
        <f t="shared" si="3"/>
        <v>1644</v>
      </c>
      <c r="I49" s="83">
        <f t="shared" si="3"/>
        <v>1644</v>
      </c>
      <c r="J49" s="83">
        <f t="shared" si="3"/>
        <v>1644</v>
      </c>
    </row>
    <row r="50" spans="2:10">
      <c r="B50" s="64"/>
      <c r="C50" s="84" t="s">
        <v>183</v>
      </c>
      <c r="D50" s="84"/>
      <c r="E50" s="85"/>
      <c r="F50" s="86">
        <f>+F37-F38-F45</f>
        <v>16555.138406249156</v>
      </c>
      <c r="G50" s="86">
        <f>+G37-G38-G45</f>
        <v>20273.889466625173</v>
      </c>
      <c r="H50" s="86">
        <f>+H37-H38-H45</f>
        <v>24113.426683521568</v>
      </c>
      <c r="I50" s="86">
        <f>+I37-I38-I45</f>
        <v>28078.160579851887</v>
      </c>
      <c r="J50" s="86">
        <f>+J37-J38-J45</f>
        <v>32172.681485052657</v>
      </c>
    </row>
    <row r="51" spans="2:10">
      <c r="B51" s="64"/>
      <c r="C51" s="87" t="s">
        <v>184</v>
      </c>
      <c r="D51" s="87"/>
      <c r="E51" s="85"/>
      <c r="F51" s="86">
        <f>+F52</f>
        <v>3225.7827477699834</v>
      </c>
      <c r="G51" s="86">
        <f>+G52</f>
        <v>2710.1816215364402</v>
      </c>
      <c r="H51" s="86">
        <f>+H52</f>
        <v>2136.6784888268703</v>
      </c>
      <c r="I51" s="86">
        <f>+I52</f>
        <v>1498.7709543140161</v>
      </c>
      <c r="J51" s="86">
        <f>+J52</f>
        <v>789.22640367536792</v>
      </c>
    </row>
    <row r="52" spans="2:10">
      <c r="B52" s="64"/>
      <c r="C52" s="79" t="s">
        <v>185</v>
      </c>
      <c r="D52" s="79"/>
      <c r="E52" s="80"/>
      <c r="F52" s="83">
        <f>+AMORTIZACION!D21</f>
        <v>3225.7827477699834</v>
      </c>
      <c r="G52" s="83">
        <f>+AMORTIZACION!D22</f>
        <v>2710.1816215364402</v>
      </c>
      <c r="H52" s="83">
        <f>+AMORTIZACION!D23</f>
        <v>2136.6784888268703</v>
      </c>
      <c r="I52" s="83">
        <f>+AMORTIZACION!D24</f>
        <v>1498.7709543140161</v>
      </c>
      <c r="J52" s="83">
        <f>+AMORTIZACION!D25</f>
        <v>789.22640367536792</v>
      </c>
    </row>
    <row r="53" spans="2:10">
      <c r="B53" s="64"/>
      <c r="C53" s="84" t="s">
        <v>186</v>
      </c>
      <c r="D53" s="84"/>
      <c r="E53" s="85"/>
      <c r="F53" s="86">
        <f>+F50-F51</f>
        <v>13329.355658479173</v>
      </c>
      <c r="G53" s="86">
        <f>+G50-G51</f>
        <v>17563.707845088731</v>
      </c>
      <c r="H53" s="86">
        <f>+H50-H51</f>
        <v>21976.748194694697</v>
      </c>
      <c r="I53" s="86">
        <f>+I50-I51</f>
        <v>26579.389625537871</v>
      </c>
      <c r="J53" s="86">
        <f>+J50-J51</f>
        <v>31383.455081377288</v>
      </c>
    </row>
    <row r="54" spans="2:10">
      <c r="B54" s="64"/>
      <c r="C54" s="134" t="s">
        <v>325</v>
      </c>
      <c r="D54" s="134"/>
      <c r="E54" s="135"/>
      <c r="F54" s="153">
        <f>F53*0.15</f>
        <v>1999.4033487718759</v>
      </c>
      <c r="G54" s="153">
        <f>G53*0.15</f>
        <v>2634.5561767633094</v>
      </c>
      <c r="H54" s="153">
        <f>H53*0.15</f>
        <v>3296.5122292042047</v>
      </c>
      <c r="I54" s="153">
        <f>I53*0.15</f>
        <v>3986.9084438306804</v>
      </c>
      <c r="J54" s="153">
        <f>J53*0.15</f>
        <v>4707.5182622065931</v>
      </c>
    </row>
    <row r="55" spans="2:10" ht="15.75" thickBot="1">
      <c r="B55" s="166"/>
      <c r="C55" s="79" t="s">
        <v>187</v>
      </c>
      <c r="D55" s="79"/>
      <c r="E55" s="80"/>
      <c r="F55" s="83">
        <f>(F53-F54)*0.25</f>
        <v>2832.4880774268245</v>
      </c>
      <c r="G55" s="83">
        <f>(G53-G54)*0.25</f>
        <v>3732.2879170813553</v>
      </c>
      <c r="H55" s="83">
        <f>(H53-H54)*0.25</f>
        <v>4670.0589913726235</v>
      </c>
      <c r="I55" s="83">
        <f>(I53-I54)*0.25</f>
        <v>5648.1202954267974</v>
      </c>
      <c r="J55" s="83">
        <f>(J53-J54)*0.25</f>
        <v>6668.9842047926741</v>
      </c>
    </row>
    <row r="56" spans="2:10">
      <c r="B56" s="370" t="s">
        <v>238</v>
      </c>
      <c r="C56" s="84" t="s">
        <v>188</v>
      </c>
      <c r="D56" s="84"/>
      <c r="E56" s="85"/>
      <c r="F56" s="86">
        <f>+F53-F55-F54</f>
        <v>8497.4642322804739</v>
      </c>
      <c r="G56" s="86">
        <f>+G53-G55-G54</f>
        <v>11196.863751244065</v>
      </c>
      <c r="H56" s="86">
        <f>+H53-H55-H54</f>
        <v>14010.176974117867</v>
      </c>
      <c r="I56" s="86">
        <f>+I53-I55-I54</f>
        <v>16944.360886280392</v>
      </c>
      <c r="J56" s="86">
        <f>+J53-J55-J54</f>
        <v>20006.952614378024</v>
      </c>
    </row>
    <row r="57" spans="2:10">
      <c r="B57" s="371"/>
      <c r="C57" s="79" t="s">
        <v>189</v>
      </c>
      <c r="D57" s="88"/>
      <c r="E57" s="80"/>
      <c r="F57" s="83">
        <f>+F45</f>
        <v>4216</v>
      </c>
      <c r="G57" s="83">
        <f>+G45</f>
        <v>4216</v>
      </c>
      <c r="H57" s="83">
        <f>+H45</f>
        <v>4216</v>
      </c>
      <c r="I57" s="83">
        <f>+I45</f>
        <v>4216</v>
      </c>
      <c r="J57" s="83">
        <f>+J45</f>
        <v>4216</v>
      </c>
    </row>
    <row r="58" spans="2:10">
      <c r="B58" s="371"/>
      <c r="C58" s="79" t="s">
        <v>190</v>
      </c>
      <c r="D58" s="88"/>
      <c r="E58" s="80"/>
      <c r="F58" s="83">
        <f>+AMORTIZACION!C21</f>
        <v>4591.2834036824843</v>
      </c>
      <c r="G58" s="83">
        <f>+AMORTIZACION!C22</f>
        <v>5106.8845299160275</v>
      </c>
      <c r="H58" s="83">
        <f>+AMORTIZACION!C23</f>
        <v>5680.3876626255969</v>
      </c>
      <c r="I58" s="83">
        <f>+AMORTIZACION!C24</f>
        <v>6318.2951971384509</v>
      </c>
      <c r="J58" s="83">
        <f>+AMORTIZACION!C25</f>
        <v>7027.8397477770995</v>
      </c>
    </row>
    <row r="59" spans="2:10">
      <c r="B59" s="371"/>
      <c r="C59" s="79" t="s">
        <v>191</v>
      </c>
      <c r="D59" s="88"/>
      <c r="E59" s="83">
        <f>-INVERSION!B14</f>
        <v>-45546</v>
      </c>
      <c r="F59" s="83"/>
      <c r="G59" s="83"/>
      <c r="H59" s="83"/>
      <c r="I59" s="83"/>
      <c r="J59" s="83"/>
    </row>
    <row r="60" spans="2:10">
      <c r="B60" s="371"/>
      <c r="C60" s="79" t="s">
        <v>192</v>
      </c>
      <c r="D60" s="88"/>
      <c r="E60" s="83">
        <f>-INVERSION!B17</f>
        <v>-18286.64564697702</v>
      </c>
      <c r="F60" s="83"/>
      <c r="G60" s="83"/>
      <c r="H60" s="83"/>
      <c r="I60" s="83"/>
      <c r="J60" s="83">
        <f>-E60</f>
        <v>18286.64564697702</v>
      </c>
    </row>
    <row r="61" spans="2:10">
      <c r="B61" s="371"/>
      <c r="C61" s="79" t="s">
        <v>193</v>
      </c>
      <c r="D61" s="88"/>
      <c r="E61" s="83">
        <f>+INVERSION!C32</f>
        <v>28724.690541139658</v>
      </c>
      <c r="F61" s="83"/>
      <c r="G61" s="83"/>
      <c r="H61" s="83"/>
      <c r="I61" s="83"/>
      <c r="J61" s="83"/>
    </row>
    <row r="62" spans="2:10">
      <c r="B62" s="371"/>
      <c r="C62" s="79" t="s">
        <v>194</v>
      </c>
      <c r="D62" s="88"/>
      <c r="E62" s="80"/>
      <c r="F62" s="83"/>
      <c r="G62" s="83"/>
      <c r="H62" s="83"/>
      <c r="I62" s="83"/>
      <c r="J62" s="83">
        <f>+'VAL. DESECHO'!I13</f>
        <v>2344</v>
      </c>
    </row>
    <row r="63" spans="2:10" ht="15.75" thickBot="1">
      <c r="B63" s="372"/>
      <c r="C63" s="84" t="s">
        <v>195</v>
      </c>
      <c r="D63" s="89"/>
      <c r="E63" s="90">
        <f>+SUM(E59:E61)</f>
        <v>-35107.955105837362</v>
      </c>
      <c r="F63" s="90">
        <f>+F56+F57-F58</f>
        <v>8122.1808285979896</v>
      </c>
      <c r="G63" s="90">
        <f>+G56+G57-G58</f>
        <v>10305.979221328038</v>
      </c>
      <c r="H63" s="90">
        <f>+H56+H57-H58</f>
        <v>12545.789311492268</v>
      </c>
      <c r="I63" s="90">
        <f>+I56+I57-I58</f>
        <v>14842.065689141942</v>
      </c>
      <c r="J63" s="90">
        <f>+J56+J57+J60+J62-J58</f>
        <v>37825.758513577945</v>
      </c>
    </row>
    <row r="64" spans="2:10">
      <c r="B64" s="309"/>
      <c r="C64" s="333" t="s">
        <v>105</v>
      </c>
      <c r="D64" s="333"/>
      <c r="E64" s="297">
        <f>+CAPM!B18</f>
        <v>0.18580725000000003</v>
      </c>
      <c r="F64" s="334"/>
      <c r="G64" s="334"/>
      <c r="H64" s="334"/>
      <c r="I64" s="309"/>
      <c r="J64" s="309"/>
    </row>
    <row r="65" spans="2:10">
      <c r="B65" s="309"/>
      <c r="C65" s="110" t="s">
        <v>196</v>
      </c>
      <c r="D65" s="110"/>
      <c r="E65" s="323">
        <f>NPV(E64,F63:J63)+(E63)</f>
        <v>10234.51750917537</v>
      </c>
      <c r="F65" s="335"/>
      <c r="G65" s="335"/>
      <c r="H65" s="335"/>
      <c r="I65" s="309"/>
      <c r="J65" s="309"/>
    </row>
    <row r="66" spans="2:10">
      <c r="B66" s="309"/>
      <c r="C66" s="110" t="s">
        <v>197</v>
      </c>
      <c r="D66" s="110"/>
      <c r="E66" s="324">
        <f>IRR(E63:J63)</f>
        <v>0.28053836961381379</v>
      </c>
      <c r="F66" s="309"/>
      <c r="G66" s="309"/>
      <c r="H66" s="309"/>
      <c r="I66" s="309"/>
      <c r="J66" s="309"/>
    </row>
    <row r="73" spans="2:10">
      <c r="E73" s="76"/>
    </row>
    <row r="74" spans="2:10">
      <c r="E74" s="70"/>
    </row>
    <row r="75" spans="2:10">
      <c r="E75" s="70"/>
    </row>
  </sheetData>
  <mergeCells count="4">
    <mergeCell ref="B2:J2"/>
    <mergeCell ref="B3:J3"/>
    <mergeCell ref="E4:J4"/>
    <mergeCell ref="B56:B63"/>
  </mergeCells>
  <phoneticPr fontId="15" type="noConversion"/>
  <pageMargins left="0.75" right="0.75" top="1" bottom="1" header="0" footer="0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90"/>
  <sheetViews>
    <sheetView topLeftCell="A41" workbookViewId="0">
      <selection activeCell="F92" sqref="F92"/>
    </sheetView>
  </sheetViews>
  <sheetFormatPr baseColWidth="10" defaultRowHeight="15"/>
  <cols>
    <col min="2" max="2" width="30" customWidth="1"/>
    <col min="3" max="3" width="20.85546875" customWidth="1"/>
    <col min="4" max="4" width="16.140625" customWidth="1"/>
    <col min="5" max="5" width="12.5703125" customWidth="1"/>
    <col min="6" max="6" width="28.140625" customWidth="1"/>
    <col min="7" max="7" width="19.7109375" customWidth="1"/>
    <col min="8" max="8" width="17" customWidth="1"/>
  </cols>
  <sheetData>
    <row r="3" spans="2:6">
      <c r="B3" s="219" t="s">
        <v>10</v>
      </c>
      <c r="C3" s="219" t="s">
        <v>33</v>
      </c>
      <c r="D3" s="267" t="s">
        <v>230</v>
      </c>
      <c r="E3" s="219" t="s">
        <v>34</v>
      </c>
    </row>
    <row r="4" spans="2:6" ht="15.75">
      <c r="B4" s="35" t="s">
        <v>229</v>
      </c>
      <c r="C4" s="234">
        <v>3</v>
      </c>
      <c r="D4" s="270">
        <v>1500</v>
      </c>
      <c r="E4" s="270">
        <f>+C4*D4</f>
        <v>4500</v>
      </c>
      <c r="F4" s="77"/>
    </row>
    <row r="5" spans="2:6" ht="15.75">
      <c r="B5" s="35" t="s">
        <v>369</v>
      </c>
      <c r="C5" s="234">
        <v>1</v>
      </c>
      <c r="D5" s="270">
        <v>2000</v>
      </c>
      <c r="E5" s="270">
        <f>+C5*D5</f>
        <v>2000</v>
      </c>
      <c r="F5" s="77"/>
    </row>
    <row r="6" spans="2:6" ht="15.75">
      <c r="B6" s="35" t="s">
        <v>207</v>
      </c>
      <c r="C6" s="234">
        <v>3</v>
      </c>
      <c r="D6" s="270">
        <v>280</v>
      </c>
      <c r="E6" s="270">
        <f>+C6*D6</f>
        <v>840</v>
      </c>
      <c r="F6" s="77"/>
    </row>
    <row r="7" spans="2:6">
      <c r="B7" s="267" t="s">
        <v>35</v>
      </c>
      <c r="C7" s="268"/>
      <c r="D7" s="268"/>
      <c r="E7" s="269">
        <f>SUM(E4:E6)</f>
        <v>7340</v>
      </c>
    </row>
    <row r="11" spans="2:6" ht="15.75">
      <c r="B11" s="207" t="s">
        <v>326</v>
      </c>
      <c r="C11" s="207" t="s">
        <v>208</v>
      </c>
      <c r="D11" s="207" t="s">
        <v>209</v>
      </c>
      <c r="E11" s="207" t="s">
        <v>210</v>
      </c>
    </row>
    <row r="12" spans="2:6" ht="15.75">
      <c r="B12" s="8" t="s">
        <v>211</v>
      </c>
      <c r="C12" s="7">
        <v>64</v>
      </c>
      <c r="D12" s="8" t="s">
        <v>212</v>
      </c>
      <c r="E12" s="7">
        <f>+E27</f>
        <v>3690</v>
      </c>
    </row>
    <row r="13" spans="2:6" ht="15.75">
      <c r="B13" s="8" t="s">
        <v>213</v>
      </c>
      <c r="C13" s="7">
        <v>7</v>
      </c>
      <c r="D13" s="7">
        <v>548</v>
      </c>
      <c r="E13" s="7">
        <f>+D13*C13</f>
        <v>3836</v>
      </c>
    </row>
    <row r="14" spans="2:6" ht="15.75">
      <c r="B14" s="8" t="s">
        <v>214</v>
      </c>
      <c r="C14" s="7">
        <v>1</v>
      </c>
      <c r="D14" s="7">
        <v>2500</v>
      </c>
      <c r="E14" s="7">
        <f>+D14*C14</f>
        <v>2500</v>
      </c>
    </row>
    <row r="15" spans="2:6" ht="15.75">
      <c r="B15" s="8" t="s">
        <v>233</v>
      </c>
      <c r="C15" s="7">
        <v>1</v>
      </c>
      <c r="D15" s="7">
        <v>180</v>
      </c>
      <c r="E15" s="7">
        <f>+D15*C15</f>
        <v>180</v>
      </c>
    </row>
    <row r="16" spans="2:6" ht="15.75">
      <c r="B16" s="8" t="s">
        <v>234</v>
      </c>
      <c r="C16" s="7">
        <v>1</v>
      </c>
      <c r="D16" s="7">
        <v>2500</v>
      </c>
      <c r="E16" s="7">
        <f>+D16*C16</f>
        <v>2500</v>
      </c>
    </row>
    <row r="17" spans="2:6" ht="15.75">
      <c r="B17" s="208" t="s">
        <v>35</v>
      </c>
      <c r="C17" s="209"/>
      <c r="D17" s="209"/>
      <c r="E17" s="209">
        <f>SUM(E12:E16)</f>
        <v>12706</v>
      </c>
    </row>
    <row r="19" spans="2:6" ht="15.75">
      <c r="E19" s="77"/>
    </row>
    <row r="20" spans="2:6" ht="15.75">
      <c r="B20" s="203" t="s">
        <v>380</v>
      </c>
      <c r="C20" s="203" t="s">
        <v>208</v>
      </c>
      <c r="D20" s="203" t="s">
        <v>209</v>
      </c>
      <c r="E20" s="203" t="s">
        <v>210</v>
      </c>
    </row>
    <row r="21" spans="2:6" ht="15.75">
      <c r="B21" s="8" t="s">
        <v>215</v>
      </c>
      <c r="C21" s="7">
        <v>6</v>
      </c>
      <c r="D21" s="7">
        <v>125</v>
      </c>
      <c r="E21" s="7">
        <f t="shared" ref="E21:E26" si="0">+C21*D21</f>
        <v>750</v>
      </c>
    </row>
    <row r="22" spans="2:6" ht="15.75">
      <c r="B22" s="8" t="s">
        <v>216</v>
      </c>
      <c r="C22" s="7">
        <v>6</v>
      </c>
      <c r="D22" s="7">
        <v>45</v>
      </c>
      <c r="E22" s="7">
        <f t="shared" si="0"/>
        <v>270</v>
      </c>
    </row>
    <row r="23" spans="2:6" ht="15.75">
      <c r="B23" s="8" t="s">
        <v>243</v>
      </c>
      <c r="C23" s="7">
        <v>9</v>
      </c>
      <c r="D23" s="7">
        <v>20</v>
      </c>
      <c r="E23" s="7">
        <f t="shared" si="0"/>
        <v>180</v>
      </c>
    </row>
    <row r="24" spans="2:6" ht="15.75">
      <c r="B24" s="8" t="s">
        <v>217</v>
      </c>
      <c r="C24" s="7">
        <v>9</v>
      </c>
      <c r="D24" s="7">
        <v>60</v>
      </c>
      <c r="E24" s="7">
        <f t="shared" si="0"/>
        <v>540</v>
      </c>
      <c r="F24" s="36"/>
    </row>
    <row r="25" spans="2:6" ht="15.75">
      <c r="B25" s="8" t="s">
        <v>218</v>
      </c>
      <c r="C25" s="7">
        <v>9</v>
      </c>
      <c r="D25" s="7">
        <v>50</v>
      </c>
      <c r="E25" s="7">
        <f t="shared" si="0"/>
        <v>450</v>
      </c>
    </row>
    <row r="26" spans="2:6" ht="15.75">
      <c r="B26" s="8" t="s">
        <v>219</v>
      </c>
      <c r="C26" s="7">
        <v>5</v>
      </c>
      <c r="D26" s="7">
        <v>300</v>
      </c>
      <c r="E26" s="7">
        <f t="shared" si="0"/>
        <v>1500</v>
      </c>
    </row>
    <row r="27" spans="2:6" ht="15.75">
      <c r="B27" s="204" t="s">
        <v>35</v>
      </c>
      <c r="C27" s="206"/>
      <c r="D27" s="206" t="s">
        <v>220</v>
      </c>
      <c r="E27" s="237">
        <f>SUM(E21:E26)</f>
        <v>3690</v>
      </c>
    </row>
    <row r="32" spans="2:6">
      <c r="B32" s="146"/>
    </row>
    <row r="33" spans="2:8" ht="33" customHeight="1">
      <c r="B33" s="211" t="s">
        <v>377</v>
      </c>
      <c r="C33" s="212" t="s">
        <v>44</v>
      </c>
      <c r="D33" s="212" t="s">
        <v>45</v>
      </c>
      <c r="F33" s="218" t="s">
        <v>267</v>
      </c>
      <c r="G33" s="219" t="s">
        <v>44</v>
      </c>
      <c r="H33" s="219" t="s">
        <v>45</v>
      </c>
    </row>
    <row r="34" spans="2:8" ht="18" customHeight="1">
      <c r="B34" s="107" t="s">
        <v>327</v>
      </c>
      <c r="C34" s="106">
        <v>700</v>
      </c>
      <c r="D34" s="109">
        <f>+C34*12</f>
        <v>8400</v>
      </c>
      <c r="F34" s="277" t="s">
        <v>327</v>
      </c>
      <c r="G34" s="278">
        <v>700</v>
      </c>
      <c r="H34" s="278">
        <f>+G34*12</f>
        <v>8400</v>
      </c>
    </row>
    <row r="35" spans="2:8">
      <c r="B35" s="108" t="s">
        <v>1</v>
      </c>
      <c r="C35" s="12">
        <v>400</v>
      </c>
      <c r="D35" s="12">
        <f>+C35*12</f>
        <v>4800</v>
      </c>
      <c r="F35" s="277" t="s">
        <v>344</v>
      </c>
      <c r="G35" s="277"/>
      <c r="H35" s="278">
        <f>+SUELDOS!C27</f>
        <v>50685</v>
      </c>
    </row>
    <row r="36" spans="2:8">
      <c r="B36" s="108" t="s">
        <v>2</v>
      </c>
      <c r="C36" s="12">
        <v>200</v>
      </c>
      <c r="D36" s="12">
        <f>+C36*12</f>
        <v>2400</v>
      </c>
      <c r="F36" s="277" t="s">
        <v>345</v>
      </c>
      <c r="G36" s="277"/>
      <c r="H36" s="277">
        <f>+'VAL. DESECHO'!F13</f>
        <v>4216</v>
      </c>
    </row>
    <row r="37" spans="2:8">
      <c r="B37" s="108" t="s">
        <v>3</v>
      </c>
      <c r="C37" s="12">
        <v>250</v>
      </c>
      <c r="D37" s="12">
        <f>+C37*12</f>
        <v>3000</v>
      </c>
      <c r="F37" s="267" t="s">
        <v>14</v>
      </c>
      <c r="G37" s="279"/>
      <c r="H37" s="280">
        <f>SUM(H34:H36)</f>
        <v>63301</v>
      </c>
    </row>
    <row r="38" spans="2:8">
      <c r="B38" s="108" t="s">
        <v>4</v>
      </c>
      <c r="C38" s="12">
        <v>100</v>
      </c>
      <c r="D38" s="12">
        <f>+C38*12</f>
        <v>1200</v>
      </c>
    </row>
    <row r="39" spans="2:8">
      <c r="B39" s="108" t="s">
        <v>5</v>
      </c>
      <c r="C39" s="12">
        <f>+D39/12</f>
        <v>2550</v>
      </c>
      <c r="D39" s="12">
        <f>+G73</f>
        <v>30600</v>
      </c>
    </row>
    <row r="40" spans="2:8" ht="28.5">
      <c r="B40" s="108" t="s">
        <v>46</v>
      </c>
      <c r="C40" s="12">
        <f>+D40/12</f>
        <v>386.66666666666669</v>
      </c>
      <c r="D40" s="12">
        <f>+D81</f>
        <v>4640</v>
      </c>
    </row>
    <row r="41" spans="2:8" ht="45">
      <c r="B41" s="215" t="s">
        <v>339</v>
      </c>
      <c r="C41" s="216"/>
      <c r="D41" s="217">
        <f>SUM(D34:D40)</f>
        <v>55040</v>
      </c>
    </row>
    <row r="42" spans="2:8">
      <c r="B42" s="141"/>
      <c r="C42" s="139"/>
      <c r="D42" s="140"/>
    </row>
    <row r="43" spans="2:8">
      <c r="B43" s="141"/>
      <c r="C43" s="139"/>
      <c r="D43" s="140"/>
    </row>
    <row r="44" spans="2:8">
      <c r="B44" s="93" t="s">
        <v>6</v>
      </c>
      <c r="D44" s="140"/>
    </row>
    <row r="45" spans="2:8">
      <c r="B45" s="93" t="s">
        <v>265</v>
      </c>
      <c r="C45" s="93" t="s">
        <v>264</v>
      </c>
      <c r="D45" s="140"/>
    </row>
    <row r="46" spans="2:8">
      <c r="B46" s="9" t="s">
        <v>7</v>
      </c>
      <c r="C46" s="31">
        <f>+SUELDOS!C20</f>
        <v>16440</v>
      </c>
      <c r="D46" s="140"/>
    </row>
    <row r="47" spans="2:8">
      <c r="B47" s="9" t="str">
        <f>+SUELDOS!B6</f>
        <v>Jefe de Marketing y Vtas</v>
      </c>
      <c r="C47" s="31">
        <f>+SUELDOS!C21</f>
        <v>8340</v>
      </c>
      <c r="D47" s="140"/>
    </row>
    <row r="48" spans="2:8">
      <c r="B48" s="9" t="str">
        <f>+SUELDOS!B7</f>
        <v>Jefe Administrativo</v>
      </c>
      <c r="C48" s="31">
        <f>+SUELDOS!C22</f>
        <v>8340</v>
      </c>
      <c r="D48" s="140"/>
    </row>
    <row r="49" spans="2:5">
      <c r="B49" s="9" t="s">
        <v>40</v>
      </c>
      <c r="C49" s="31">
        <f>+SUELDOS!C23</f>
        <v>5640</v>
      </c>
      <c r="D49" s="140"/>
    </row>
    <row r="50" spans="2:5">
      <c r="B50" s="9" t="s">
        <v>41</v>
      </c>
      <c r="C50" s="31">
        <f>+SUELDOS!C24</f>
        <v>4020</v>
      </c>
      <c r="D50" s="140"/>
    </row>
    <row r="51" spans="2:5">
      <c r="B51" s="9" t="s">
        <v>42</v>
      </c>
      <c r="C51" s="31">
        <f>+SUELDOS!C25</f>
        <v>3615</v>
      </c>
      <c r="D51" s="140"/>
    </row>
    <row r="52" spans="2:5">
      <c r="B52" s="9" t="s">
        <v>43</v>
      </c>
      <c r="C52" s="31">
        <f>+SUELDOS!C26</f>
        <v>4290</v>
      </c>
    </row>
    <row r="53" spans="2:5">
      <c r="B53" s="104" t="s">
        <v>14</v>
      </c>
      <c r="C53" s="105">
        <f>SUM(C46:C52)</f>
        <v>50685</v>
      </c>
    </row>
    <row r="54" spans="2:5">
      <c r="B54" s="147"/>
      <c r="C54" s="148"/>
    </row>
    <row r="55" spans="2:5">
      <c r="B55" s="147"/>
      <c r="C55" s="148"/>
    </row>
    <row r="56" spans="2:5">
      <c r="B56" s="147" t="s">
        <v>0</v>
      </c>
      <c r="C56" s="148"/>
    </row>
    <row r="57" spans="2:5">
      <c r="B57" s="345" t="s">
        <v>25</v>
      </c>
      <c r="C57" s="345" t="s">
        <v>26</v>
      </c>
      <c r="D57" s="222" t="s">
        <v>27</v>
      </c>
      <c r="E57" s="222" t="s">
        <v>39</v>
      </c>
    </row>
    <row r="58" spans="2:5">
      <c r="B58" s="345"/>
      <c r="C58" s="345"/>
      <c r="D58" s="222" t="s">
        <v>28</v>
      </c>
      <c r="E58" s="222" t="s">
        <v>14</v>
      </c>
    </row>
    <row r="59" spans="2:5">
      <c r="B59" s="345"/>
      <c r="C59" s="345"/>
      <c r="D59" s="222" t="s">
        <v>14</v>
      </c>
      <c r="E59" s="222" t="s">
        <v>29</v>
      </c>
    </row>
    <row r="60" spans="2:5" ht="15.75">
      <c r="B60" s="94">
        <v>1</v>
      </c>
      <c r="C60" s="95" t="s">
        <v>370</v>
      </c>
      <c r="D60" s="96">
        <f>+SUELDOS!C10</f>
        <v>600</v>
      </c>
      <c r="E60" s="97">
        <f>+D60*B60*12</f>
        <v>7200</v>
      </c>
    </row>
    <row r="61" spans="2:5" ht="15.75">
      <c r="B61" s="94">
        <v>1</v>
      </c>
      <c r="C61" s="95" t="s">
        <v>31</v>
      </c>
      <c r="D61" s="94">
        <f>+SUELDOS!C11</f>
        <v>500</v>
      </c>
      <c r="E61" s="97">
        <f>+D61*B61*12</f>
        <v>6000</v>
      </c>
    </row>
    <row r="62" spans="2:5" ht="15.75">
      <c r="B62" s="94">
        <v>5</v>
      </c>
      <c r="C62" s="95" t="s">
        <v>30</v>
      </c>
      <c r="D62" s="94">
        <f>+SUELDOS!C12</f>
        <v>350</v>
      </c>
      <c r="E62" s="97">
        <f>+D62*B62*12</f>
        <v>21000</v>
      </c>
    </row>
    <row r="63" spans="2:5" ht="15.75">
      <c r="B63" s="223"/>
      <c r="C63" s="207" t="s">
        <v>14</v>
      </c>
      <c r="D63" s="207">
        <f>SUM(D60:D62)</f>
        <v>1450</v>
      </c>
      <c r="E63" s="209">
        <f>SUM(E60:E62)</f>
        <v>34200</v>
      </c>
    </row>
    <row r="67" spans="2:7" ht="15.75">
      <c r="B67" s="145" t="s">
        <v>322</v>
      </c>
    </row>
    <row r="68" spans="2:7" ht="15.75">
      <c r="B68" s="346"/>
      <c r="C68" s="347" t="s">
        <v>33</v>
      </c>
      <c r="D68" s="347" t="s">
        <v>266</v>
      </c>
      <c r="E68" s="347" t="s">
        <v>226</v>
      </c>
      <c r="F68" s="210" t="s">
        <v>350</v>
      </c>
      <c r="G68" s="341" t="s">
        <v>228</v>
      </c>
    </row>
    <row r="69" spans="2:7" ht="15.75">
      <c r="B69" s="346"/>
      <c r="C69" s="347"/>
      <c r="D69" s="347"/>
      <c r="E69" s="347"/>
      <c r="F69" s="210" t="s">
        <v>227</v>
      </c>
      <c r="G69" s="341"/>
    </row>
    <row r="70" spans="2:7" ht="15.75">
      <c r="B70" s="172" t="s">
        <v>338</v>
      </c>
      <c r="C70" s="3">
        <v>2</v>
      </c>
      <c r="D70" s="3">
        <v>15</v>
      </c>
      <c r="E70" s="3">
        <v>10</v>
      </c>
      <c r="F70" s="7">
        <f>+C70*D70*E70</f>
        <v>300</v>
      </c>
      <c r="G70" s="149">
        <f>+F70*12</f>
        <v>3600</v>
      </c>
    </row>
    <row r="71" spans="2:7" ht="15.75">
      <c r="B71" s="8" t="s">
        <v>225</v>
      </c>
      <c r="C71" s="170">
        <v>3</v>
      </c>
      <c r="D71" s="9"/>
      <c r="E71" s="9"/>
      <c r="F71" s="8">
        <v>1500</v>
      </c>
      <c r="G71" s="7">
        <f>+F71*10</f>
        <v>15000</v>
      </c>
    </row>
    <row r="72" spans="2:7" ht="15.75">
      <c r="B72" s="172" t="s">
        <v>352</v>
      </c>
      <c r="C72" s="3"/>
      <c r="D72" s="3"/>
      <c r="E72" s="3"/>
      <c r="F72" s="173">
        <v>1000</v>
      </c>
      <c r="G72" s="149">
        <f>+F72*12</f>
        <v>12000</v>
      </c>
    </row>
    <row r="73" spans="2:7" ht="15.75">
      <c r="B73" s="342" t="s">
        <v>14</v>
      </c>
      <c r="C73" s="343"/>
      <c r="D73" s="343"/>
      <c r="E73" s="344"/>
      <c r="F73" s="149"/>
      <c r="G73" s="149">
        <f>SUM(G70:G72)</f>
        <v>30600</v>
      </c>
    </row>
    <row r="78" spans="2:7" ht="15.75">
      <c r="B78" s="210" t="s">
        <v>8</v>
      </c>
      <c r="C78" s="210" t="s">
        <v>128</v>
      </c>
      <c r="D78" s="210" t="s">
        <v>18</v>
      </c>
    </row>
    <row r="79" spans="2:7" ht="15.75">
      <c r="B79" s="7" t="s">
        <v>231</v>
      </c>
      <c r="C79" s="271">
        <f>+D79/12</f>
        <v>186.66666666666666</v>
      </c>
      <c r="D79" s="7">
        <f>+C86+C87+C88+C89</f>
        <v>2240</v>
      </c>
    </row>
    <row r="80" spans="2:7" ht="15.75">
      <c r="B80" s="7" t="s">
        <v>232</v>
      </c>
      <c r="C80" s="270">
        <f>+D80/12</f>
        <v>200</v>
      </c>
      <c r="D80" s="7">
        <v>2400</v>
      </c>
    </row>
    <row r="81" spans="2:4" ht="15.75">
      <c r="B81" s="224" t="s">
        <v>14</v>
      </c>
      <c r="C81" s="225"/>
      <c r="D81" s="224">
        <f>SUM(D79:D80)</f>
        <v>4640</v>
      </c>
    </row>
    <row r="84" spans="2:4">
      <c r="B84" s="93" t="s">
        <v>241</v>
      </c>
    </row>
    <row r="85" spans="2:4" ht="15.75">
      <c r="B85" s="207" t="s">
        <v>221</v>
      </c>
      <c r="C85" s="207" t="s">
        <v>34</v>
      </c>
    </row>
    <row r="86" spans="2:4" ht="15.75">
      <c r="B86" s="8" t="s">
        <v>222</v>
      </c>
      <c r="C86" s="7">
        <v>110</v>
      </c>
    </row>
    <row r="87" spans="2:4" ht="15.75">
      <c r="B87" s="8" t="s">
        <v>223</v>
      </c>
      <c r="C87" s="7">
        <v>30</v>
      </c>
    </row>
    <row r="88" spans="2:4" ht="15.75">
      <c r="B88" s="8" t="s">
        <v>224</v>
      </c>
      <c r="C88" s="7">
        <v>300</v>
      </c>
    </row>
    <row r="89" spans="2:4" ht="15.75">
      <c r="B89" s="8" t="s">
        <v>242</v>
      </c>
      <c r="C89" s="7">
        <v>1800</v>
      </c>
    </row>
    <row r="90" spans="2:4" ht="15.75">
      <c r="B90" s="208" t="s">
        <v>35</v>
      </c>
      <c r="C90" s="226">
        <f>SUM(C84:C89)</f>
        <v>2240</v>
      </c>
    </row>
  </sheetData>
  <mergeCells count="8">
    <mergeCell ref="G68:G69"/>
    <mergeCell ref="B73:E73"/>
    <mergeCell ref="B57:B59"/>
    <mergeCell ref="C57:C59"/>
    <mergeCell ref="B68:B69"/>
    <mergeCell ref="C68:C69"/>
    <mergeCell ref="D68:D69"/>
    <mergeCell ref="E68:E69"/>
  </mergeCells>
  <phoneticPr fontId="15" type="noConversion"/>
  <pageMargins left="0.75" right="0.75" top="1" bottom="1" header="0" footer="0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"/>
  <sheetViews>
    <sheetView topLeftCell="A22" workbookViewId="0">
      <selection activeCell="C32" sqref="C32"/>
    </sheetView>
  </sheetViews>
  <sheetFormatPr baseColWidth="10" defaultRowHeight="15"/>
  <cols>
    <col min="1" max="1" width="47.42578125" customWidth="1"/>
    <col min="2" max="2" width="26.140625" customWidth="1"/>
    <col min="3" max="3" width="20.5703125" customWidth="1"/>
    <col min="7" max="7" width="22.5703125" customWidth="1"/>
    <col min="8" max="8" width="15.140625" customWidth="1"/>
    <col min="9" max="9" width="11.42578125" customWidth="1"/>
  </cols>
  <sheetData>
    <row r="1" spans="1:5">
      <c r="D1" s="1"/>
      <c r="E1" s="1"/>
    </row>
    <row r="2" spans="1:5">
      <c r="A2" s="122" t="s">
        <v>328</v>
      </c>
    </row>
    <row r="4" spans="1:5" ht="15.75">
      <c r="A4" s="207" t="s">
        <v>8</v>
      </c>
      <c r="B4" s="208" t="s">
        <v>9</v>
      </c>
    </row>
    <row r="5" spans="1:5" ht="15.75">
      <c r="A5" s="8" t="s">
        <v>10</v>
      </c>
      <c r="B5" s="171">
        <f>+COSTOS!E7</f>
        <v>7340</v>
      </c>
    </row>
    <row r="6" spans="1:5" ht="15.75">
      <c r="A6" s="8" t="s">
        <v>11</v>
      </c>
      <c r="B6" s="171">
        <v>2500</v>
      </c>
    </row>
    <row r="7" spans="1:5" ht="15.75">
      <c r="A7" s="8" t="s">
        <v>12</v>
      </c>
      <c r="B7" s="106">
        <f>+COSTOS!E27</f>
        <v>3690</v>
      </c>
    </row>
    <row r="8" spans="1:5" ht="15.75">
      <c r="A8" s="8" t="s">
        <v>13</v>
      </c>
      <c r="B8" s="171">
        <f>+COSTOS!E13</f>
        <v>3836</v>
      </c>
    </row>
    <row r="9" spans="1:5" ht="15.75">
      <c r="A9" s="8" t="s">
        <v>233</v>
      </c>
      <c r="B9" s="171">
        <f>+COSTOS!E15</f>
        <v>180</v>
      </c>
    </row>
    <row r="10" spans="1:5" ht="15.75">
      <c r="A10" s="8" t="s">
        <v>234</v>
      </c>
      <c r="B10" s="171">
        <v>2500</v>
      </c>
    </row>
    <row r="11" spans="1:5" ht="15.75">
      <c r="A11" s="8" t="s">
        <v>291</v>
      </c>
      <c r="B11" s="171">
        <v>2500</v>
      </c>
    </row>
    <row r="12" spans="1:5" ht="15.75">
      <c r="A12" s="8" t="s">
        <v>348</v>
      </c>
      <c r="B12" s="171">
        <f>9000*2</f>
        <v>18000</v>
      </c>
    </row>
    <row r="13" spans="1:5" ht="15.75">
      <c r="A13" s="8" t="s">
        <v>351</v>
      </c>
      <c r="B13" s="171">
        <v>5000</v>
      </c>
    </row>
    <row r="14" spans="1:5" ht="15.75">
      <c r="A14" s="208" t="s">
        <v>150</v>
      </c>
      <c r="B14" s="226">
        <f>SUM(B5:B13)</f>
        <v>45546</v>
      </c>
    </row>
    <row r="16" spans="1:5" ht="15.75" thickBot="1"/>
    <row r="17" spans="1:4" ht="16.5" thickBot="1">
      <c r="A17" s="50" t="s">
        <v>148</v>
      </c>
      <c r="B17" s="160">
        <f>-DEFICIT!C8</f>
        <v>18286.64564697702</v>
      </c>
    </row>
    <row r="20" spans="1:4" ht="15.75" thickBot="1"/>
    <row r="21" spans="1:4" ht="15.75" thickBot="1">
      <c r="A21" s="157" t="s">
        <v>149</v>
      </c>
      <c r="B21" s="159"/>
      <c r="C21" s="155"/>
      <c r="D21" s="161"/>
    </row>
    <row r="22" spans="1:4" ht="15.75" thickBot="1">
      <c r="A22" s="51" t="s">
        <v>161</v>
      </c>
      <c r="B22" s="158">
        <f>+B14+B17</f>
        <v>63832.64564697702</v>
      </c>
      <c r="C22" s="156"/>
    </row>
    <row r="25" spans="1:4">
      <c r="B25" s="30"/>
    </row>
    <row r="27" spans="1:4" ht="15.75" thickBot="1">
      <c r="C27" s="238" t="s">
        <v>151</v>
      </c>
    </row>
    <row r="28" spans="1:4">
      <c r="A28" s="272" t="s">
        <v>152</v>
      </c>
      <c r="B28" s="273">
        <v>0.55000000000000004</v>
      </c>
      <c r="C28" s="24">
        <f>+B22*B28</f>
        <v>35107.955105837362</v>
      </c>
    </row>
    <row r="29" spans="1:4">
      <c r="A29" s="348" t="s">
        <v>153</v>
      </c>
      <c r="B29" s="349"/>
      <c r="C29" s="24">
        <f>C28/3</f>
        <v>11702.651701945788</v>
      </c>
    </row>
    <row r="31" spans="1:4">
      <c r="B31" s="52"/>
      <c r="C31" s="275" t="s">
        <v>154</v>
      </c>
    </row>
    <row r="32" spans="1:4">
      <c r="A32" s="238" t="s">
        <v>315</v>
      </c>
      <c r="B32" s="274">
        <v>0.45</v>
      </c>
      <c r="C32" s="150">
        <f>+B22*B32</f>
        <v>28724.690541139658</v>
      </c>
    </row>
  </sheetData>
  <mergeCells count="1">
    <mergeCell ref="A29:B29"/>
  </mergeCells>
  <phoneticPr fontId="15" type="noConversion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F12"/>
  <sheetViews>
    <sheetView workbookViewId="0">
      <selection activeCell="B5" sqref="B5:F10"/>
    </sheetView>
  </sheetViews>
  <sheetFormatPr baseColWidth="10" defaultRowHeight="15"/>
  <cols>
    <col min="2" max="2" width="9.85546875" customWidth="1"/>
    <col min="3" max="3" width="17.5703125" customWidth="1"/>
    <col min="4" max="4" width="16.28515625" customWidth="1"/>
    <col min="5" max="5" width="18.5703125" customWidth="1"/>
    <col min="6" max="6" width="26.42578125" customWidth="1"/>
  </cols>
  <sheetData>
    <row r="3" spans="2:6">
      <c r="C3" s="78"/>
      <c r="D3" s="26" t="s">
        <v>235</v>
      </c>
      <c r="F3" s="78"/>
    </row>
    <row r="4" spans="2:6">
      <c r="B4" s="26" t="s">
        <v>236</v>
      </c>
    </row>
    <row r="5" spans="2:6">
      <c r="B5" s="227" t="s">
        <v>88</v>
      </c>
      <c r="C5" s="228" t="s">
        <v>237</v>
      </c>
      <c r="D5" s="228" t="s">
        <v>238</v>
      </c>
      <c r="E5" s="228" t="s">
        <v>239</v>
      </c>
      <c r="F5" s="228" t="s">
        <v>240</v>
      </c>
    </row>
    <row r="6" spans="2:6">
      <c r="B6" s="9">
        <v>1</v>
      </c>
      <c r="C6" s="13">
        <f>-(EERR!E63)</f>
        <v>35107.955105837362</v>
      </c>
      <c r="D6" s="13">
        <f>+EERR!F63</f>
        <v>8122.1808285979896</v>
      </c>
      <c r="E6" s="24">
        <f>+C6*$C$12</f>
        <v>6523.3125913391004</v>
      </c>
      <c r="F6" s="13">
        <f>+D6-E6</f>
        <v>1598.8682372588892</v>
      </c>
    </row>
    <row r="7" spans="2:6">
      <c r="B7" s="9">
        <v>2</v>
      </c>
      <c r="C7" s="13">
        <f>+C6-F6</f>
        <v>33509.086868578474</v>
      </c>
      <c r="D7" s="13">
        <f>+EERR!G63</f>
        <v>11967.339832037531</v>
      </c>
      <c r="E7" s="24">
        <f>+C7*$C$12</f>
        <v>6226.2312810616786</v>
      </c>
      <c r="F7" s="13">
        <f>+D7-E7</f>
        <v>5741.1085509758523</v>
      </c>
    </row>
    <row r="8" spans="2:6">
      <c r="B8" s="9">
        <v>3</v>
      </c>
      <c r="C8" s="13">
        <f>+C7-F7</f>
        <v>27767.978317602621</v>
      </c>
      <c r="D8" s="13">
        <f>+EERR!H63</f>
        <v>15993.112578714457</v>
      </c>
      <c r="E8" s="24">
        <f>+C8*$C$12</f>
        <v>5159.4916892533702</v>
      </c>
      <c r="F8" s="13">
        <f>+D8-E8</f>
        <v>10833.620889461086</v>
      </c>
    </row>
    <row r="9" spans="2:6">
      <c r="B9" s="229">
        <v>4</v>
      </c>
      <c r="C9" s="230">
        <f>+C8-F8</f>
        <v>16934.357428141535</v>
      </c>
      <c r="D9" s="230">
        <f>+EERR!I63</f>
        <v>20207.222111351904</v>
      </c>
      <c r="E9" s="231">
        <f>+C9*$C$12</f>
        <v>3146.5263842400518</v>
      </c>
      <c r="F9" s="230">
        <f>+D9-E9</f>
        <v>17060.695727111852</v>
      </c>
    </row>
    <row r="10" spans="2:6">
      <c r="B10" s="229">
        <v>5</v>
      </c>
      <c r="C10" s="230">
        <f>+C9-F9</f>
        <v>-126.33829897031683</v>
      </c>
      <c r="D10" s="230">
        <f>+EERR!J63</f>
        <v>45248.2764233157</v>
      </c>
      <c r="E10" s="231">
        <f>+C10*$C$12</f>
        <v>-23.474571901352405</v>
      </c>
      <c r="F10" s="230">
        <f>+D10-E10</f>
        <v>45271.750995217051</v>
      </c>
    </row>
    <row r="12" spans="2:6">
      <c r="B12" s="26" t="s">
        <v>105</v>
      </c>
      <c r="C12" s="92">
        <f>+EERR!E64</f>
        <v>0.18580725000000003</v>
      </c>
    </row>
  </sheetData>
  <phoneticPr fontId="15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C3:I13"/>
  <sheetViews>
    <sheetView workbookViewId="0">
      <selection activeCell="C7" sqref="C7:I13"/>
    </sheetView>
  </sheetViews>
  <sheetFormatPr baseColWidth="10" defaultRowHeight="15"/>
  <cols>
    <col min="3" max="3" width="13.7109375" customWidth="1"/>
    <col min="4" max="4" width="11.28515625" customWidth="1"/>
    <col min="5" max="6" width="11.140625" customWidth="1"/>
    <col min="7" max="7" width="11.7109375" customWidth="1"/>
    <col min="8" max="8" width="12" customWidth="1"/>
    <col min="9" max="9" width="13.7109375" customWidth="1"/>
  </cols>
  <sheetData>
    <row r="3" spans="3:9" ht="15.75">
      <c r="C3" s="350" t="s">
        <v>68</v>
      </c>
      <c r="D3" s="350"/>
      <c r="E3" s="350"/>
    </row>
    <row r="7" spans="3:9">
      <c r="C7" s="351" t="s">
        <v>73</v>
      </c>
      <c r="D7" s="351"/>
      <c r="E7" s="351"/>
      <c r="F7" s="351"/>
      <c r="G7" s="351"/>
      <c r="H7" s="351"/>
      <c r="I7" s="351"/>
    </row>
    <row r="8" spans="3:9">
      <c r="C8" s="198" t="s">
        <v>74</v>
      </c>
      <c r="D8" s="198" t="s">
        <v>75</v>
      </c>
      <c r="E8" s="198" t="s">
        <v>76</v>
      </c>
      <c r="F8" s="198" t="s">
        <v>77</v>
      </c>
      <c r="G8" s="198" t="s">
        <v>78</v>
      </c>
      <c r="H8" s="198" t="s">
        <v>79</v>
      </c>
      <c r="I8" s="198" t="s">
        <v>381</v>
      </c>
    </row>
    <row r="9" spans="3:9">
      <c r="C9" s="180" t="s">
        <v>80</v>
      </c>
      <c r="D9" s="181">
        <v>16240</v>
      </c>
      <c r="E9" s="182">
        <v>10</v>
      </c>
      <c r="F9" s="182">
        <f>+D9/E9</f>
        <v>1624</v>
      </c>
      <c r="G9" s="182">
        <v>10</v>
      </c>
      <c r="H9" s="182">
        <f>+F9*G9</f>
        <v>16240</v>
      </c>
      <c r="I9" s="182">
        <f>+D9-H9</f>
        <v>0</v>
      </c>
    </row>
    <row r="10" spans="3:9">
      <c r="C10" s="180" t="s">
        <v>81</v>
      </c>
      <c r="D10" s="181">
        <v>2500</v>
      </c>
      <c r="E10" s="182">
        <v>5</v>
      </c>
      <c r="F10" s="182">
        <f>+D10/E10</f>
        <v>500</v>
      </c>
      <c r="G10" s="182">
        <v>3</v>
      </c>
      <c r="H10" s="182">
        <f>+F10*G10</f>
        <v>1500</v>
      </c>
      <c r="I10" s="182">
        <f>+D10-H10</f>
        <v>1000</v>
      </c>
    </row>
    <row r="11" spans="3:9">
      <c r="C11" s="180" t="s">
        <v>82</v>
      </c>
      <c r="D11" s="181">
        <v>4480</v>
      </c>
      <c r="E11" s="182">
        <v>10</v>
      </c>
      <c r="F11" s="182">
        <f>+D11/E11</f>
        <v>448</v>
      </c>
      <c r="G11" s="182">
        <v>7</v>
      </c>
      <c r="H11" s="182">
        <f>+F11*G11</f>
        <v>3136</v>
      </c>
      <c r="I11" s="182">
        <f>+D11-H11</f>
        <v>1344</v>
      </c>
    </row>
    <row r="12" spans="3:9">
      <c r="C12" s="180" t="s">
        <v>83</v>
      </c>
      <c r="D12" s="181">
        <v>4932</v>
      </c>
      <c r="E12" s="182">
        <v>3</v>
      </c>
      <c r="F12" s="182">
        <f>+D12/E12</f>
        <v>1644</v>
      </c>
      <c r="G12" s="182">
        <v>3</v>
      </c>
      <c r="H12" s="182">
        <f>+F12*G12</f>
        <v>4932</v>
      </c>
      <c r="I12" s="182">
        <f>+D12-H12</f>
        <v>0</v>
      </c>
    </row>
    <row r="13" spans="3:9">
      <c r="C13" s="352" t="s">
        <v>84</v>
      </c>
      <c r="D13" s="352"/>
      <c r="E13" s="352"/>
      <c r="F13" s="276">
        <f>SUM(F9:F12)</f>
        <v>4216</v>
      </c>
      <c r="G13" s="352" t="s">
        <v>85</v>
      </c>
      <c r="H13" s="352"/>
      <c r="I13" s="276">
        <f>SUM(I9:I12)</f>
        <v>2344</v>
      </c>
    </row>
  </sheetData>
  <mergeCells count="4">
    <mergeCell ref="C3:E3"/>
    <mergeCell ref="C7:I7"/>
    <mergeCell ref="C13:E13"/>
    <mergeCell ref="G13:H13"/>
  </mergeCells>
  <phoneticPr fontId="1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U81"/>
  <sheetViews>
    <sheetView topLeftCell="A59" workbookViewId="0">
      <selection activeCell="C64" sqref="C64"/>
    </sheetView>
  </sheetViews>
  <sheetFormatPr baseColWidth="10" defaultRowHeight="15"/>
  <cols>
    <col min="1" max="1" width="8.5703125" customWidth="1"/>
    <col min="2" max="2" width="28.28515625" customWidth="1"/>
    <col min="3" max="3" width="14" customWidth="1"/>
    <col min="4" max="4" width="15.42578125" customWidth="1"/>
    <col min="5" max="5" width="12.7109375" customWidth="1"/>
    <col min="6" max="6" width="17" customWidth="1"/>
    <col min="7" max="7" width="21.42578125" customWidth="1"/>
    <col min="8" max="8" width="19.28515625" customWidth="1"/>
    <col min="9" max="9" width="11.5703125" bestFit="1" customWidth="1"/>
    <col min="12" max="12" width="21.7109375" customWidth="1"/>
    <col min="13" max="13" width="16" customWidth="1"/>
    <col min="14" max="14" width="14.85546875" customWidth="1"/>
    <col min="17" max="17" width="21.85546875" customWidth="1"/>
    <col min="18" max="18" width="16.28515625" customWidth="1"/>
    <col min="19" max="19" width="11.5703125" bestFit="1" customWidth="1"/>
    <col min="22" max="22" width="13.7109375" customWidth="1"/>
  </cols>
  <sheetData>
    <row r="3" spans="2:6" ht="15.75" thickBot="1"/>
    <row r="4" spans="2:6" ht="16.5" thickBot="1">
      <c r="B4" s="353" t="s">
        <v>15</v>
      </c>
      <c r="C4" s="354"/>
      <c r="D4" s="354"/>
      <c r="E4" s="354"/>
      <c r="F4" s="355"/>
    </row>
    <row r="5" spans="2:6" ht="15.75">
      <c r="B5" s="4" t="s">
        <v>16</v>
      </c>
      <c r="C5" s="5" t="s">
        <v>38</v>
      </c>
      <c r="D5" s="5" t="s">
        <v>98</v>
      </c>
      <c r="E5" s="5" t="s">
        <v>17</v>
      </c>
      <c r="F5" s="6" t="s">
        <v>18</v>
      </c>
    </row>
    <row r="6" spans="2:6" ht="15.75">
      <c r="B6" s="3" t="s">
        <v>19</v>
      </c>
      <c r="C6" s="3"/>
      <c r="D6" s="3"/>
      <c r="E6" s="7"/>
      <c r="F6" s="7"/>
    </row>
    <row r="7" spans="2:6" ht="15.75">
      <c r="B7" s="3" t="s">
        <v>20</v>
      </c>
      <c r="C7" s="121">
        <f>+('INGRESOS Y EGRESOS'!C8+'INGRESOS Y EGRESOS'!C45)/12</f>
        <v>46.311519843049247</v>
      </c>
      <c r="D7" s="3">
        <v>35</v>
      </c>
      <c r="E7" s="10">
        <f>+D7*C7</f>
        <v>1620.9031945067236</v>
      </c>
      <c r="F7" s="10">
        <f t="shared" ref="F7:F12" si="0">+E7*12</f>
        <v>19450.838334080683</v>
      </c>
    </row>
    <row r="8" spans="2:6" ht="15.75">
      <c r="B8" s="3" t="s">
        <v>21</v>
      </c>
      <c r="C8" s="121">
        <f>+('INGRESOS Y EGRESOS'!C17+'INGRESOS Y EGRESOS'!C54)/12</f>
        <v>19.499587302336522</v>
      </c>
      <c r="D8" s="3">
        <v>35</v>
      </c>
      <c r="E8" s="10">
        <f>+D8*C8</f>
        <v>682.48555558177827</v>
      </c>
      <c r="F8" s="10">
        <f t="shared" si="0"/>
        <v>8189.8266669813393</v>
      </c>
    </row>
    <row r="9" spans="2:6" ht="15.75">
      <c r="B9" s="3" t="s">
        <v>22</v>
      </c>
      <c r="C9" s="121">
        <f>+('INGRESOS Y EGRESOS'!C26+'INGRESOS Y EGRESOS'!C63)/12</f>
        <v>17.062138889544457</v>
      </c>
      <c r="D9" s="3">
        <v>32</v>
      </c>
      <c r="E9" s="10">
        <f>+D9*C9</f>
        <v>545.98844446542262</v>
      </c>
      <c r="F9" s="10">
        <f t="shared" si="0"/>
        <v>6551.8613335850714</v>
      </c>
    </row>
    <row r="10" spans="2:6" ht="15.75">
      <c r="B10" s="3" t="s">
        <v>23</v>
      </c>
      <c r="C10" s="121">
        <f>+('INGRESOS Y EGRESOS'!C35+'INGRESOS Y EGRESOS'!C72)/12</f>
        <v>18.280863095940486</v>
      </c>
      <c r="D10" s="3">
        <v>60</v>
      </c>
      <c r="E10" s="10">
        <f>+D10*C10</f>
        <v>1096.8517857564291</v>
      </c>
      <c r="F10" s="10">
        <f t="shared" si="0"/>
        <v>13162.221429077148</v>
      </c>
    </row>
    <row r="11" spans="2:6" ht="15.75">
      <c r="B11" s="3" t="s">
        <v>24</v>
      </c>
      <c r="C11" s="3">
        <v>102</v>
      </c>
      <c r="D11" s="3">
        <v>15</v>
      </c>
      <c r="E11" s="11">
        <f>+D11*C11</f>
        <v>1530</v>
      </c>
      <c r="F11" s="10">
        <f t="shared" si="0"/>
        <v>18360</v>
      </c>
    </row>
    <row r="12" spans="2:6" ht="15.75">
      <c r="B12" s="3" t="s">
        <v>32</v>
      </c>
      <c r="C12" s="3"/>
      <c r="D12" s="8"/>
      <c r="E12" s="10">
        <f>+E23</f>
        <v>2550</v>
      </c>
      <c r="F12" s="10">
        <f t="shared" si="0"/>
        <v>30600</v>
      </c>
    </row>
    <row r="13" spans="2:6" ht="16.5" thickBot="1">
      <c r="B13" s="2"/>
      <c r="C13" s="2"/>
      <c r="D13" s="232" t="s">
        <v>14</v>
      </c>
      <c r="E13" s="233">
        <f>SUM(E7:E12)</f>
        <v>8026.228980310354</v>
      </c>
      <c r="F13" s="233">
        <f>SUM(F7:F12)</f>
        <v>96314.747763724241</v>
      </c>
    </row>
    <row r="15" spans="2:6" ht="15.75">
      <c r="B15" s="152" t="s">
        <v>324</v>
      </c>
    </row>
    <row r="16" spans="2:6">
      <c r="B16" s="219" t="s">
        <v>32</v>
      </c>
      <c r="C16" s="219" t="s">
        <v>33</v>
      </c>
      <c r="D16" s="219" t="s">
        <v>36</v>
      </c>
      <c r="E16" s="219" t="s">
        <v>34</v>
      </c>
      <c r="F16" s="44"/>
    </row>
    <row r="17" spans="2:21" ht="15" customHeight="1">
      <c r="B17" s="235" t="s">
        <v>137</v>
      </c>
      <c r="C17" s="3">
        <v>7</v>
      </c>
      <c r="D17" s="236">
        <v>28</v>
      </c>
      <c r="E17" s="10">
        <f t="shared" ref="E17:E22" si="1">+D17*C17</f>
        <v>196</v>
      </c>
      <c r="F17" s="45"/>
    </row>
    <row r="18" spans="2:21" ht="15.75">
      <c r="B18" s="8" t="s">
        <v>139</v>
      </c>
      <c r="C18" s="3">
        <v>5</v>
      </c>
      <c r="D18" s="236">
        <v>5</v>
      </c>
      <c r="E18" s="10">
        <f t="shared" si="1"/>
        <v>25</v>
      </c>
      <c r="F18" s="45"/>
    </row>
    <row r="19" spans="2:21" ht="15.75">
      <c r="B19" s="8" t="s">
        <v>138</v>
      </c>
      <c r="C19" s="3">
        <v>76</v>
      </c>
      <c r="D19" s="236">
        <v>18</v>
      </c>
      <c r="E19" s="10">
        <f t="shared" si="1"/>
        <v>1368</v>
      </c>
      <c r="F19" s="45"/>
    </row>
    <row r="20" spans="2:21" ht="15.75">
      <c r="B20" s="8" t="s">
        <v>140</v>
      </c>
      <c r="C20" s="3">
        <v>910</v>
      </c>
      <c r="D20" s="236">
        <v>0.5</v>
      </c>
      <c r="E20" s="10">
        <f>+D20*C20</f>
        <v>455</v>
      </c>
      <c r="F20" s="45"/>
      <c r="G20" s="37"/>
    </row>
    <row r="21" spans="2:21" ht="15.75">
      <c r="B21" s="8" t="s">
        <v>142</v>
      </c>
      <c r="C21" s="3">
        <v>100</v>
      </c>
      <c r="D21" s="236">
        <v>5</v>
      </c>
      <c r="E21" s="10">
        <f t="shared" si="1"/>
        <v>500</v>
      </c>
      <c r="F21" s="45"/>
    </row>
    <row r="22" spans="2:21" ht="15.75">
      <c r="B22" s="8" t="s">
        <v>141</v>
      </c>
      <c r="C22" s="3">
        <v>2</v>
      </c>
      <c r="D22" s="236">
        <v>3</v>
      </c>
      <c r="E22" s="10">
        <f t="shared" si="1"/>
        <v>6</v>
      </c>
      <c r="F22" s="45"/>
    </row>
    <row r="23" spans="2:21" ht="15.75">
      <c r="B23" s="204" t="s">
        <v>35</v>
      </c>
      <c r="C23" s="205"/>
      <c r="D23" s="205"/>
      <c r="E23" s="237">
        <f>SUM(E17:E22)</f>
        <v>2550</v>
      </c>
      <c r="F23" s="46"/>
    </row>
    <row r="24" spans="2:21">
      <c r="E24" s="30"/>
    </row>
    <row r="26" spans="2:21"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2:21"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2:21" ht="15.75">
      <c r="B28" s="168" t="s">
        <v>135</v>
      </c>
      <c r="C28" s="19"/>
      <c r="D28" s="19"/>
      <c r="E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2:21">
      <c r="C29" s="19"/>
      <c r="D29" s="19"/>
      <c r="E29" s="19"/>
    </row>
    <row r="30" spans="2:21">
      <c r="B30" s="239" t="s">
        <v>16</v>
      </c>
      <c r="C30" s="240" t="s">
        <v>96</v>
      </c>
      <c r="D30" s="239" t="s">
        <v>93</v>
      </c>
      <c r="E30" s="239" t="s">
        <v>94</v>
      </c>
      <c r="G30" s="239" t="s">
        <v>16</v>
      </c>
      <c r="H30" s="240" t="s">
        <v>96</v>
      </c>
      <c r="I30" s="239" t="s">
        <v>93</v>
      </c>
      <c r="J30" s="239" t="s">
        <v>94</v>
      </c>
      <c r="K30" s="19"/>
      <c r="L30" s="239" t="s">
        <v>16</v>
      </c>
      <c r="M30" s="240" t="s">
        <v>96</v>
      </c>
      <c r="N30" s="239" t="s">
        <v>93</v>
      </c>
      <c r="O30" s="239" t="s">
        <v>94</v>
      </c>
      <c r="P30" s="19"/>
      <c r="Q30" s="239" t="s">
        <v>16</v>
      </c>
      <c r="R30" s="240" t="s">
        <v>96</v>
      </c>
      <c r="S30" s="239" t="s">
        <v>93</v>
      </c>
      <c r="T30" s="239" t="s">
        <v>94</v>
      </c>
    </row>
    <row r="31" spans="2:21">
      <c r="B31" s="9" t="s">
        <v>123</v>
      </c>
      <c r="C31" s="20">
        <v>1</v>
      </c>
      <c r="D31" s="24">
        <f>+(D7/12)</f>
        <v>2.9166666666666665</v>
      </c>
      <c r="E31" s="24">
        <f>D31*C31</f>
        <v>2.9166666666666665</v>
      </c>
      <c r="G31" s="9" t="s">
        <v>124</v>
      </c>
      <c r="H31" s="20">
        <v>1</v>
      </c>
      <c r="I31" s="24">
        <f>+(D8/12)</f>
        <v>2.9166666666666665</v>
      </c>
      <c r="J31" s="24">
        <f>I31*H31</f>
        <v>2.9166666666666665</v>
      </c>
      <c r="K31" s="19"/>
      <c r="L31" s="9" t="s">
        <v>122</v>
      </c>
      <c r="M31" s="20">
        <v>1</v>
      </c>
      <c r="N31" s="24">
        <f>D9/12</f>
        <v>2.6666666666666665</v>
      </c>
      <c r="O31" s="24">
        <f>N31*M31</f>
        <v>2.6666666666666665</v>
      </c>
      <c r="P31" s="19"/>
      <c r="Q31" s="9" t="s">
        <v>125</v>
      </c>
      <c r="R31" s="20">
        <v>1</v>
      </c>
      <c r="S31" s="24">
        <f>+(D10/12)</f>
        <v>5</v>
      </c>
      <c r="T31" s="24">
        <f>S31*R31</f>
        <v>5</v>
      </c>
    </row>
    <row r="32" spans="2:21">
      <c r="B32" s="9" t="s">
        <v>102</v>
      </c>
      <c r="C32" s="20">
        <v>15</v>
      </c>
      <c r="D32" s="24">
        <f>+D21/1000*5</f>
        <v>2.5000000000000001E-2</v>
      </c>
      <c r="E32" s="24">
        <f>+D32*C32</f>
        <v>0.375</v>
      </c>
      <c r="G32" s="9" t="s">
        <v>102</v>
      </c>
      <c r="H32" s="20">
        <v>15</v>
      </c>
      <c r="I32" s="24">
        <f>+D21/1000*5</f>
        <v>2.5000000000000001E-2</v>
      </c>
      <c r="J32" s="24">
        <f>+I32*H32</f>
        <v>0.375</v>
      </c>
      <c r="K32" s="19"/>
      <c r="L32" s="9" t="s">
        <v>102</v>
      </c>
      <c r="M32" s="20">
        <v>15</v>
      </c>
      <c r="N32" s="24">
        <f>+D21/1000*5</f>
        <v>2.5000000000000001E-2</v>
      </c>
      <c r="O32" s="24">
        <f>+N32*M32</f>
        <v>0.375</v>
      </c>
      <c r="P32" s="19"/>
      <c r="Q32" s="9" t="s">
        <v>102</v>
      </c>
      <c r="R32" s="20">
        <v>15</v>
      </c>
      <c r="S32" s="24">
        <f>+D21/1000*5</f>
        <v>2.5000000000000001E-2</v>
      </c>
      <c r="T32" s="24">
        <f>+S32*R32</f>
        <v>0.375</v>
      </c>
    </row>
    <row r="33" spans="2:20">
      <c r="B33" s="9" t="s">
        <v>99</v>
      </c>
      <c r="C33" s="20">
        <v>1</v>
      </c>
      <c r="D33" s="24">
        <f>+D19/12</f>
        <v>1.5</v>
      </c>
      <c r="E33" s="24">
        <f>+D33</f>
        <v>1.5</v>
      </c>
      <c r="G33" s="9" t="s">
        <v>99</v>
      </c>
      <c r="H33" s="20">
        <v>1</v>
      </c>
      <c r="I33" s="24">
        <f>+D19/12</f>
        <v>1.5</v>
      </c>
      <c r="J33" s="24">
        <f>+I33</f>
        <v>1.5</v>
      </c>
      <c r="K33" s="19"/>
      <c r="L33" s="9" t="s">
        <v>99</v>
      </c>
      <c r="M33" s="20">
        <v>1</v>
      </c>
      <c r="N33" s="24">
        <f>+D19/12</f>
        <v>1.5</v>
      </c>
      <c r="O33" s="24">
        <f>+N33</f>
        <v>1.5</v>
      </c>
      <c r="P33" s="19"/>
      <c r="Q33" s="9" t="s">
        <v>99</v>
      </c>
      <c r="R33" s="20">
        <v>1</v>
      </c>
      <c r="S33" s="24">
        <f>+D19/12</f>
        <v>1.5</v>
      </c>
      <c r="T33" s="24">
        <f>+S33</f>
        <v>1.5</v>
      </c>
    </row>
    <row r="34" spans="2:20">
      <c r="B34" s="9" t="s">
        <v>37</v>
      </c>
      <c r="C34" s="20">
        <v>1</v>
      </c>
      <c r="D34" s="24">
        <f>+D20</f>
        <v>0.5</v>
      </c>
      <c r="E34" s="24">
        <f>+D34*C34</f>
        <v>0.5</v>
      </c>
      <c r="G34" s="9" t="s">
        <v>37</v>
      </c>
      <c r="H34" s="20">
        <v>1</v>
      </c>
      <c r="I34" s="24">
        <f>+D20</f>
        <v>0.5</v>
      </c>
      <c r="J34" s="24">
        <f>+I34*H34</f>
        <v>0.5</v>
      </c>
      <c r="K34" s="19"/>
      <c r="L34" s="9" t="s">
        <v>37</v>
      </c>
      <c r="M34" s="20">
        <v>1</v>
      </c>
      <c r="N34" s="24">
        <f>+D20</f>
        <v>0.5</v>
      </c>
      <c r="O34" s="24">
        <f>+N34*M34</f>
        <v>0.5</v>
      </c>
      <c r="P34" s="19"/>
      <c r="Q34" s="9" t="s">
        <v>37</v>
      </c>
      <c r="R34" s="20">
        <v>1</v>
      </c>
      <c r="S34" s="24">
        <f>+D20</f>
        <v>0.5</v>
      </c>
      <c r="T34" s="24">
        <f>+S34*R34</f>
        <v>0.5</v>
      </c>
    </row>
    <row r="35" spans="2:20">
      <c r="B35" s="9" t="s">
        <v>103</v>
      </c>
      <c r="C35" s="20">
        <v>1</v>
      </c>
      <c r="D35" s="24">
        <f>+D22/100</f>
        <v>0.03</v>
      </c>
      <c r="E35" s="24">
        <f>+D35*C35</f>
        <v>0.03</v>
      </c>
      <c r="G35" s="9" t="s">
        <v>103</v>
      </c>
      <c r="H35" s="20">
        <v>1</v>
      </c>
      <c r="I35" s="24">
        <f>+D22/100</f>
        <v>0.03</v>
      </c>
      <c r="J35" s="24">
        <f>+I35*H35</f>
        <v>0.03</v>
      </c>
      <c r="K35" s="19"/>
      <c r="L35" s="9" t="s">
        <v>103</v>
      </c>
      <c r="M35" s="20">
        <v>1</v>
      </c>
      <c r="N35" s="24">
        <f>+D22/100</f>
        <v>0.03</v>
      </c>
      <c r="O35" s="24">
        <f>+N35*M35</f>
        <v>0.03</v>
      </c>
      <c r="P35" s="19"/>
      <c r="Q35" s="9" t="s">
        <v>103</v>
      </c>
      <c r="R35" s="20">
        <v>1</v>
      </c>
      <c r="S35" s="24">
        <f>+D22/100</f>
        <v>0.03</v>
      </c>
      <c r="T35" s="24">
        <f>+S35*R35</f>
        <v>0.03</v>
      </c>
    </row>
    <row r="36" spans="2:20">
      <c r="B36" s="21" t="s">
        <v>100</v>
      </c>
      <c r="C36" s="21"/>
      <c r="D36" s="21"/>
      <c r="E36" s="25">
        <f>SUM(E31:E35)</f>
        <v>5.3216666666666663</v>
      </c>
      <c r="G36" s="21" t="s">
        <v>100</v>
      </c>
      <c r="H36" s="21"/>
      <c r="I36" s="21"/>
      <c r="J36" s="25">
        <f>SUM(J31:J35)</f>
        <v>5.3216666666666663</v>
      </c>
      <c r="K36" s="19"/>
      <c r="L36" s="21" t="s">
        <v>100</v>
      </c>
      <c r="M36" s="21"/>
      <c r="N36" s="21"/>
      <c r="O36" s="25">
        <f>SUM(O31:O35)</f>
        <v>5.0716666666666663</v>
      </c>
      <c r="P36" s="19"/>
      <c r="Q36" s="21" t="s">
        <v>100</v>
      </c>
      <c r="R36" s="21"/>
      <c r="S36" s="21"/>
      <c r="T36" s="25">
        <f>SUM(T31:T35)</f>
        <v>7.4050000000000002</v>
      </c>
    </row>
    <row r="37" spans="2:20">
      <c r="B37" s="23" t="s">
        <v>97</v>
      </c>
      <c r="C37" s="23"/>
      <c r="D37" s="23"/>
      <c r="E37" s="22">
        <v>0.1</v>
      </c>
      <c r="G37" s="23" t="s">
        <v>97</v>
      </c>
      <c r="H37" s="23"/>
      <c r="I37" s="23"/>
      <c r="J37" s="22">
        <v>0.1</v>
      </c>
      <c r="K37" s="19"/>
      <c r="L37" s="23" t="s">
        <v>97</v>
      </c>
      <c r="M37" s="23"/>
      <c r="N37" s="23"/>
      <c r="O37" s="22">
        <v>0.1</v>
      </c>
      <c r="P37" s="19"/>
      <c r="Q37" s="23" t="s">
        <v>97</v>
      </c>
      <c r="R37" s="23"/>
      <c r="S37" s="23"/>
      <c r="T37" s="22">
        <v>0.1</v>
      </c>
    </row>
    <row r="38" spans="2:20">
      <c r="B38" s="241" t="s">
        <v>101</v>
      </c>
      <c r="C38" s="241"/>
      <c r="D38" s="241"/>
      <c r="E38" s="242">
        <f>SUM(E36:E37)</f>
        <v>5.421666666666666</v>
      </c>
      <c r="G38" s="241" t="s">
        <v>101</v>
      </c>
      <c r="H38" s="241"/>
      <c r="I38" s="241"/>
      <c r="J38" s="242">
        <f>SUM(J36:J37)</f>
        <v>5.421666666666666</v>
      </c>
      <c r="K38" s="19"/>
      <c r="L38" s="241" t="s">
        <v>101</v>
      </c>
      <c r="M38" s="241"/>
      <c r="N38" s="241"/>
      <c r="O38" s="242">
        <f>SUM(O36:O37)</f>
        <v>5.171666666666666</v>
      </c>
      <c r="P38" s="19"/>
      <c r="Q38" s="241" t="s">
        <v>101</v>
      </c>
      <c r="R38" s="241"/>
      <c r="S38" s="241"/>
      <c r="T38" s="242">
        <f>SUM(T36:T37)</f>
        <v>7.5049999999999999</v>
      </c>
    </row>
    <row r="39" spans="2:20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2:20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2:20" ht="15.75">
      <c r="B41" s="168" t="s">
        <v>136</v>
      </c>
      <c r="C41" s="19"/>
      <c r="D41" s="19"/>
      <c r="E41" s="19"/>
      <c r="G41" s="39"/>
      <c r="H41" s="19"/>
      <c r="I41" s="19"/>
      <c r="J41" s="19"/>
      <c r="K41" s="19"/>
      <c r="L41" s="39"/>
      <c r="M41" s="19"/>
      <c r="N41" s="19"/>
      <c r="O41" s="19"/>
      <c r="P41" s="19"/>
      <c r="Q41" s="39"/>
      <c r="R41" s="19"/>
      <c r="S41" s="19"/>
      <c r="T41" s="19"/>
    </row>
    <row r="42" spans="2:20">
      <c r="C42" s="167"/>
      <c r="D42" s="19"/>
      <c r="E42" s="19"/>
      <c r="G42" s="167"/>
      <c r="H42" s="167"/>
      <c r="I42" s="19"/>
      <c r="J42" s="19"/>
      <c r="K42" s="19"/>
      <c r="L42" s="167"/>
      <c r="M42" s="167"/>
      <c r="N42" s="19"/>
      <c r="O42" s="19"/>
      <c r="P42" s="19"/>
      <c r="Q42" s="167"/>
      <c r="R42" s="167"/>
      <c r="S42" s="19"/>
      <c r="T42" s="19"/>
    </row>
    <row r="43" spans="2:20">
      <c r="B43" s="243" t="s">
        <v>16</v>
      </c>
      <c r="C43" s="244" t="s">
        <v>96</v>
      </c>
      <c r="D43" s="243" t="s">
        <v>93</v>
      </c>
      <c r="E43" s="243" t="s">
        <v>94</v>
      </c>
      <c r="G43" s="243" t="s">
        <v>16</v>
      </c>
      <c r="H43" s="244" t="s">
        <v>96</v>
      </c>
      <c r="I43" s="243" t="s">
        <v>93</v>
      </c>
      <c r="J43" s="243" t="s">
        <v>94</v>
      </c>
      <c r="K43" s="19"/>
      <c r="L43" s="243" t="s">
        <v>16</v>
      </c>
      <c r="M43" s="244" t="s">
        <v>96</v>
      </c>
      <c r="N43" s="243" t="s">
        <v>93</v>
      </c>
      <c r="O43" s="243" t="s">
        <v>94</v>
      </c>
      <c r="P43" s="19"/>
      <c r="Q43" s="243" t="s">
        <v>16</v>
      </c>
      <c r="R43" s="244" t="s">
        <v>96</v>
      </c>
      <c r="S43" s="243" t="s">
        <v>93</v>
      </c>
      <c r="T43" s="243" t="s">
        <v>94</v>
      </c>
    </row>
    <row r="44" spans="2:20">
      <c r="B44" s="9" t="s">
        <v>95</v>
      </c>
      <c r="C44" s="20">
        <v>1</v>
      </c>
      <c r="D44" s="24">
        <f>+(D7/12)</f>
        <v>2.9166666666666665</v>
      </c>
      <c r="E44" s="24">
        <f>D44*C44</f>
        <v>2.9166666666666665</v>
      </c>
      <c r="G44" s="9" t="s">
        <v>95</v>
      </c>
      <c r="H44" s="20">
        <v>1</v>
      </c>
      <c r="I44" s="24">
        <f>+(D8/12)</f>
        <v>2.9166666666666665</v>
      </c>
      <c r="J44" s="24">
        <f>I44*H44</f>
        <v>2.9166666666666665</v>
      </c>
      <c r="K44" s="19"/>
      <c r="L44" s="9" t="s">
        <v>95</v>
      </c>
      <c r="M44" s="20">
        <v>1</v>
      </c>
      <c r="N44" s="24">
        <f>D9/12</f>
        <v>2.6666666666666665</v>
      </c>
      <c r="O44" s="24">
        <f>N44*M44</f>
        <v>2.6666666666666665</v>
      </c>
      <c r="P44" s="19"/>
      <c r="Q44" s="9" t="s">
        <v>95</v>
      </c>
      <c r="R44" s="20">
        <v>1</v>
      </c>
      <c r="S44" s="24">
        <f>+(D10/12)</f>
        <v>5</v>
      </c>
      <c r="T44" s="24">
        <f>S44*R44</f>
        <v>5</v>
      </c>
    </row>
    <row r="45" spans="2:20">
      <c r="B45" s="9" t="s">
        <v>104</v>
      </c>
      <c r="C45" s="20">
        <v>1</v>
      </c>
      <c r="D45" s="24">
        <f>+D17/50</f>
        <v>0.56000000000000005</v>
      </c>
      <c r="E45" s="24">
        <f>+D45*C45</f>
        <v>0.56000000000000005</v>
      </c>
      <c r="G45" s="9" t="s">
        <v>104</v>
      </c>
      <c r="H45" s="20">
        <v>1</v>
      </c>
      <c r="I45" s="24">
        <f>+D45</f>
        <v>0.56000000000000005</v>
      </c>
      <c r="J45" s="24">
        <f>+I45*H45</f>
        <v>0.56000000000000005</v>
      </c>
      <c r="K45" s="19"/>
      <c r="L45" s="9" t="s">
        <v>104</v>
      </c>
      <c r="M45" s="20">
        <v>1</v>
      </c>
      <c r="N45" s="24">
        <v>0.56000000000000005</v>
      </c>
      <c r="O45" s="24">
        <f>+N45*M45</f>
        <v>0.56000000000000005</v>
      </c>
      <c r="P45" s="19"/>
      <c r="Q45" s="9" t="s">
        <v>104</v>
      </c>
      <c r="R45" s="20">
        <v>1</v>
      </c>
      <c r="S45" s="24">
        <v>0.56000000000000005</v>
      </c>
      <c r="T45" s="24">
        <f>+S45*R45</f>
        <v>0.56000000000000005</v>
      </c>
    </row>
    <row r="46" spans="2:20">
      <c r="B46" s="21" t="s">
        <v>100</v>
      </c>
      <c r="C46" s="21"/>
      <c r="D46" s="21"/>
      <c r="E46" s="25">
        <f>SUM(E44:E45)</f>
        <v>3.4766666666666666</v>
      </c>
      <c r="G46" s="21" t="s">
        <v>100</v>
      </c>
      <c r="H46" s="21"/>
      <c r="I46" s="21"/>
      <c r="J46" s="25">
        <f>SUM(J44:J45)</f>
        <v>3.4766666666666666</v>
      </c>
      <c r="K46" s="19"/>
      <c r="L46" s="21" t="s">
        <v>100</v>
      </c>
      <c r="M46" s="21"/>
      <c r="N46" s="21"/>
      <c r="O46" s="25">
        <f>SUM(O44:O45)</f>
        <v>3.2266666666666666</v>
      </c>
      <c r="P46" s="19"/>
      <c r="Q46" s="21" t="s">
        <v>100</v>
      </c>
      <c r="R46" s="21"/>
      <c r="S46" s="21"/>
      <c r="T46" s="25">
        <f>SUM(T44:T45)</f>
        <v>5.5600000000000005</v>
      </c>
    </row>
    <row r="47" spans="2:20">
      <c r="B47" s="23" t="s">
        <v>97</v>
      </c>
      <c r="C47" s="23"/>
      <c r="D47" s="23"/>
      <c r="E47" s="22">
        <v>0.1</v>
      </c>
      <c r="G47" s="23" t="s">
        <v>97</v>
      </c>
      <c r="H47" s="23"/>
      <c r="I47" s="23"/>
      <c r="J47" s="22">
        <v>0.1</v>
      </c>
      <c r="K47" s="19"/>
      <c r="L47" s="23" t="s">
        <v>97</v>
      </c>
      <c r="M47" s="23"/>
      <c r="N47" s="23"/>
      <c r="O47" s="22">
        <v>0.1</v>
      </c>
      <c r="P47" s="19"/>
      <c r="Q47" s="23" t="s">
        <v>97</v>
      </c>
      <c r="R47" s="23"/>
      <c r="S47" s="23"/>
      <c r="T47" s="22">
        <v>0.1</v>
      </c>
    </row>
    <row r="48" spans="2:20">
      <c r="B48" s="221" t="s">
        <v>101</v>
      </c>
      <c r="C48" s="221"/>
      <c r="D48" s="221"/>
      <c r="E48" s="245">
        <f>SUM(E46:E47)</f>
        <v>3.5766666666666667</v>
      </c>
      <c r="G48" s="221" t="s">
        <v>101</v>
      </c>
      <c r="H48" s="221"/>
      <c r="I48" s="221"/>
      <c r="J48" s="245">
        <f>SUM(J46:J47)</f>
        <v>3.5766666666666667</v>
      </c>
      <c r="K48" s="19"/>
      <c r="L48" s="221" t="s">
        <v>101</v>
      </c>
      <c r="M48" s="221"/>
      <c r="N48" s="221"/>
      <c r="O48" s="245">
        <f>SUM(O46:O47)</f>
        <v>3.3266666666666667</v>
      </c>
      <c r="P48" s="19"/>
      <c r="Q48" s="221" t="s">
        <v>101</v>
      </c>
      <c r="R48" s="221"/>
      <c r="S48" s="221"/>
      <c r="T48" s="245">
        <f>SUM(T46:T47)</f>
        <v>5.66</v>
      </c>
    </row>
    <row r="49" spans="2:20">
      <c r="B49" s="19"/>
      <c r="C49" s="19"/>
      <c r="D49" s="19"/>
      <c r="E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</row>
    <row r="50" spans="2:20" ht="26.25">
      <c r="B50" s="42" t="s">
        <v>133</v>
      </c>
      <c r="C50" s="19"/>
      <c r="D50" s="19"/>
      <c r="E50" s="19"/>
      <c r="G50" s="19"/>
      <c r="H50" s="19"/>
      <c r="I50" s="19"/>
      <c r="J50" s="19"/>
      <c r="K50" s="19"/>
      <c r="L50" s="40" t="s">
        <v>126</v>
      </c>
      <c r="M50" s="19"/>
      <c r="N50" s="19"/>
      <c r="O50" s="19"/>
      <c r="P50" s="19"/>
      <c r="Q50" s="19"/>
      <c r="R50" s="19"/>
      <c r="S50" s="19"/>
      <c r="T50" s="19"/>
    </row>
    <row r="51" spans="2:20">
      <c r="B51" s="33" t="s">
        <v>337</v>
      </c>
      <c r="C51" s="19"/>
      <c r="D51" s="19"/>
      <c r="E51" s="19"/>
      <c r="G51" s="33" t="s">
        <v>336</v>
      </c>
      <c r="H51" s="19"/>
      <c r="I51" s="19"/>
      <c r="J51" s="19"/>
      <c r="K51" s="19"/>
      <c r="L51" s="33" t="s">
        <v>335</v>
      </c>
      <c r="M51" s="19"/>
      <c r="N51" s="19"/>
      <c r="O51" s="19"/>
      <c r="P51" s="19"/>
      <c r="Q51" s="33" t="s">
        <v>334</v>
      </c>
      <c r="R51" s="19"/>
      <c r="S51" s="19"/>
      <c r="T51" s="19"/>
    </row>
    <row r="52" spans="2:20" ht="15.75">
      <c r="B52" s="202" t="s">
        <v>117</v>
      </c>
      <c r="C52" s="246">
        <f>+E71</f>
        <v>21077.921933085508</v>
      </c>
      <c r="D52" s="19"/>
      <c r="E52" s="19"/>
      <c r="G52" s="202" t="s">
        <v>117</v>
      </c>
      <c r="H52" s="246">
        <f>+E72</f>
        <v>8874.914498141261</v>
      </c>
      <c r="I52" s="19"/>
      <c r="J52" s="19"/>
      <c r="K52" s="19"/>
      <c r="L52" s="202" t="s">
        <v>117</v>
      </c>
      <c r="M52" s="246">
        <f>+E73</f>
        <v>7765.5501858736052</v>
      </c>
      <c r="N52" s="19"/>
      <c r="O52" s="19"/>
      <c r="P52" s="19"/>
      <c r="Q52" s="202" t="s">
        <v>117</v>
      </c>
      <c r="R52" s="246">
        <f>+E74</f>
        <v>9076.6171003717427</v>
      </c>
      <c r="S52" s="19"/>
      <c r="T52" s="19"/>
    </row>
    <row r="53" spans="2:20" ht="15.75">
      <c r="B53" s="202" t="s">
        <v>118</v>
      </c>
      <c r="C53" s="246">
        <v>13</v>
      </c>
      <c r="D53" s="19"/>
      <c r="E53" s="19"/>
      <c r="G53" s="202" t="s">
        <v>118</v>
      </c>
      <c r="H53" s="246">
        <v>13</v>
      </c>
      <c r="I53" s="19"/>
      <c r="J53" s="19"/>
      <c r="K53" s="19"/>
      <c r="L53" s="202" t="s">
        <v>118</v>
      </c>
      <c r="M53" s="246">
        <v>10</v>
      </c>
      <c r="N53" s="19"/>
      <c r="O53" s="19"/>
      <c r="P53" s="19"/>
      <c r="Q53" s="202" t="s">
        <v>118</v>
      </c>
      <c r="R53" s="246">
        <v>15</v>
      </c>
      <c r="S53" s="19"/>
      <c r="T53" s="19"/>
    </row>
    <row r="54" spans="2:20" ht="15.75">
      <c r="B54" s="202" t="s">
        <v>119</v>
      </c>
      <c r="C54" s="247">
        <f>+(E38)</f>
        <v>5.421666666666666</v>
      </c>
      <c r="D54" s="19"/>
      <c r="E54" s="19"/>
      <c r="G54" s="202" t="s">
        <v>119</v>
      </c>
      <c r="H54" s="247">
        <f>+(J38)</f>
        <v>5.421666666666666</v>
      </c>
      <c r="I54" s="19"/>
      <c r="J54" s="19"/>
      <c r="K54" s="19"/>
      <c r="L54" s="202" t="s">
        <v>119</v>
      </c>
      <c r="M54" s="247">
        <f>+O38</f>
        <v>5.171666666666666</v>
      </c>
      <c r="N54" s="19"/>
      <c r="O54" s="19"/>
      <c r="P54" s="19"/>
      <c r="Q54" s="202" t="s">
        <v>119</v>
      </c>
      <c r="R54" s="247">
        <f>+(T38)</f>
        <v>7.5049999999999999</v>
      </c>
      <c r="S54" s="19"/>
      <c r="T54" s="19"/>
    </row>
    <row r="55" spans="2:20" ht="15.75">
      <c r="B55" s="202" t="s">
        <v>341</v>
      </c>
      <c r="C55" s="248">
        <f>+(C52/(C53-C54))/12</f>
        <v>231.77833662948657</v>
      </c>
      <c r="D55" s="41"/>
      <c r="E55" s="19"/>
      <c r="G55" s="202" t="s">
        <v>120</v>
      </c>
      <c r="H55" s="248">
        <f>+(H52/(H53-H54))/12</f>
        <v>97.590878580836375</v>
      </c>
      <c r="I55" s="41"/>
      <c r="J55" s="19"/>
      <c r="K55" s="19"/>
      <c r="L55" s="202" t="s">
        <v>120</v>
      </c>
      <c r="M55" s="248">
        <f>+(M52/(M53-M54))/12</f>
        <v>134.02744538960312</v>
      </c>
      <c r="N55" s="41"/>
      <c r="O55" s="19"/>
      <c r="P55" s="19"/>
      <c r="Q55" s="202" t="s">
        <v>120</v>
      </c>
      <c r="R55" s="248">
        <f>+(R52/(R53-R54))/12</f>
        <v>100.91858016868737</v>
      </c>
      <c r="S55" s="41"/>
      <c r="T55" s="19"/>
    </row>
    <row r="56" spans="2:20">
      <c r="B56" s="19"/>
      <c r="C56" s="19"/>
      <c r="D56" s="41"/>
      <c r="E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26.25">
      <c r="B57" s="43" t="s">
        <v>134</v>
      </c>
      <c r="C57" s="19"/>
      <c r="D57" s="19"/>
      <c r="E57" s="19"/>
      <c r="G57" s="19"/>
      <c r="H57" s="19"/>
      <c r="I57" s="19"/>
      <c r="J57" s="19"/>
      <c r="K57" s="19"/>
      <c r="L57" s="40" t="s">
        <v>127</v>
      </c>
      <c r="M57" s="19"/>
      <c r="N57" s="19"/>
      <c r="O57" s="19"/>
      <c r="P57" s="19"/>
      <c r="Q57" s="19"/>
      <c r="R57" s="19"/>
      <c r="S57" s="19"/>
      <c r="T57" s="19"/>
    </row>
    <row r="58" spans="2:20">
      <c r="B58" s="33" t="s">
        <v>337</v>
      </c>
      <c r="C58" s="19"/>
      <c r="D58" s="19"/>
      <c r="E58" s="19"/>
      <c r="G58" s="33" t="s">
        <v>336</v>
      </c>
      <c r="H58" s="19"/>
      <c r="I58" s="19"/>
      <c r="J58" s="19"/>
      <c r="K58" s="19"/>
      <c r="L58" s="33" t="s">
        <v>335</v>
      </c>
      <c r="M58" s="19"/>
      <c r="N58" s="19"/>
      <c r="O58" s="19"/>
      <c r="P58" s="19"/>
      <c r="Q58" s="33" t="s">
        <v>334</v>
      </c>
      <c r="R58" s="19"/>
      <c r="S58" s="19"/>
      <c r="T58" s="19"/>
    </row>
    <row r="59" spans="2:20" ht="15.75">
      <c r="B59" s="202" t="s">
        <v>117</v>
      </c>
      <c r="C59" s="246">
        <f>+E76</f>
        <v>7664.6988847583625</v>
      </c>
      <c r="D59" s="19"/>
      <c r="E59" s="19"/>
      <c r="G59" s="202" t="s">
        <v>117</v>
      </c>
      <c r="H59" s="246">
        <f>+E77</f>
        <v>3227.241635687732</v>
      </c>
      <c r="I59" s="19"/>
      <c r="J59" s="19"/>
      <c r="K59" s="19"/>
      <c r="L59" s="202" t="s">
        <v>117</v>
      </c>
      <c r="M59" s="246">
        <f>+E78</f>
        <v>2588.5167286245342</v>
      </c>
      <c r="N59" s="19"/>
      <c r="O59" s="19"/>
      <c r="P59" s="19"/>
      <c r="Q59" s="202" t="s">
        <v>117</v>
      </c>
      <c r="R59" s="246">
        <f>+E79</f>
        <v>3025.5390334572489</v>
      </c>
      <c r="S59" s="19"/>
      <c r="T59" s="19"/>
    </row>
    <row r="60" spans="2:20" ht="15.75">
      <c r="B60" s="202" t="s">
        <v>118</v>
      </c>
      <c r="C60" s="246">
        <v>13</v>
      </c>
      <c r="D60" s="19"/>
      <c r="E60" s="19"/>
      <c r="G60" s="202" t="s">
        <v>118</v>
      </c>
      <c r="H60" s="246">
        <v>13</v>
      </c>
      <c r="I60" s="19"/>
      <c r="J60" s="19"/>
      <c r="K60" s="19"/>
      <c r="L60" s="202" t="s">
        <v>118</v>
      </c>
      <c r="M60" s="246">
        <v>10</v>
      </c>
      <c r="N60" s="19"/>
      <c r="O60" s="19"/>
      <c r="P60" s="19"/>
      <c r="Q60" s="202" t="s">
        <v>118</v>
      </c>
      <c r="R60" s="246">
        <v>15</v>
      </c>
      <c r="S60" s="19"/>
      <c r="T60" s="19"/>
    </row>
    <row r="61" spans="2:20" ht="15.75">
      <c r="B61" s="202" t="s">
        <v>119</v>
      </c>
      <c r="C61" s="247">
        <f>E48</f>
        <v>3.5766666666666667</v>
      </c>
      <c r="D61" s="19"/>
      <c r="E61" s="162"/>
      <c r="G61" s="202" t="s">
        <v>119</v>
      </c>
      <c r="H61" s="247">
        <f>J48</f>
        <v>3.5766666666666667</v>
      </c>
      <c r="I61" s="19"/>
      <c r="J61" s="19"/>
      <c r="K61" s="19"/>
      <c r="L61" s="202" t="s">
        <v>119</v>
      </c>
      <c r="M61" s="247">
        <f>+O48</f>
        <v>3.3266666666666667</v>
      </c>
      <c r="N61" s="19"/>
      <c r="O61" s="19"/>
      <c r="P61" s="19"/>
      <c r="Q61" s="202" t="s">
        <v>119</v>
      </c>
      <c r="R61" s="247">
        <f>T48</f>
        <v>5.66</v>
      </c>
      <c r="S61" s="19"/>
      <c r="T61" s="19"/>
    </row>
    <row r="62" spans="2:20" ht="15.75">
      <c r="B62" s="202" t="s">
        <v>120</v>
      </c>
      <c r="C62" s="248">
        <f>+(C59/(C60-C61))/12</f>
        <v>67.781206975224293</v>
      </c>
      <c r="D62" s="41"/>
      <c r="E62" s="19"/>
      <c r="G62" s="202" t="s">
        <v>120</v>
      </c>
      <c r="H62" s="248">
        <f>+(H59/(H60-H61))/12</f>
        <v>28.539455568515493</v>
      </c>
      <c r="I62" s="41"/>
      <c r="J62" s="19"/>
      <c r="K62" s="19"/>
      <c r="L62" s="202" t="s">
        <v>120</v>
      </c>
      <c r="M62" s="248">
        <f>+(M59/(M60-M61))/12</f>
        <v>32.324134972833839</v>
      </c>
      <c r="N62" s="41"/>
      <c r="O62" s="19"/>
      <c r="P62" s="19"/>
      <c r="Q62" s="202" t="s">
        <v>120</v>
      </c>
      <c r="R62" s="248">
        <f>+(R59/(R60-R61))/12</f>
        <v>26.994459613287376</v>
      </c>
      <c r="S62" s="41"/>
      <c r="T62" s="19"/>
    </row>
    <row r="63" spans="2:20">
      <c r="B63" s="19"/>
      <c r="C63" s="19"/>
      <c r="D63" s="19"/>
      <c r="E63" s="19"/>
    </row>
    <row r="64" spans="2:20" ht="15.75">
      <c r="B64" s="202" t="s">
        <v>342</v>
      </c>
      <c r="C64" s="249">
        <f>+SUM(C55,H55,M55,R55,C62,H62,M62,R62)</f>
        <v>719.95449789847453</v>
      </c>
      <c r="E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2:21" ht="15.75">
      <c r="B65" s="202" t="s">
        <v>343</v>
      </c>
      <c r="C65" s="249">
        <f>+C64/20</f>
        <v>35.997724894923728</v>
      </c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2:21" ht="15.75">
      <c r="B66" s="202"/>
      <c r="C66" s="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2:21" ht="15.75">
      <c r="B67" s="250" t="s">
        <v>329</v>
      </c>
      <c r="C67" s="251">
        <f>+COSTOS!H37</f>
        <v>63301</v>
      </c>
    </row>
    <row r="68" spans="2:21" ht="15.75">
      <c r="B68" s="164"/>
      <c r="C68" s="162"/>
      <c r="D68" s="162"/>
    </row>
    <row r="69" spans="2:21">
      <c r="B69" s="220" t="s">
        <v>332</v>
      </c>
      <c r="C69" s="281" t="s">
        <v>330</v>
      </c>
      <c r="D69" s="281" t="s">
        <v>203</v>
      </c>
      <c r="E69" s="281" t="s">
        <v>333</v>
      </c>
    </row>
    <row r="70" spans="2:21">
      <c r="B70" s="104" t="s">
        <v>133</v>
      </c>
      <c r="C70" s="184"/>
      <c r="D70" s="9"/>
      <c r="E70" s="9"/>
    </row>
    <row r="71" spans="2:21">
      <c r="B71" s="9" t="s">
        <v>129</v>
      </c>
      <c r="C71" s="252">
        <f>+'INGRESOS Y EGRESOS'!N8</f>
        <v>4584.8404644618768</v>
      </c>
      <c r="D71" s="253">
        <f>+C71/$C$80</f>
        <v>0.33297928836962304</v>
      </c>
      <c r="E71" s="31">
        <f>+$C$67*D71</f>
        <v>21077.921933085508</v>
      </c>
    </row>
    <row r="72" spans="2:21">
      <c r="B72" s="9" t="s">
        <v>331</v>
      </c>
      <c r="C72" s="252">
        <f>+'INGRESOS Y EGRESOS'!N17</f>
        <v>1930.4591429313157</v>
      </c>
      <c r="D72" s="253">
        <f t="shared" ref="D72:D79" si="2">+C72/$C$80</f>
        <v>0.14020180562931489</v>
      </c>
      <c r="E72" s="31">
        <f t="shared" ref="E72:E79" si="3">+$C$67*D72</f>
        <v>8874.914498141261</v>
      </c>
    </row>
    <row r="73" spans="2:21">
      <c r="B73" s="9" t="s">
        <v>132</v>
      </c>
      <c r="C73" s="252">
        <f>+'INGRESOS Y EGRESOS'!N26</f>
        <v>1689.1517500649013</v>
      </c>
      <c r="D73" s="253">
        <f t="shared" si="2"/>
        <v>0.12267657992565055</v>
      </c>
      <c r="E73" s="31">
        <f t="shared" si="3"/>
        <v>7765.5501858736052</v>
      </c>
      <c r="K73" s="33"/>
      <c r="L73" s="19"/>
      <c r="M73" s="33"/>
      <c r="N73" s="19"/>
    </row>
    <row r="74" spans="2:21">
      <c r="B74" s="9" t="s">
        <v>131</v>
      </c>
      <c r="C74" s="252">
        <f>+'INGRESOS Y EGRESOS'!N35</f>
        <v>1974.3332143615723</v>
      </c>
      <c r="D74" s="253">
        <f t="shared" si="2"/>
        <v>0.14338821030270837</v>
      </c>
      <c r="E74" s="31">
        <f t="shared" si="3"/>
        <v>9076.6171003717427</v>
      </c>
      <c r="K74" s="41"/>
      <c r="L74" s="154"/>
      <c r="M74" s="41"/>
      <c r="N74" s="41"/>
    </row>
    <row r="75" spans="2:21">
      <c r="B75" s="104" t="s">
        <v>134</v>
      </c>
      <c r="C75" s="252"/>
      <c r="D75" s="253"/>
      <c r="E75" s="31"/>
      <c r="K75" s="41"/>
      <c r="L75" s="154"/>
      <c r="M75" s="41"/>
      <c r="N75" s="41"/>
    </row>
    <row r="76" spans="2:21">
      <c r="B76" s="9" t="s">
        <v>129</v>
      </c>
      <c r="C76" s="252">
        <f>+'INGRESOS Y EGRESOS'!N45</f>
        <v>1667.2147143497725</v>
      </c>
      <c r="D76" s="253">
        <f t="shared" si="2"/>
        <v>0.12108337758895377</v>
      </c>
      <c r="E76" s="31">
        <f t="shared" si="3"/>
        <v>7664.6988847583625</v>
      </c>
      <c r="K76" s="41"/>
      <c r="L76" s="154"/>
      <c r="M76" s="41"/>
      <c r="N76" s="41"/>
    </row>
    <row r="77" spans="2:21">
      <c r="B77" s="9" t="s">
        <v>331</v>
      </c>
      <c r="C77" s="252">
        <f>+'INGRESOS Y EGRESOS'!N54</f>
        <v>701.98514288411479</v>
      </c>
      <c r="D77" s="253">
        <f t="shared" si="2"/>
        <v>5.0982474774296328E-2</v>
      </c>
      <c r="E77" s="31">
        <f t="shared" si="3"/>
        <v>3227.241635687732</v>
      </c>
      <c r="K77" s="41"/>
      <c r="L77" s="154"/>
      <c r="M77" s="41"/>
      <c r="N77" s="41"/>
    </row>
    <row r="78" spans="2:21">
      <c r="B78" s="9" t="s">
        <v>132</v>
      </c>
      <c r="C78" s="252">
        <f>+'INGRESOS Y EGRESOS'!N63</f>
        <v>563.05058335496688</v>
      </c>
      <c r="D78" s="253">
        <f t="shared" si="2"/>
        <v>4.0892193308550165E-2</v>
      </c>
      <c r="E78" s="31">
        <f t="shared" si="3"/>
        <v>2588.5167286245342</v>
      </c>
      <c r="N78" s="37"/>
    </row>
    <row r="79" spans="2:21">
      <c r="B79" s="9" t="s">
        <v>131</v>
      </c>
      <c r="C79" s="252">
        <f>+'INGRESOS Y EGRESOS'!N72</f>
        <v>658.11107145385768</v>
      </c>
      <c r="D79" s="253">
        <f t="shared" si="2"/>
        <v>4.779607010090281E-2</v>
      </c>
      <c r="E79" s="31">
        <f t="shared" si="3"/>
        <v>3025.5390334572489</v>
      </c>
      <c r="N79" s="37"/>
    </row>
    <row r="80" spans="2:21">
      <c r="B80" s="220" t="s">
        <v>340</v>
      </c>
      <c r="C80" s="282">
        <f>+SUM(C71:C74,C76:C79)</f>
        <v>13769.146083862379</v>
      </c>
    </row>
    <row r="81" spans="5:5">
      <c r="E81" s="30"/>
    </row>
  </sheetData>
  <mergeCells count="1">
    <mergeCell ref="B4:F4"/>
  </mergeCells>
  <phoneticPr fontId="15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J47"/>
  <sheetViews>
    <sheetView workbookViewId="0">
      <selection activeCell="E6" sqref="E6"/>
    </sheetView>
  </sheetViews>
  <sheetFormatPr baseColWidth="10" defaultRowHeight="15"/>
  <cols>
    <col min="2" max="2" width="33.7109375" customWidth="1"/>
    <col min="3" max="3" width="12.85546875" customWidth="1"/>
    <col min="4" max="4" width="12.42578125" customWidth="1"/>
    <col min="5" max="5" width="12.5703125" customWidth="1"/>
    <col min="6" max="6" width="11.28515625" customWidth="1"/>
    <col min="7" max="7" width="11.42578125" customWidth="1"/>
    <col min="8" max="8" width="15" customWidth="1"/>
    <col min="9" max="9" width="17" customWidth="1"/>
    <col min="10" max="10" width="13.140625" customWidth="1"/>
  </cols>
  <sheetData>
    <row r="3" spans="2:10">
      <c r="B3" s="255" t="s">
        <v>198</v>
      </c>
      <c r="C3" s="72">
        <v>0.03</v>
      </c>
    </row>
    <row r="4" spans="2:10">
      <c r="B4" s="256" t="s">
        <v>47</v>
      </c>
      <c r="C4" s="73">
        <v>2.5000000000000001E-2</v>
      </c>
      <c r="D4" s="71"/>
      <c r="E4" s="71"/>
      <c r="F4" s="71"/>
      <c r="G4" s="71"/>
    </row>
    <row r="5" spans="2:10">
      <c r="B5" s="254" t="s">
        <v>48</v>
      </c>
      <c r="C5" s="254">
        <v>2011</v>
      </c>
      <c r="D5" s="254">
        <v>2012</v>
      </c>
      <c r="E5" s="254">
        <v>2013</v>
      </c>
      <c r="F5" s="254">
        <v>2014</v>
      </c>
      <c r="G5" s="254">
        <v>2015</v>
      </c>
    </row>
    <row r="6" spans="2:10">
      <c r="B6" s="255" t="s">
        <v>294</v>
      </c>
      <c r="C6" s="74">
        <v>835486</v>
      </c>
      <c r="D6" s="74">
        <f>((C6+(C6*$C$4)))</f>
        <v>856373.15</v>
      </c>
      <c r="E6" s="74">
        <f>((D6+(D6*$C$4)))</f>
        <v>877782.47875000001</v>
      </c>
      <c r="F6" s="74">
        <f>((E6+(E6*$C$4)))</f>
        <v>899727.04071874998</v>
      </c>
      <c r="G6" s="74">
        <f>((F6+(F6*$C$4)))</f>
        <v>922220.21673671878</v>
      </c>
    </row>
    <row r="7" spans="2:10">
      <c r="B7" s="255" t="s">
        <v>121</v>
      </c>
      <c r="C7" s="74">
        <f>C6*83%</f>
        <v>693453.38</v>
      </c>
      <c r="D7" s="74">
        <f>D6*83%</f>
        <v>710789.7145</v>
      </c>
      <c r="E7" s="74">
        <f>E6*83%</f>
        <v>728559.45736250002</v>
      </c>
      <c r="F7" s="74">
        <f>F6*83%</f>
        <v>746773.4437965625</v>
      </c>
      <c r="G7" s="74">
        <f>G6*83%</f>
        <v>765442.7798914765</v>
      </c>
    </row>
    <row r="8" spans="2:10">
      <c r="B8" s="255" t="s">
        <v>374</v>
      </c>
      <c r="C8" s="74">
        <f>+C7*$C$47</f>
        <v>464613.76460000005</v>
      </c>
      <c r="D8" s="74">
        <f>+D7*$C$47</f>
        <v>476229.10871500004</v>
      </c>
      <c r="E8" s="74">
        <f>+E7*$C$47</f>
        <v>488134.83643287502</v>
      </c>
      <c r="F8" s="74">
        <f>+F7*$C$47</f>
        <v>500338.20734369691</v>
      </c>
      <c r="G8" s="74">
        <f>+G7*$C$47</f>
        <v>512846.6625272893</v>
      </c>
    </row>
    <row r="9" spans="2:10">
      <c r="B9" s="117" t="s">
        <v>295</v>
      </c>
      <c r="C9" s="74">
        <f>+C8*DEMANDA!$N$41</f>
        <v>227596.74554445912</v>
      </c>
      <c r="D9" s="74">
        <f>+D8*DEMANDA!$N$41</f>
        <v>233286.66418307056</v>
      </c>
      <c r="E9" s="74">
        <f>+E8*DEMANDA!$N$41</f>
        <v>239118.83078764734</v>
      </c>
      <c r="F9" s="74">
        <f>+F8*DEMANDA!$N$41</f>
        <v>245096.80155733851</v>
      </c>
      <c r="G9" s="74">
        <f>+G8*DEMANDA!$N$41</f>
        <v>251224.22159627196</v>
      </c>
    </row>
    <row r="10" spans="2:10">
      <c r="B10" s="257" t="s">
        <v>378</v>
      </c>
      <c r="C10" s="74">
        <f>+C9*DEMANDA!$N$42</f>
        <v>5689.9186386114779</v>
      </c>
      <c r="D10" s="74">
        <f>+D9*DEMANDA!$N$42</f>
        <v>5832.1666045767643</v>
      </c>
      <c r="E10" s="74">
        <f>+E9*DEMANDA!$N$42</f>
        <v>5977.9707696911837</v>
      </c>
      <c r="F10" s="74">
        <f>+F9*DEMANDA!$N$42</f>
        <v>6127.4200389334628</v>
      </c>
      <c r="G10" s="74">
        <f>+G9*DEMANDA!$N$42</f>
        <v>6280.6055399067991</v>
      </c>
    </row>
    <row r="11" spans="2:10">
      <c r="B11" s="114" t="s">
        <v>293</v>
      </c>
      <c r="C11" s="116">
        <f>C10*$E$27</f>
        <v>26344.323296771141</v>
      </c>
      <c r="D11" s="116">
        <f>D10*$E$27</f>
        <v>27002.931379190417</v>
      </c>
      <c r="E11" s="116">
        <f>E10*$E$27</f>
        <v>27678.004663670181</v>
      </c>
      <c r="F11" s="116">
        <f>F10*$E$27</f>
        <v>28369.954780261931</v>
      </c>
      <c r="G11" s="116">
        <f>G10*$E$27</f>
        <v>29079.203649768478</v>
      </c>
    </row>
    <row r="12" spans="2:10">
      <c r="B12" s="117" t="s">
        <v>298</v>
      </c>
      <c r="C12" s="115">
        <f>C11*$F$33</f>
        <v>14566.191714845381</v>
      </c>
      <c r="D12" s="115">
        <f>D11*$F$33</f>
        <v>14930.346507716513</v>
      </c>
      <c r="E12" s="115">
        <f>E11*$F$33</f>
        <v>15303.605170409428</v>
      </c>
      <c r="F12" s="115">
        <f>F11*$F$33</f>
        <v>15686.195299669662</v>
      </c>
      <c r="G12" s="115">
        <f>G11*$F$33</f>
        <v>16078.350182161403</v>
      </c>
    </row>
    <row r="13" spans="2:10">
      <c r="B13" s="220" t="s">
        <v>299</v>
      </c>
      <c r="C13" s="283">
        <f>C12*0.75</f>
        <v>10924.643786134036</v>
      </c>
      <c r="D13" s="283">
        <f>D12*0.75</f>
        <v>11197.759880787384</v>
      </c>
      <c r="E13" s="283">
        <f>E12*0.75</f>
        <v>11477.703877807071</v>
      </c>
      <c r="F13" s="283">
        <f>F12*0.75</f>
        <v>11764.646474752246</v>
      </c>
      <c r="G13" s="283">
        <f>G12*0.75</f>
        <v>12058.762636621052</v>
      </c>
    </row>
    <row r="14" spans="2:10">
      <c r="B14" s="220" t="s">
        <v>300</v>
      </c>
      <c r="C14" s="283">
        <f>C12*0.25</f>
        <v>3641.5479287113453</v>
      </c>
      <c r="D14" s="283">
        <f>D12*0.25</f>
        <v>3732.5866269291282</v>
      </c>
      <c r="E14" s="283">
        <f>E12*0.25</f>
        <v>3825.901292602357</v>
      </c>
      <c r="F14" s="283">
        <f>F12*0.25</f>
        <v>3921.5488249174155</v>
      </c>
      <c r="G14" s="283">
        <f>G12*0.25</f>
        <v>4019.5875455403507</v>
      </c>
    </row>
    <row r="15" spans="2:10">
      <c r="C15" s="37"/>
    </row>
    <row r="16" spans="2:10">
      <c r="J16" s="37"/>
    </row>
    <row r="17" spans="2:10">
      <c r="B17" s="254" t="s">
        <v>200</v>
      </c>
      <c r="J17" s="336"/>
    </row>
    <row r="18" spans="2:10">
      <c r="B18" s="29" t="s">
        <v>201</v>
      </c>
      <c r="C18" s="34" t="s">
        <v>202</v>
      </c>
      <c r="D18" s="29" t="s">
        <v>203</v>
      </c>
      <c r="F18" s="186"/>
    </row>
    <row r="19" spans="2:10" ht="15.75">
      <c r="B19" s="29" t="s">
        <v>204</v>
      </c>
      <c r="C19" s="75" t="s">
        <v>205</v>
      </c>
      <c r="D19" s="35" t="s">
        <v>206</v>
      </c>
      <c r="F19" s="37"/>
      <c r="I19" s="357" t="s">
        <v>386</v>
      </c>
      <c r="J19" s="357"/>
    </row>
    <row r="20" spans="2:10" ht="15.75">
      <c r="F20" s="37"/>
      <c r="I20" s="337" t="s">
        <v>128</v>
      </c>
      <c r="J20" s="338">
        <f>+C12/12</f>
        <v>1213.8493095704484</v>
      </c>
    </row>
    <row r="21" spans="2:10" ht="15.75">
      <c r="F21" s="37"/>
      <c r="I21" s="337" t="s">
        <v>387</v>
      </c>
      <c r="J21" s="338">
        <f>+J20/24</f>
        <v>50.577054565435354</v>
      </c>
    </row>
    <row r="22" spans="2:10">
      <c r="C22" s="356" t="s">
        <v>296</v>
      </c>
      <c r="D22" s="356"/>
      <c r="E22" s="356"/>
    </row>
    <row r="23" spans="2:10">
      <c r="C23" s="9">
        <v>7</v>
      </c>
      <c r="D23" s="118">
        <v>0.32</v>
      </c>
      <c r="E23" s="9">
        <f>C23*D23</f>
        <v>2.2400000000000002</v>
      </c>
    </row>
    <row r="24" spans="2:10">
      <c r="C24" s="9">
        <v>6</v>
      </c>
      <c r="D24" s="118">
        <v>0.3</v>
      </c>
      <c r="E24" s="9">
        <f>C24*D24</f>
        <v>1.7999999999999998</v>
      </c>
    </row>
    <row r="25" spans="2:10">
      <c r="C25" s="9">
        <v>3</v>
      </c>
      <c r="D25" s="118">
        <v>0.17</v>
      </c>
      <c r="E25" s="9">
        <f>C25*D25</f>
        <v>0.51</v>
      </c>
    </row>
    <row r="26" spans="2:10">
      <c r="C26" s="9">
        <v>2</v>
      </c>
      <c r="D26" s="118">
        <v>0.04</v>
      </c>
      <c r="E26" s="9">
        <f>C26*D26</f>
        <v>0.08</v>
      </c>
    </row>
    <row r="27" spans="2:10">
      <c r="B27" s="37"/>
      <c r="D27" s="120">
        <f>SUM(D23:D26)</f>
        <v>0.83000000000000007</v>
      </c>
      <c r="E27" s="119">
        <f>SUM(E23:E26)</f>
        <v>4.63</v>
      </c>
    </row>
    <row r="28" spans="2:10">
      <c r="B28" s="37"/>
    </row>
    <row r="29" spans="2:10">
      <c r="B29" s="174"/>
      <c r="C29" s="356" t="s">
        <v>297</v>
      </c>
      <c r="D29" s="356"/>
      <c r="E29" s="356"/>
      <c r="F29" s="356"/>
    </row>
    <row r="30" spans="2:10">
      <c r="B30" s="174"/>
      <c r="C30" s="9">
        <v>2</v>
      </c>
      <c r="D30" s="118">
        <v>0.43</v>
      </c>
      <c r="E30" s="9">
        <f>C30*D30</f>
        <v>0.86</v>
      </c>
      <c r="F30" s="9"/>
    </row>
    <row r="31" spans="2:10">
      <c r="C31" s="9">
        <v>4</v>
      </c>
      <c r="D31" s="118">
        <v>0.35</v>
      </c>
      <c r="E31" s="9">
        <f>C31*D31</f>
        <v>1.4</v>
      </c>
      <c r="F31" s="9"/>
    </row>
    <row r="32" spans="2:10">
      <c r="C32" s="9">
        <v>6</v>
      </c>
      <c r="D32" s="118">
        <v>0.05</v>
      </c>
      <c r="E32" s="9">
        <f>C32*D32</f>
        <v>0.30000000000000004</v>
      </c>
      <c r="F32" s="9"/>
    </row>
    <row r="33" spans="2:6" ht="15.75">
      <c r="C33" s="9"/>
      <c r="D33" s="120">
        <f>SUM(D30:D32)</f>
        <v>0.83000000000000007</v>
      </c>
      <c r="E33" s="119">
        <f>SUM(E30:E32)</f>
        <v>2.5599999999999996</v>
      </c>
      <c r="F33" s="169">
        <f>E33/E27</f>
        <v>0.55291576673866083</v>
      </c>
    </row>
    <row r="35" spans="2:6" ht="15.75">
      <c r="C35" s="175"/>
    </row>
    <row r="36" spans="2:6">
      <c r="C36" s="93" t="s">
        <v>359</v>
      </c>
    </row>
    <row r="37" spans="2:6">
      <c r="B37" s="93" t="s">
        <v>360</v>
      </c>
    </row>
    <row r="38" spans="2:6">
      <c r="B38" t="s">
        <v>362</v>
      </c>
      <c r="C38" s="19">
        <v>9</v>
      </c>
      <c r="D38" s="113">
        <f>+C38/$C$40</f>
        <v>0.75</v>
      </c>
    </row>
    <row r="39" spans="2:6" ht="15.75" thickBot="1">
      <c r="B39" t="s">
        <v>363</v>
      </c>
      <c r="C39" s="176">
        <v>3</v>
      </c>
      <c r="D39" s="113">
        <f>+C39/$C$40</f>
        <v>0.25</v>
      </c>
    </row>
    <row r="40" spans="2:6">
      <c r="C40">
        <f>SUM(C38:C39)</f>
        <v>12</v>
      </c>
    </row>
    <row r="42" spans="2:6">
      <c r="B42" s="93" t="s">
        <v>361</v>
      </c>
    </row>
    <row r="43" spans="2:6">
      <c r="B43" t="s">
        <v>364</v>
      </c>
      <c r="C43" s="19">
        <v>8</v>
      </c>
      <c r="D43" s="113">
        <f>+C43/$C$40</f>
        <v>0.66666666666666663</v>
      </c>
    </row>
    <row r="44" spans="2:6" ht="15.75" thickBot="1">
      <c r="B44" t="s">
        <v>365</v>
      </c>
      <c r="C44" s="176">
        <v>4</v>
      </c>
      <c r="D44" s="113">
        <f>+C44/$C$40</f>
        <v>0.33333333333333331</v>
      </c>
    </row>
    <row r="45" spans="2:6">
      <c r="C45">
        <f>SUM(C43:C44)</f>
        <v>12</v>
      </c>
    </row>
    <row r="47" spans="2:6">
      <c r="B47" t="s">
        <v>373</v>
      </c>
      <c r="C47" s="70">
        <v>0.67</v>
      </c>
    </row>
  </sheetData>
  <mergeCells count="3">
    <mergeCell ref="C22:E22"/>
    <mergeCell ref="C29:F29"/>
    <mergeCell ref="I19:J19"/>
  </mergeCells>
  <phoneticPr fontId="15" type="noConversion"/>
  <pageMargins left="0.75" right="0.75" top="1" bottom="1" header="0" footer="0"/>
  <pageSetup paperSize="9" orientation="portrait" horizontalDpi="4294967293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E25"/>
  <sheetViews>
    <sheetView topLeftCell="A6" workbookViewId="0">
      <selection activeCell="A17" sqref="A17:E25"/>
    </sheetView>
  </sheetViews>
  <sheetFormatPr baseColWidth="10" defaultRowHeight="15"/>
  <cols>
    <col min="1" max="1" width="31.85546875" customWidth="1"/>
  </cols>
  <sheetData>
    <row r="2" spans="1:2">
      <c r="A2" s="14" t="s">
        <v>155</v>
      </c>
      <c r="B2" s="18"/>
    </row>
    <row r="3" spans="1:2">
      <c r="A3" s="360" t="s">
        <v>156</v>
      </c>
      <c r="B3" s="361"/>
    </row>
    <row r="4" spans="1:2">
      <c r="A4" s="55" t="s">
        <v>157</v>
      </c>
      <c r="B4" s="56">
        <f>+INVERSION!B14</f>
        <v>45546</v>
      </c>
    </row>
    <row r="5" spans="1:2">
      <c r="A5" s="55" t="s">
        <v>158</v>
      </c>
      <c r="B5" s="56">
        <f>+INVERSION!B17</f>
        <v>18286.64564697702</v>
      </c>
    </row>
    <row r="6" spans="1:2">
      <c r="A6" s="55" t="s">
        <v>159</v>
      </c>
      <c r="B6" s="56">
        <f>B4+B5</f>
        <v>63832.64564697702</v>
      </c>
    </row>
    <row r="7" spans="1:2">
      <c r="A7" s="18"/>
      <c r="B7" s="18"/>
    </row>
    <row r="8" spans="1:2">
      <c r="A8" s="18"/>
      <c r="B8" s="18"/>
    </row>
    <row r="9" spans="1:2">
      <c r="A9" s="14" t="s">
        <v>160</v>
      </c>
      <c r="B9" s="18"/>
    </row>
    <row r="10" spans="1:2">
      <c r="A10" s="55" t="s">
        <v>69</v>
      </c>
      <c r="B10" s="57">
        <f>+INVERSION!C32</f>
        <v>28724.690541139658</v>
      </c>
    </row>
    <row r="11" spans="1:2">
      <c r="A11" s="55" t="s">
        <v>70</v>
      </c>
      <c r="B11" s="58">
        <f>-PMT(B12,B13,B10)</f>
        <v>7817.0661514524672</v>
      </c>
    </row>
    <row r="12" spans="1:2">
      <c r="A12" s="55" t="s">
        <v>71</v>
      </c>
      <c r="B12" s="123">
        <v>0.1123</v>
      </c>
    </row>
    <row r="13" spans="1:2">
      <c r="A13" s="55" t="s">
        <v>72</v>
      </c>
      <c r="B13" s="59">
        <v>5</v>
      </c>
    </row>
    <row r="17" spans="1:5">
      <c r="A17" s="358" t="s">
        <v>86</v>
      </c>
      <c r="B17" s="358"/>
      <c r="C17" s="358"/>
      <c r="D17" s="358"/>
      <c r="E17" s="358"/>
    </row>
    <row r="18" spans="1:5">
      <c r="A18" s="359" t="s">
        <v>87</v>
      </c>
      <c r="B18" s="359"/>
      <c r="C18" s="359"/>
      <c r="D18" s="359"/>
      <c r="E18" s="15">
        <v>0.1123</v>
      </c>
    </row>
    <row r="19" spans="1:5" ht="25.5">
      <c r="A19" s="16" t="s">
        <v>88</v>
      </c>
      <c r="B19" s="16" t="s">
        <v>89</v>
      </c>
      <c r="C19" s="16" t="s">
        <v>90</v>
      </c>
      <c r="D19" s="16" t="s">
        <v>91</v>
      </c>
      <c r="E19" s="16" t="s">
        <v>92</v>
      </c>
    </row>
    <row r="20" spans="1:5">
      <c r="A20" s="17">
        <v>0</v>
      </c>
      <c r="B20" s="17">
        <v>0</v>
      </c>
      <c r="C20" s="17">
        <v>0</v>
      </c>
      <c r="D20" s="17">
        <v>0</v>
      </c>
      <c r="E20" s="54">
        <f>+B10</f>
        <v>28724.690541139658</v>
      </c>
    </row>
    <row r="21" spans="1:5">
      <c r="A21" s="17">
        <v>1</v>
      </c>
      <c r="B21" s="53">
        <f>+$B11</f>
        <v>7817.0661514524672</v>
      </c>
      <c r="C21" s="54">
        <f>+B21-D21</f>
        <v>4591.2834036824843</v>
      </c>
      <c r="D21" s="54">
        <f>+(E20*B12)</f>
        <v>3225.7827477699834</v>
      </c>
      <c r="E21" s="53">
        <f>+E20-C21</f>
        <v>24133.407137457172</v>
      </c>
    </row>
    <row r="22" spans="1:5">
      <c r="A22" s="17">
        <v>2</v>
      </c>
      <c r="B22" s="53">
        <f>+B21</f>
        <v>7817.0661514524672</v>
      </c>
      <c r="C22" s="54">
        <f>+B22-D22</f>
        <v>5106.8845299160275</v>
      </c>
      <c r="D22" s="54">
        <f>+(E21*B12)</f>
        <v>2710.1816215364402</v>
      </c>
      <c r="E22" s="53">
        <f>+E21-C22</f>
        <v>19026.522607541145</v>
      </c>
    </row>
    <row r="23" spans="1:5">
      <c r="A23" s="17">
        <v>3</v>
      </c>
      <c r="B23" s="53">
        <f>+B22</f>
        <v>7817.0661514524672</v>
      </c>
      <c r="C23" s="54">
        <f>+B23-D23</f>
        <v>5680.3876626255969</v>
      </c>
      <c r="D23" s="54">
        <f>+(E22*B12)</f>
        <v>2136.6784888268703</v>
      </c>
      <c r="E23" s="53">
        <f>+E22-C23</f>
        <v>13346.134944915548</v>
      </c>
    </row>
    <row r="24" spans="1:5">
      <c r="A24" s="17">
        <v>4</v>
      </c>
      <c r="B24" s="53">
        <f>+B23</f>
        <v>7817.0661514524672</v>
      </c>
      <c r="C24" s="54">
        <f>+B24-D24</f>
        <v>6318.2951971384509</v>
      </c>
      <c r="D24" s="54">
        <f>+(E23*B12)</f>
        <v>1498.7709543140161</v>
      </c>
      <c r="E24" s="53">
        <f>+E23-C24</f>
        <v>7027.8397477770968</v>
      </c>
    </row>
    <row r="25" spans="1:5">
      <c r="A25" s="17">
        <v>5</v>
      </c>
      <c r="B25" s="53">
        <f>+B24</f>
        <v>7817.0661514524672</v>
      </c>
      <c r="C25" s="54">
        <f>+B25-D25</f>
        <v>7027.8397477770995</v>
      </c>
      <c r="D25" s="54">
        <f>+(E24*B12)</f>
        <v>789.22640367536792</v>
      </c>
      <c r="E25" s="53">
        <f>+E24-C25</f>
        <v>0</v>
      </c>
    </row>
  </sheetData>
  <mergeCells count="3">
    <mergeCell ref="A17:E17"/>
    <mergeCell ref="A18:D18"/>
    <mergeCell ref="A3:B3"/>
  </mergeCells>
  <phoneticPr fontId="15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121"/>
  <sheetViews>
    <sheetView workbookViewId="0">
      <selection activeCell="N2" sqref="N2"/>
    </sheetView>
  </sheetViews>
  <sheetFormatPr baseColWidth="10" defaultRowHeight="15"/>
  <cols>
    <col min="1" max="1" width="24" customWidth="1"/>
    <col min="2" max="2" width="6.85546875" customWidth="1"/>
    <col min="3" max="9" width="7.140625" customWidth="1"/>
    <col min="10" max="10" width="8.5703125" customWidth="1"/>
    <col min="11" max="11" width="7.140625" customWidth="1"/>
    <col min="12" max="12" width="9.42578125" customWidth="1"/>
    <col min="13" max="13" width="9.140625" customWidth="1"/>
    <col min="14" max="14" width="9.28515625" customWidth="1"/>
    <col min="17" max="17" width="11.42578125" bestFit="1" customWidth="1"/>
  </cols>
  <sheetData>
    <row r="1" spans="1:19">
      <c r="A1" s="93"/>
      <c r="D1" s="37"/>
      <c r="E1" s="36"/>
      <c r="G1" s="36"/>
    </row>
    <row r="2" spans="1:19" ht="23.25">
      <c r="A2" s="38"/>
    </row>
    <row r="3" spans="1:19" ht="18.75">
      <c r="A3" s="327" t="s">
        <v>133</v>
      </c>
      <c r="C3" s="70"/>
      <c r="E3" s="37"/>
    </row>
    <row r="4" spans="1:19">
      <c r="A4" s="104" t="s">
        <v>129</v>
      </c>
      <c r="B4" s="138">
        <v>0.45783132530120502</v>
      </c>
      <c r="C4" s="70"/>
      <c r="E4" s="37"/>
    </row>
    <row r="5" spans="1:19">
      <c r="A5" s="301" t="s">
        <v>49</v>
      </c>
      <c r="B5" s="301" t="s">
        <v>50</v>
      </c>
      <c r="C5" s="301" t="s">
        <v>51</v>
      </c>
      <c r="D5" s="301" t="s">
        <v>52</v>
      </c>
      <c r="E5" s="301" t="s">
        <v>53</v>
      </c>
      <c r="F5" s="301" t="s">
        <v>54</v>
      </c>
      <c r="G5" s="301" t="s">
        <v>55</v>
      </c>
      <c r="H5" s="301" t="s">
        <v>56</v>
      </c>
      <c r="I5" s="301" t="s">
        <v>301</v>
      </c>
      <c r="J5" s="301" t="s">
        <v>57</v>
      </c>
      <c r="K5" s="301" t="s">
        <v>58</v>
      </c>
      <c r="L5" s="301" t="s">
        <v>59</v>
      </c>
      <c r="M5" s="301" t="s">
        <v>60</v>
      </c>
      <c r="N5" s="302" t="s">
        <v>375</v>
      </c>
    </row>
    <row r="6" spans="1:19">
      <c r="A6" s="303" t="s">
        <v>355</v>
      </c>
      <c r="B6" s="303"/>
      <c r="C6" s="303">
        <v>13</v>
      </c>
      <c r="D6" s="303">
        <v>13</v>
      </c>
      <c r="E6" s="303">
        <v>13</v>
      </c>
      <c r="F6" s="303">
        <v>13</v>
      </c>
      <c r="G6" s="303">
        <v>13</v>
      </c>
      <c r="H6" s="303">
        <v>13</v>
      </c>
      <c r="I6" s="303">
        <v>13</v>
      </c>
      <c r="J6" s="303">
        <v>13</v>
      </c>
      <c r="K6" s="303">
        <v>13</v>
      </c>
      <c r="L6" s="303">
        <v>13</v>
      </c>
      <c r="M6" s="303">
        <v>13</v>
      </c>
      <c r="N6" s="303"/>
    </row>
    <row r="7" spans="1:19">
      <c r="A7" s="303" t="s">
        <v>356</v>
      </c>
      <c r="B7" s="303"/>
      <c r="C7" s="303">
        <v>2.5</v>
      </c>
      <c r="D7" s="303">
        <v>2.5</v>
      </c>
      <c r="E7" s="303">
        <v>2.5</v>
      </c>
      <c r="F7" s="303">
        <v>2.5</v>
      </c>
      <c r="G7" s="303">
        <v>2.5</v>
      </c>
      <c r="H7" s="303">
        <v>2.5</v>
      </c>
      <c r="I7" s="303">
        <v>2.5</v>
      </c>
      <c r="J7" s="303">
        <v>2.5</v>
      </c>
      <c r="K7" s="303">
        <v>2.5</v>
      </c>
      <c r="L7" s="303">
        <v>2.5</v>
      </c>
      <c r="M7" s="303">
        <v>2.5</v>
      </c>
      <c r="N7" s="303"/>
    </row>
    <row r="8" spans="1:19">
      <c r="A8" s="303" t="s">
        <v>61</v>
      </c>
      <c r="B8" s="303"/>
      <c r="C8" s="304">
        <f>(('CAPT MERCADO'!$C$13*'INGRESOS Y EGRESOS'!$B$4))/12</f>
        <v>416.8036785874433</v>
      </c>
      <c r="D8" s="304">
        <f>(('CAPT MERCADO'!$C$13*'INGRESOS Y EGRESOS'!$B$4))/12</f>
        <v>416.8036785874433</v>
      </c>
      <c r="E8" s="304">
        <f>(('CAPT MERCADO'!$C$13*'INGRESOS Y EGRESOS'!$B$4))/12</f>
        <v>416.8036785874433</v>
      </c>
      <c r="F8" s="304">
        <f>(('CAPT MERCADO'!$C$13*'INGRESOS Y EGRESOS'!$B$4))/12</f>
        <v>416.8036785874433</v>
      </c>
      <c r="G8" s="304">
        <f>(('CAPT MERCADO'!$C$13*'INGRESOS Y EGRESOS'!$B$4))/12</f>
        <v>416.8036785874433</v>
      </c>
      <c r="H8" s="304">
        <f>(('CAPT MERCADO'!$C$13*'INGRESOS Y EGRESOS'!$B$4))/12</f>
        <v>416.8036785874433</v>
      </c>
      <c r="I8" s="304">
        <f>(('CAPT MERCADO'!$C$13*'INGRESOS Y EGRESOS'!$B$4))/12</f>
        <v>416.8036785874433</v>
      </c>
      <c r="J8" s="304">
        <f>(('CAPT MERCADO'!$C$13*'INGRESOS Y EGRESOS'!$B$4))/12</f>
        <v>416.8036785874433</v>
      </c>
      <c r="K8" s="304">
        <f>(('CAPT MERCADO'!$C$13*'INGRESOS Y EGRESOS'!$B$4))/12</f>
        <v>416.8036785874433</v>
      </c>
      <c r="L8" s="304">
        <f>(('CAPT MERCADO'!$C$13*'INGRESOS Y EGRESOS'!$B$4))/12</f>
        <v>416.8036785874433</v>
      </c>
      <c r="M8" s="304">
        <f>(('CAPT MERCADO'!$C$13*'INGRESOS Y EGRESOS'!$B$4))/12</f>
        <v>416.8036785874433</v>
      </c>
      <c r="N8" s="304">
        <f>SUM(C8:M8)</f>
        <v>4584.8404644618768</v>
      </c>
    </row>
    <row r="9" spans="1:19">
      <c r="A9" s="303" t="s">
        <v>357</v>
      </c>
      <c r="B9" s="303"/>
      <c r="C9" s="305">
        <f>+(C8*C6)</f>
        <v>5418.4478216367625</v>
      </c>
      <c r="D9" s="305">
        <f t="shared" ref="D9:M9" si="0">+D8*D6</f>
        <v>5418.4478216367625</v>
      </c>
      <c r="E9" s="305">
        <f t="shared" si="0"/>
        <v>5418.4478216367625</v>
      </c>
      <c r="F9" s="305">
        <f t="shared" si="0"/>
        <v>5418.4478216367625</v>
      </c>
      <c r="G9" s="305">
        <f t="shared" si="0"/>
        <v>5418.4478216367625</v>
      </c>
      <c r="H9" s="305">
        <f t="shared" si="0"/>
        <v>5418.4478216367625</v>
      </c>
      <c r="I9" s="305">
        <f t="shared" si="0"/>
        <v>5418.4478216367625</v>
      </c>
      <c r="J9" s="305">
        <f t="shared" si="0"/>
        <v>5418.4478216367625</v>
      </c>
      <c r="K9" s="305">
        <f t="shared" si="0"/>
        <v>5418.4478216367625</v>
      </c>
      <c r="L9" s="305">
        <f t="shared" si="0"/>
        <v>5418.4478216367625</v>
      </c>
      <c r="M9" s="305">
        <f t="shared" si="0"/>
        <v>5418.4478216367625</v>
      </c>
      <c r="N9" s="303"/>
    </row>
    <row r="10" spans="1:19">
      <c r="A10" s="303" t="s">
        <v>358</v>
      </c>
      <c r="B10" s="303"/>
      <c r="C10" s="305">
        <f>+(C8*'CAPT MERCADO'!$D$43)*'INGRESOS Y EGRESOS'!C7</f>
        <v>694.67279764573868</v>
      </c>
      <c r="D10" s="305">
        <f>+(D8*'CAPT MERCADO'!$D$43)*'INGRESOS Y EGRESOS'!D7</f>
        <v>694.67279764573868</v>
      </c>
      <c r="E10" s="305">
        <f>+(E8*'CAPT MERCADO'!$D$43)*'INGRESOS Y EGRESOS'!E7</f>
        <v>694.67279764573868</v>
      </c>
      <c r="F10" s="305">
        <f>+(F8*'CAPT MERCADO'!$D$43)*'INGRESOS Y EGRESOS'!F7</f>
        <v>694.67279764573868</v>
      </c>
      <c r="G10" s="305">
        <f>+(G8*'CAPT MERCADO'!$D$43)*'INGRESOS Y EGRESOS'!G7</f>
        <v>694.67279764573868</v>
      </c>
      <c r="H10" s="305">
        <f>+(H8*'CAPT MERCADO'!$D$43)*'INGRESOS Y EGRESOS'!H7</f>
        <v>694.67279764573868</v>
      </c>
      <c r="I10" s="305">
        <f>+(I8*'CAPT MERCADO'!$D$43)*'INGRESOS Y EGRESOS'!I7</f>
        <v>694.67279764573868</v>
      </c>
      <c r="J10" s="305">
        <f>+(J8*'CAPT MERCADO'!$D$43)*'INGRESOS Y EGRESOS'!J7</f>
        <v>694.67279764573868</v>
      </c>
      <c r="K10" s="305">
        <f>+(K8*'CAPT MERCADO'!$D$43)*'INGRESOS Y EGRESOS'!K7</f>
        <v>694.67279764573868</v>
      </c>
      <c r="L10" s="305">
        <f>+(L8*'CAPT MERCADO'!$D$43)*'INGRESOS Y EGRESOS'!L7</f>
        <v>694.67279764573868</v>
      </c>
      <c r="M10" s="305">
        <f>+(M8*'CAPT MERCADO'!$D$43)*'INGRESOS Y EGRESOS'!M7</f>
        <v>694.67279764573868</v>
      </c>
      <c r="N10" s="305"/>
    </row>
    <row r="11" spans="1:19">
      <c r="A11" s="303" t="s">
        <v>367</v>
      </c>
      <c r="B11" s="303"/>
      <c r="C11" s="305">
        <f>SUM(C9:C10)</f>
        <v>6113.1206192825011</v>
      </c>
      <c r="D11" s="305">
        <f t="shared" ref="D11:M11" si="1">SUM(D9:D10)</f>
        <v>6113.1206192825011</v>
      </c>
      <c r="E11" s="305">
        <f t="shared" si="1"/>
        <v>6113.1206192825011</v>
      </c>
      <c r="F11" s="305">
        <f t="shared" si="1"/>
        <v>6113.1206192825011</v>
      </c>
      <c r="G11" s="305">
        <f t="shared" si="1"/>
        <v>6113.1206192825011</v>
      </c>
      <c r="H11" s="305">
        <f t="shared" si="1"/>
        <v>6113.1206192825011</v>
      </c>
      <c r="I11" s="305">
        <f t="shared" si="1"/>
        <v>6113.1206192825011</v>
      </c>
      <c r="J11" s="305">
        <f t="shared" si="1"/>
        <v>6113.1206192825011</v>
      </c>
      <c r="K11" s="305">
        <f t="shared" si="1"/>
        <v>6113.1206192825011</v>
      </c>
      <c r="L11" s="305">
        <f t="shared" si="1"/>
        <v>6113.1206192825011</v>
      </c>
      <c r="M11" s="305">
        <f t="shared" si="1"/>
        <v>6113.1206192825011</v>
      </c>
      <c r="N11" s="303"/>
      <c r="Q11" s="37"/>
    </row>
    <row r="12" spans="1:19"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Q12" s="37"/>
    </row>
    <row r="13" spans="1:19">
      <c r="A13" s="128" t="s">
        <v>130</v>
      </c>
      <c r="B13" s="307">
        <v>0.19277108433734941</v>
      </c>
      <c r="C13" s="308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</row>
    <row r="14" spans="1:19">
      <c r="A14" s="301" t="s">
        <v>49</v>
      </c>
      <c r="B14" s="301" t="s">
        <v>50</v>
      </c>
      <c r="C14" s="301" t="s">
        <v>51</v>
      </c>
      <c r="D14" s="301" t="s">
        <v>52</v>
      </c>
      <c r="E14" s="301" t="s">
        <v>53</v>
      </c>
      <c r="F14" s="301" t="s">
        <v>54</v>
      </c>
      <c r="G14" s="301" t="s">
        <v>55</v>
      </c>
      <c r="H14" s="301" t="s">
        <v>56</v>
      </c>
      <c r="I14" s="301" t="s">
        <v>301</v>
      </c>
      <c r="J14" s="301" t="s">
        <v>57</v>
      </c>
      <c r="K14" s="301" t="s">
        <v>58</v>
      </c>
      <c r="L14" s="301" t="s">
        <v>59</v>
      </c>
      <c r="M14" s="301" t="s">
        <v>60</v>
      </c>
      <c r="N14" s="302" t="s">
        <v>375</v>
      </c>
    </row>
    <row r="15" spans="1:19">
      <c r="A15" s="303" t="s">
        <v>355</v>
      </c>
      <c r="B15" s="303"/>
      <c r="C15" s="303">
        <v>13</v>
      </c>
      <c r="D15" s="303">
        <v>13</v>
      </c>
      <c r="E15" s="303">
        <v>13</v>
      </c>
      <c r="F15" s="303">
        <v>13</v>
      </c>
      <c r="G15" s="303">
        <v>13</v>
      </c>
      <c r="H15" s="303">
        <v>13</v>
      </c>
      <c r="I15" s="303">
        <v>13</v>
      </c>
      <c r="J15" s="303">
        <v>13</v>
      </c>
      <c r="K15" s="303">
        <v>13</v>
      </c>
      <c r="L15" s="303">
        <v>13</v>
      </c>
      <c r="M15" s="303">
        <v>13</v>
      </c>
      <c r="N15" s="303"/>
    </row>
    <row r="16" spans="1:19">
      <c r="A16" s="303" t="s">
        <v>356</v>
      </c>
      <c r="B16" s="303"/>
      <c r="C16" s="303">
        <v>2.5</v>
      </c>
      <c r="D16" s="303">
        <v>2.5</v>
      </c>
      <c r="E16" s="303">
        <v>2.5</v>
      </c>
      <c r="F16" s="303">
        <v>2.5</v>
      </c>
      <c r="G16" s="303">
        <v>2.5</v>
      </c>
      <c r="H16" s="303">
        <v>2.5</v>
      </c>
      <c r="I16" s="303">
        <v>2.5</v>
      </c>
      <c r="J16" s="303">
        <v>2.5</v>
      </c>
      <c r="K16" s="303">
        <v>2.5</v>
      </c>
      <c r="L16" s="303">
        <v>2.5</v>
      </c>
      <c r="M16" s="303">
        <v>2.5</v>
      </c>
      <c r="N16" s="303"/>
      <c r="P16" s="9">
        <v>38</v>
      </c>
      <c r="Q16" s="185">
        <f>+P16/$P$20</f>
        <v>0.45783132530120479</v>
      </c>
      <c r="S16" s="37">
        <f>+(Q16*'CAPT MERCADO'!$C$13)/12</f>
        <v>416.80367858744313</v>
      </c>
    </row>
    <row r="17" spans="1:19">
      <c r="A17" s="303" t="s">
        <v>61</v>
      </c>
      <c r="B17" s="303"/>
      <c r="C17" s="304">
        <f>('CAPT MERCADO'!$C$13*'INGRESOS Y EGRESOS'!$B$13)/12</f>
        <v>175.4962857210287</v>
      </c>
      <c r="D17" s="304">
        <f>('CAPT MERCADO'!$C$13*'INGRESOS Y EGRESOS'!$B$13)/12</f>
        <v>175.4962857210287</v>
      </c>
      <c r="E17" s="304">
        <f>('CAPT MERCADO'!$C$13*'INGRESOS Y EGRESOS'!$B$13)/12</f>
        <v>175.4962857210287</v>
      </c>
      <c r="F17" s="304">
        <f>('CAPT MERCADO'!$C$13*'INGRESOS Y EGRESOS'!$B$13)/12</f>
        <v>175.4962857210287</v>
      </c>
      <c r="G17" s="304">
        <f>('CAPT MERCADO'!$C$13*'INGRESOS Y EGRESOS'!$B$13)/12</f>
        <v>175.4962857210287</v>
      </c>
      <c r="H17" s="304">
        <f>('CAPT MERCADO'!$C$13*'INGRESOS Y EGRESOS'!$B$13)/12</f>
        <v>175.4962857210287</v>
      </c>
      <c r="I17" s="304">
        <f>('CAPT MERCADO'!$C$13*'INGRESOS Y EGRESOS'!$B$13)/12</f>
        <v>175.4962857210287</v>
      </c>
      <c r="J17" s="304">
        <f>('CAPT MERCADO'!$C$13*'INGRESOS Y EGRESOS'!$B$13)/12</f>
        <v>175.4962857210287</v>
      </c>
      <c r="K17" s="304">
        <f>('CAPT MERCADO'!$C$13*'INGRESOS Y EGRESOS'!$B$13)/12</f>
        <v>175.4962857210287</v>
      </c>
      <c r="L17" s="304">
        <f>('CAPT MERCADO'!$C$13*'INGRESOS Y EGRESOS'!$B$13)/12</f>
        <v>175.4962857210287</v>
      </c>
      <c r="M17" s="304">
        <f>('CAPT MERCADO'!$C$13*'INGRESOS Y EGRESOS'!$B$13)/12</f>
        <v>175.4962857210287</v>
      </c>
      <c r="N17" s="304">
        <f>SUM(C17:M17)</f>
        <v>1930.4591429313157</v>
      </c>
      <c r="P17" s="9">
        <v>16</v>
      </c>
      <c r="Q17" s="185">
        <f>+P17/$P$20</f>
        <v>0.19277108433734941</v>
      </c>
      <c r="S17" s="37">
        <f>+(Q17*'CAPT MERCADO'!$C$13)/12</f>
        <v>175.4962857210287</v>
      </c>
    </row>
    <row r="18" spans="1:19">
      <c r="A18" s="303" t="s">
        <v>357</v>
      </c>
      <c r="B18" s="303"/>
      <c r="C18" s="305">
        <f>+(C17*C15)</f>
        <v>2281.4517143733729</v>
      </c>
      <c r="D18" s="305">
        <f t="shared" ref="D18:I18" si="2">+D17*D15</f>
        <v>2281.4517143733729</v>
      </c>
      <c r="E18" s="305">
        <f t="shared" si="2"/>
        <v>2281.4517143733729</v>
      </c>
      <c r="F18" s="305">
        <f t="shared" si="2"/>
        <v>2281.4517143733729</v>
      </c>
      <c r="G18" s="305">
        <f t="shared" si="2"/>
        <v>2281.4517143733729</v>
      </c>
      <c r="H18" s="305">
        <f t="shared" si="2"/>
        <v>2281.4517143733729</v>
      </c>
      <c r="I18" s="305">
        <f t="shared" si="2"/>
        <v>2281.4517143733729</v>
      </c>
      <c r="J18" s="305">
        <f>+J17*J15</f>
        <v>2281.4517143733729</v>
      </c>
      <c r="K18" s="305">
        <f>+K17*K15</f>
        <v>2281.4517143733729</v>
      </c>
      <c r="L18" s="305">
        <f>+L17*L15</f>
        <v>2281.4517143733729</v>
      </c>
      <c r="M18" s="305">
        <f>+M17*M15</f>
        <v>2281.4517143733729</v>
      </c>
      <c r="N18" s="303"/>
      <c r="P18" s="9">
        <v>14</v>
      </c>
      <c r="Q18" s="185">
        <f>+P18/$P$20</f>
        <v>0.16867469879518071</v>
      </c>
      <c r="S18" s="37">
        <f>+(Q18*'CAPT MERCADO'!$C$13)/12</f>
        <v>153.55925000590011</v>
      </c>
    </row>
    <row r="19" spans="1:19">
      <c r="A19" s="303" t="s">
        <v>358</v>
      </c>
      <c r="B19" s="303"/>
      <c r="C19" s="305">
        <f>+(C17*'CAPT MERCADO'!$D$43)*'INGRESOS Y EGRESOS'!C16</f>
        <v>292.49380953504783</v>
      </c>
      <c r="D19" s="305">
        <f>+(D17*'CAPT MERCADO'!$D$43)*'INGRESOS Y EGRESOS'!D16</f>
        <v>292.49380953504783</v>
      </c>
      <c r="E19" s="305">
        <f>+(E17*'CAPT MERCADO'!$D$43)*'INGRESOS Y EGRESOS'!E16</f>
        <v>292.49380953504783</v>
      </c>
      <c r="F19" s="305">
        <f>+(F17*'CAPT MERCADO'!$D$43)*'INGRESOS Y EGRESOS'!F16</f>
        <v>292.49380953504783</v>
      </c>
      <c r="G19" s="305">
        <f>+(G17*'CAPT MERCADO'!$D$43)*'INGRESOS Y EGRESOS'!G16</f>
        <v>292.49380953504783</v>
      </c>
      <c r="H19" s="305">
        <f>+(H17*'CAPT MERCADO'!$D$43)*'INGRESOS Y EGRESOS'!H16</f>
        <v>292.49380953504783</v>
      </c>
      <c r="I19" s="305">
        <f>+(I17*'CAPT MERCADO'!$D$43)*'INGRESOS Y EGRESOS'!I16</f>
        <v>292.49380953504783</v>
      </c>
      <c r="J19" s="305">
        <f>+(J17*'CAPT MERCADO'!$D$43)*'INGRESOS Y EGRESOS'!J16</f>
        <v>292.49380953504783</v>
      </c>
      <c r="K19" s="305">
        <f>+(K17*'CAPT MERCADO'!$D$43)*'INGRESOS Y EGRESOS'!K16</f>
        <v>292.49380953504783</v>
      </c>
      <c r="L19" s="305">
        <f>+(L17*'CAPT MERCADO'!$D$43)*'INGRESOS Y EGRESOS'!L16</f>
        <v>292.49380953504783</v>
      </c>
      <c r="M19" s="305">
        <f>+(M17*'CAPT MERCADO'!$D$43)*'INGRESOS Y EGRESOS'!M16</f>
        <v>292.49380953504783</v>
      </c>
      <c r="N19" s="303"/>
      <c r="P19" s="9">
        <v>15</v>
      </c>
      <c r="Q19" s="185">
        <f>+P19/$P$20</f>
        <v>0.18072289156626506</v>
      </c>
      <c r="S19" s="37">
        <f>+(Q19*'CAPT MERCADO'!$C$13)/12</f>
        <v>164.52776786346439</v>
      </c>
    </row>
    <row r="20" spans="1:19">
      <c r="A20" s="303" t="s">
        <v>367</v>
      </c>
      <c r="B20" s="303"/>
      <c r="C20" s="305">
        <f t="shared" ref="C20:M20" si="3">SUM(C18:C19)</f>
        <v>2573.9455239084209</v>
      </c>
      <c r="D20" s="305">
        <f t="shared" si="3"/>
        <v>2573.9455239084209</v>
      </c>
      <c r="E20" s="305">
        <f t="shared" si="3"/>
        <v>2573.9455239084209</v>
      </c>
      <c r="F20" s="305">
        <f t="shared" si="3"/>
        <v>2573.9455239084209</v>
      </c>
      <c r="G20" s="305">
        <f t="shared" si="3"/>
        <v>2573.9455239084209</v>
      </c>
      <c r="H20" s="305">
        <f t="shared" si="3"/>
        <v>2573.9455239084209</v>
      </c>
      <c r="I20" s="305">
        <f t="shared" si="3"/>
        <v>2573.9455239084209</v>
      </c>
      <c r="J20" s="305">
        <f t="shared" si="3"/>
        <v>2573.9455239084209</v>
      </c>
      <c r="K20" s="305">
        <f t="shared" si="3"/>
        <v>2573.9455239084209</v>
      </c>
      <c r="L20" s="305">
        <f t="shared" si="3"/>
        <v>2573.9455239084209</v>
      </c>
      <c r="M20" s="305">
        <f t="shared" si="3"/>
        <v>2573.9455239084209</v>
      </c>
      <c r="N20" s="303"/>
      <c r="P20" s="9">
        <f>SUM(P16:P19)</f>
        <v>83</v>
      </c>
      <c r="Q20" s="9">
        <f>+P20/$P$20</f>
        <v>1</v>
      </c>
    </row>
    <row r="21" spans="1:19">
      <c r="A21" s="309"/>
      <c r="B21" s="309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Q21" s="37"/>
    </row>
    <row r="22" spans="1:19">
      <c r="A22" s="128" t="s">
        <v>132</v>
      </c>
      <c r="B22" s="307">
        <v>0.16867469879518071</v>
      </c>
      <c r="C22" s="308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Q22" s="37"/>
    </row>
    <row r="23" spans="1:19">
      <c r="A23" s="301" t="s">
        <v>49</v>
      </c>
      <c r="B23" s="301" t="s">
        <v>50</v>
      </c>
      <c r="C23" s="301" t="s">
        <v>51</v>
      </c>
      <c r="D23" s="301" t="s">
        <v>52</v>
      </c>
      <c r="E23" s="301" t="s">
        <v>53</v>
      </c>
      <c r="F23" s="301" t="s">
        <v>54</v>
      </c>
      <c r="G23" s="301" t="s">
        <v>55</v>
      </c>
      <c r="H23" s="301" t="s">
        <v>56</v>
      </c>
      <c r="I23" s="301" t="s">
        <v>301</v>
      </c>
      <c r="J23" s="301" t="s">
        <v>57</v>
      </c>
      <c r="K23" s="301" t="s">
        <v>58</v>
      </c>
      <c r="L23" s="301" t="s">
        <v>59</v>
      </c>
      <c r="M23" s="301" t="s">
        <v>60</v>
      </c>
      <c r="N23" s="302" t="s">
        <v>375</v>
      </c>
      <c r="Q23" s="37">
        <f>+N8+N17+N26+N35+N45+N54+N63+N72</f>
        <v>13769.146083862379</v>
      </c>
    </row>
    <row r="24" spans="1:19">
      <c r="A24" s="303" t="s">
        <v>355</v>
      </c>
      <c r="B24" s="303"/>
      <c r="C24" s="303">
        <v>10</v>
      </c>
      <c r="D24" s="303">
        <v>10</v>
      </c>
      <c r="E24" s="303">
        <v>10</v>
      </c>
      <c r="F24" s="303">
        <v>10</v>
      </c>
      <c r="G24" s="303">
        <v>10</v>
      </c>
      <c r="H24" s="303">
        <v>10</v>
      </c>
      <c r="I24" s="303">
        <v>10</v>
      </c>
      <c r="J24" s="303">
        <v>10</v>
      </c>
      <c r="K24" s="303">
        <v>10</v>
      </c>
      <c r="L24" s="303">
        <v>10</v>
      </c>
      <c r="M24" s="303">
        <v>10</v>
      </c>
      <c r="N24" s="303"/>
    </row>
    <row r="25" spans="1:19">
      <c r="A25" s="303" t="s">
        <v>356</v>
      </c>
      <c r="B25" s="303"/>
      <c r="C25" s="303">
        <v>2.5</v>
      </c>
      <c r="D25" s="303">
        <v>2.5</v>
      </c>
      <c r="E25" s="303">
        <v>2.5</v>
      </c>
      <c r="F25" s="303">
        <v>2.5</v>
      </c>
      <c r="G25" s="303">
        <v>2.5</v>
      </c>
      <c r="H25" s="303">
        <v>2.5</v>
      </c>
      <c r="I25" s="303">
        <v>2.5</v>
      </c>
      <c r="J25" s="303">
        <v>2.5</v>
      </c>
      <c r="K25" s="303">
        <v>2.5</v>
      </c>
      <c r="L25" s="303">
        <v>2.5</v>
      </c>
      <c r="M25" s="303">
        <v>2.5</v>
      </c>
      <c r="N25" s="303"/>
    </row>
    <row r="26" spans="1:19">
      <c r="A26" s="303" t="s">
        <v>61</v>
      </c>
      <c r="B26" s="303"/>
      <c r="C26" s="304">
        <f>('CAPT MERCADO'!$C$13*'INGRESOS Y EGRESOS'!$B$22)/12</f>
        <v>153.55925000590011</v>
      </c>
      <c r="D26" s="304">
        <f t="shared" ref="D26:I26" si="4">+C26</f>
        <v>153.55925000590011</v>
      </c>
      <c r="E26" s="304">
        <f t="shared" si="4"/>
        <v>153.55925000590011</v>
      </c>
      <c r="F26" s="304">
        <f t="shared" si="4"/>
        <v>153.55925000590011</v>
      </c>
      <c r="G26" s="304">
        <f t="shared" si="4"/>
        <v>153.55925000590011</v>
      </c>
      <c r="H26" s="304">
        <f t="shared" si="4"/>
        <v>153.55925000590011</v>
      </c>
      <c r="I26" s="304">
        <f t="shared" si="4"/>
        <v>153.55925000590011</v>
      </c>
      <c r="J26" s="304">
        <f>+I26</f>
        <v>153.55925000590011</v>
      </c>
      <c r="K26" s="304">
        <f>+J26</f>
        <v>153.55925000590011</v>
      </c>
      <c r="L26" s="304">
        <f>+K26</f>
        <v>153.55925000590011</v>
      </c>
      <c r="M26" s="304">
        <f>+L26</f>
        <v>153.55925000590011</v>
      </c>
      <c r="N26" s="304">
        <f>SUM(C26:M26)</f>
        <v>1689.1517500649013</v>
      </c>
    </row>
    <row r="27" spans="1:19">
      <c r="A27" s="303" t="s">
        <v>357</v>
      </c>
      <c r="B27" s="303"/>
      <c r="C27" s="305">
        <f>+(C26*C24)</f>
        <v>1535.5925000590012</v>
      </c>
      <c r="D27" s="305">
        <f t="shared" ref="D27:M27" si="5">+D26*D24</f>
        <v>1535.5925000590012</v>
      </c>
      <c r="E27" s="305">
        <f t="shared" si="5"/>
        <v>1535.5925000590012</v>
      </c>
      <c r="F27" s="305">
        <f t="shared" si="5"/>
        <v>1535.5925000590012</v>
      </c>
      <c r="G27" s="305">
        <f t="shared" si="5"/>
        <v>1535.5925000590012</v>
      </c>
      <c r="H27" s="305">
        <f t="shared" si="5"/>
        <v>1535.5925000590012</v>
      </c>
      <c r="I27" s="305">
        <f t="shared" si="5"/>
        <v>1535.5925000590012</v>
      </c>
      <c r="J27" s="305">
        <f t="shared" si="5"/>
        <v>1535.5925000590012</v>
      </c>
      <c r="K27" s="305">
        <f t="shared" si="5"/>
        <v>1535.5925000590012</v>
      </c>
      <c r="L27" s="305">
        <f t="shared" si="5"/>
        <v>1535.5925000590012</v>
      </c>
      <c r="M27" s="305">
        <f t="shared" si="5"/>
        <v>1535.5925000590012</v>
      </c>
      <c r="N27" s="303"/>
    </row>
    <row r="28" spans="1:19">
      <c r="A28" s="303" t="s">
        <v>358</v>
      </c>
      <c r="B28" s="303"/>
      <c r="C28" s="305">
        <f>+(C26*'CAPT MERCADO'!$D$43)*'INGRESOS Y EGRESOS'!C25</f>
        <v>255.93208334316685</v>
      </c>
      <c r="D28" s="305">
        <f>+(D26*'CAPT MERCADO'!$D$43)*'INGRESOS Y EGRESOS'!D25</f>
        <v>255.93208334316685</v>
      </c>
      <c r="E28" s="305">
        <f>+(E26*'CAPT MERCADO'!$D$43)*'INGRESOS Y EGRESOS'!E25</f>
        <v>255.93208334316685</v>
      </c>
      <c r="F28" s="305">
        <f>+(F26*'CAPT MERCADO'!$D$43)*'INGRESOS Y EGRESOS'!F25</f>
        <v>255.93208334316685</v>
      </c>
      <c r="G28" s="305">
        <f>+(G26*'CAPT MERCADO'!$D$43)*'INGRESOS Y EGRESOS'!G25</f>
        <v>255.93208334316685</v>
      </c>
      <c r="H28" s="305">
        <f>+(H26*'CAPT MERCADO'!$D$43)*'INGRESOS Y EGRESOS'!H25</f>
        <v>255.93208334316685</v>
      </c>
      <c r="I28" s="305">
        <f>+(I26*'CAPT MERCADO'!$D$43)*'INGRESOS Y EGRESOS'!I25</f>
        <v>255.93208334316685</v>
      </c>
      <c r="J28" s="305">
        <f>+(J26*'CAPT MERCADO'!$D$43)*'INGRESOS Y EGRESOS'!J25</f>
        <v>255.93208334316685</v>
      </c>
      <c r="K28" s="305">
        <f>+(K26*'CAPT MERCADO'!$D$43)*'INGRESOS Y EGRESOS'!K25</f>
        <v>255.93208334316685</v>
      </c>
      <c r="L28" s="305">
        <f>+(L26*'CAPT MERCADO'!$D$43)*'INGRESOS Y EGRESOS'!L25</f>
        <v>255.93208334316685</v>
      </c>
      <c r="M28" s="305">
        <f>+(M26*'CAPT MERCADO'!$D$43)*'INGRESOS Y EGRESOS'!M25</f>
        <v>255.93208334316685</v>
      </c>
      <c r="N28" s="303"/>
    </row>
    <row r="29" spans="1:19">
      <c r="A29" s="303" t="s">
        <v>367</v>
      </c>
      <c r="B29" s="303"/>
      <c r="C29" s="305">
        <f t="shared" ref="C29:M29" si="6">SUM(C27:C28)</f>
        <v>1791.524583402168</v>
      </c>
      <c r="D29" s="305">
        <f t="shared" si="6"/>
        <v>1791.524583402168</v>
      </c>
      <c r="E29" s="305">
        <f t="shared" si="6"/>
        <v>1791.524583402168</v>
      </c>
      <c r="F29" s="305">
        <f t="shared" si="6"/>
        <v>1791.524583402168</v>
      </c>
      <c r="G29" s="305">
        <f t="shared" si="6"/>
        <v>1791.524583402168</v>
      </c>
      <c r="H29" s="305">
        <f t="shared" si="6"/>
        <v>1791.524583402168</v>
      </c>
      <c r="I29" s="305">
        <f t="shared" si="6"/>
        <v>1791.524583402168</v>
      </c>
      <c r="J29" s="305">
        <f t="shared" si="6"/>
        <v>1791.524583402168</v>
      </c>
      <c r="K29" s="305">
        <f t="shared" si="6"/>
        <v>1791.524583402168</v>
      </c>
      <c r="L29" s="305">
        <f t="shared" si="6"/>
        <v>1791.524583402168</v>
      </c>
      <c r="M29" s="305">
        <f t="shared" si="6"/>
        <v>1791.524583402168</v>
      </c>
      <c r="N29" s="303"/>
    </row>
    <row r="30" spans="1:19">
      <c r="A30" s="309"/>
      <c r="B30" s="309"/>
      <c r="C30" s="309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</row>
    <row r="31" spans="1:19">
      <c r="A31" s="128" t="s">
        <v>131</v>
      </c>
      <c r="B31" s="307">
        <v>0.18072289156626506</v>
      </c>
      <c r="C31" s="308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</row>
    <row r="32" spans="1:19">
      <c r="A32" s="301" t="s">
        <v>49</v>
      </c>
      <c r="B32" s="301" t="s">
        <v>50</v>
      </c>
      <c r="C32" s="301" t="s">
        <v>51</v>
      </c>
      <c r="D32" s="301" t="s">
        <v>52</v>
      </c>
      <c r="E32" s="301" t="s">
        <v>53</v>
      </c>
      <c r="F32" s="301" t="s">
        <v>54</v>
      </c>
      <c r="G32" s="301" t="s">
        <v>55</v>
      </c>
      <c r="H32" s="301" t="s">
        <v>56</v>
      </c>
      <c r="I32" s="301" t="s">
        <v>301</v>
      </c>
      <c r="J32" s="301" t="s">
        <v>57</v>
      </c>
      <c r="K32" s="301" t="s">
        <v>58</v>
      </c>
      <c r="L32" s="301" t="s">
        <v>59</v>
      </c>
      <c r="M32" s="301" t="s">
        <v>60</v>
      </c>
      <c r="N32" s="302" t="s">
        <v>375</v>
      </c>
    </row>
    <row r="33" spans="1:14">
      <c r="A33" s="303" t="s">
        <v>355</v>
      </c>
      <c r="B33" s="303">
        <v>15</v>
      </c>
      <c r="C33" s="303">
        <v>15</v>
      </c>
      <c r="D33" s="303">
        <v>15</v>
      </c>
      <c r="E33" s="303">
        <v>15</v>
      </c>
      <c r="F33" s="303">
        <v>15</v>
      </c>
      <c r="G33" s="303">
        <v>15</v>
      </c>
      <c r="H33" s="303">
        <v>15</v>
      </c>
      <c r="I33" s="303">
        <v>15</v>
      </c>
      <c r="J33" s="303">
        <v>15</v>
      </c>
      <c r="K33" s="303">
        <v>15</v>
      </c>
      <c r="L33" s="303">
        <v>15</v>
      </c>
      <c r="M33" s="303">
        <v>15</v>
      </c>
      <c r="N33" s="303"/>
    </row>
    <row r="34" spans="1:14">
      <c r="A34" s="303" t="s">
        <v>356</v>
      </c>
      <c r="B34" s="303">
        <v>2.5</v>
      </c>
      <c r="C34" s="303">
        <v>2.5</v>
      </c>
      <c r="D34" s="303">
        <v>2.5</v>
      </c>
      <c r="E34" s="303">
        <v>2.5</v>
      </c>
      <c r="F34" s="303">
        <v>2.5</v>
      </c>
      <c r="G34" s="303">
        <v>2.5</v>
      </c>
      <c r="H34" s="303">
        <v>2.5</v>
      </c>
      <c r="I34" s="303">
        <v>2.5</v>
      </c>
      <c r="J34" s="303">
        <v>2.5</v>
      </c>
      <c r="K34" s="303">
        <v>2.5</v>
      </c>
      <c r="L34" s="303">
        <v>2.5</v>
      </c>
      <c r="M34" s="303">
        <v>2.5</v>
      </c>
      <c r="N34" s="303"/>
    </row>
    <row r="35" spans="1:14">
      <c r="A35" s="303" t="s">
        <v>61</v>
      </c>
      <c r="B35" s="304">
        <f>('CAPT MERCADO'!$C$13*'INGRESOS Y EGRESOS'!$B$31)/12</f>
        <v>164.52776786346439</v>
      </c>
      <c r="C35" s="304">
        <f>('CAPT MERCADO'!$C$13*'INGRESOS Y EGRESOS'!$B$31)/12</f>
        <v>164.52776786346439</v>
      </c>
      <c r="D35" s="304">
        <f t="shared" ref="D35:I35" si="7">+C35</f>
        <v>164.52776786346439</v>
      </c>
      <c r="E35" s="304">
        <f t="shared" si="7"/>
        <v>164.52776786346439</v>
      </c>
      <c r="F35" s="304">
        <f t="shared" si="7"/>
        <v>164.52776786346439</v>
      </c>
      <c r="G35" s="304">
        <f t="shared" si="7"/>
        <v>164.52776786346439</v>
      </c>
      <c r="H35" s="304">
        <f t="shared" si="7"/>
        <v>164.52776786346439</v>
      </c>
      <c r="I35" s="304">
        <f t="shared" si="7"/>
        <v>164.52776786346439</v>
      </c>
      <c r="J35" s="304">
        <f>+I35</f>
        <v>164.52776786346439</v>
      </c>
      <c r="K35" s="304">
        <f>+J35</f>
        <v>164.52776786346439</v>
      </c>
      <c r="L35" s="304">
        <f>+K35</f>
        <v>164.52776786346439</v>
      </c>
      <c r="M35" s="304">
        <f>+L35</f>
        <v>164.52776786346439</v>
      </c>
      <c r="N35" s="304">
        <f>SUM(B35:M35)</f>
        <v>1974.3332143615723</v>
      </c>
    </row>
    <row r="36" spans="1:14">
      <c r="A36" s="303" t="s">
        <v>357</v>
      </c>
      <c r="B36" s="305">
        <f>+(B35*B33)</f>
        <v>2467.9165179519659</v>
      </c>
      <c r="C36" s="305">
        <f>+(C35*C33)</f>
        <v>2467.9165179519659</v>
      </c>
      <c r="D36" s="305">
        <f t="shared" ref="D36:M36" si="8">+D35*D33</f>
        <v>2467.9165179519659</v>
      </c>
      <c r="E36" s="305">
        <f t="shared" si="8"/>
        <v>2467.9165179519659</v>
      </c>
      <c r="F36" s="305">
        <f t="shared" si="8"/>
        <v>2467.9165179519659</v>
      </c>
      <c r="G36" s="305">
        <f t="shared" si="8"/>
        <v>2467.9165179519659</v>
      </c>
      <c r="H36" s="305">
        <f t="shared" si="8"/>
        <v>2467.9165179519659</v>
      </c>
      <c r="I36" s="305">
        <f t="shared" si="8"/>
        <v>2467.9165179519659</v>
      </c>
      <c r="J36" s="305">
        <f t="shared" si="8"/>
        <v>2467.9165179519659</v>
      </c>
      <c r="K36" s="305">
        <f t="shared" si="8"/>
        <v>2467.9165179519659</v>
      </c>
      <c r="L36" s="305">
        <f t="shared" si="8"/>
        <v>2467.9165179519659</v>
      </c>
      <c r="M36" s="305">
        <f t="shared" si="8"/>
        <v>2467.9165179519659</v>
      </c>
      <c r="N36" s="303"/>
    </row>
    <row r="37" spans="1:14">
      <c r="A37" s="303" t="s">
        <v>358</v>
      </c>
      <c r="B37" s="305">
        <f>+(B35*'CAPT MERCADO'!$D$43)*'INGRESOS Y EGRESOS'!B34</f>
        <v>274.21294643910733</v>
      </c>
      <c r="C37" s="305">
        <f>+(C35*'CAPT MERCADO'!$D$43)*'INGRESOS Y EGRESOS'!C34</f>
        <v>274.21294643910733</v>
      </c>
      <c r="D37" s="305">
        <f>+(D35*'CAPT MERCADO'!$D$43)*'INGRESOS Y EGRESOS'!D34</f>
        <v>274.21294643910733</v>
      </c>
      <c r="E37" s="305">
        <f>+(E35*'CAPT MERCADO'!$D$43)*'INGRESOS Y EGRESOS'!E34</f>
        <v>274.21294643910733</v>
      </c>
      <c r="F37" s="305">
        <f>+(F35*'CAPT MERCADO'!$D$43)*'INGRESOS Y EGRESOS'!F34</f>
        <v>274.21294643910733</v>
      </c>
      <c r="G37" s="305">
        <f>+(G35*'CAPT MERCADO'!$D$43)*'INGRESOS Y EGRESOS'!G34</f>
        <v>274.21294643910733</v>
      </c>
      <c r="H37" s="305">
        <f>+(H35*'CAPT MERCADO'!$D$43)*'INGRESOS Y EGRESOS'!H34</f>
        <v>274.21294643910733</v>
      </c>
      <c r="I37" s="305">
        <f>+(I35*'CAPT MERCADO'!$D$43)*'INGRESOS Y EGRESOS'!I34</f>
        <v>274.21294643910733</v>
      </c>
      <c r="J37" s="305">
        <f>+(J35*'CAPT MERCADO'!$D$43)*'INGRESOS Y EGRESOS'!J34</f>
        <v>274.21294643910733</v>
      </c>
      <c r="K37" s="305">
        <f>+(K35*'CAPT MERCADO'!$D$43)*'INGRESOS Y EGRESOS'!K34</f>
        <v>274.21294643910733</v>
      </c>
      <c r="L37" s="305">
        <f>+(L35*'CAPT MERCADO'!$D$43)*'INGRESOS Y EGRESOS'!L34</f>
        <v>274.21294643910733</v>
      </c>
      <c r="M37" s="305">
        <f>+(M35*'CAPT MERCADO'!$D$43)*'INGRESOS Y EGRESOS'!M34</f>
        <v>274.21294643910733</v>
      </c>
      <c r="N37" s="303"/>
    </row>
    <row r="38" spans="1:14">
      <c r="A38" s="311" t="s">
        <v>367</v>
      </c>
      <c r="B38" s="305">
        <f t="shared" ref="B38:M38" si="9">SUM(B36:B37)</f>
        <v>2742.1294643910733</v>
      </c>
      <c r="C38" s="305">
        <f t="shared" si="9"/>
        <v>2742.1294643910733</v>
      </c>
      <c r="D38" s="305">
        <f t="shared" si="9"/>
        <v>2742.1294643910733</v>
      </c>
      <c r="E38" s="305">
        <f t="shared" si="9"/>
        <v>2742.1294643910733</v>
      </c>
      <c r="F38" s="305">
        <f t="shared" si="9"/>
        <v>2742.1294643910733</v>
      </c>
      <c r="G38" s="305">
        <f t="shared" si="9"/>
        <v>2742.1294643910733</v>
      </c>
      <c r="H38" s="305">
        <f t="shared" si="9"/>
        <v>2742.1294643910733</v>
      </c>
      <c r="I38" s="305">
        <f t="shared" si="9"/>
        <v>2742.1294643910733</v>
      </c>
      <c r="J38" s="305">
        <f t="shared" si="9"/>
        <v>2742.1294643910733</v>
      </c>
      <c r="K38" s="305">
        <f t="shared" si="9"/>
        <v>2742.1294643910733</v>
      </c>
      <c r="L38" s="305">
        <f t="shared" si="9"/>
        <v>2742.1294643910733</v>
      </c>
      <c r="M38" s="305">
        <f t="shared" si="9"/>
        <v>2742.1294643910733</v>
      </c>
      <c r="N38" s="303"/>
    </row>
    <row r="39" spans="1:14">
      <c r="A39" s="309"/>
      <c r="B39" s="309"/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</row>
    <row r="40" spans="1:14" ht="18">
      <c r="A40" s="306" t="s">
        <v>134</v>
      </c>
      <c r="B40" s="309"/>
      <c r="C40" s="309"/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</row>
    <row r="41" spans="1:14">
      <c r="A41" s="128" t="s">
        <v>129</v>
      </c>
      <c r="B41" s="307">
        <v>0.45783132530120479</v>
      </c>
      <c r="C41" s="308"/>
      <c r="D41" s="309"/>
      <c r="E41" s="309"/>
      <c r="F41" s="309"/>
      <c r="G41" s="309"/>
      <c r="H41" s="309"/>
      <c r="I41" s="309"/>
      <c r="J41" s="309"/>
      <c r="K41" s="309"/>
      <c r="L41" s="309"/>
      <c r="M41" s="309"/>
      <c r="N41" s="309"/>
    </row>
    <row r="42" spans="1:14">
      <c r="A42" s="301" t="s">
        <v>49</v>
      </c>
      <c r="B42" s="301" t="s">
        <v>50</v>
      </c>
      <c r="C42" s="301" t="s">
        <v>51</v>
      </c>
      <c r="D42" s="301" t="s">
        <v>52</v>
      </c>
      <c r="E42" s="301" t="s">
        <v>53</v>
      </c>
      <c r="F42" s="301" t="s">
        <v>54</v>
      </c>
      <c r="G42" s="301" t="s">
        <v>55</v>
      </c>
      <c r="H42" s="301" t="s">
        <v>56</v>
      </c>
      <c r="I42" s="301" t="s">
        <v>301</v>
      </c>
      <c r="J42" s="301" t="s">
        <v>57</v>
      </c>
      <c r="K42" s="301" t="s">
        <v>58</v>
      </c>
      <c r="L42" s="301" t="s">
        <v>59</v>
      </c>
      <c r="M42" s="301" t="s">
        <v>60</v>
      </c>
      <c r="N42" s="302" t="s">
        <v>375</v>
      </c>
    </row>
    <row r="43" spans="1:14">
      <c r="A43" s="303" t="s">
        <v>355</v>
      </c>
      <c r="B43" s="303">
        <v>13</v>
      </c>
      <c r="C43" s="303">
        <v>13</v>
      </c>
      <c r="D43" s="303">
        <v>13</v>
      </c>
      <c r="E43" s="303">
        <v>13</v>
      </c>
      <c r="F43" s="303">
        <v>13</v>
      </c>
      <c r="G43" s="303">
        <v>13</v>
      </c>
      <c r="H43" s="303">
        <v>13</v>
      </c>
      <c r="I43" s="303">
        <v>13</v>
      </c>
      <c r="J43" s="303">
        <v>13</v>
      </c>
      <c r="K43" s="303">
        <v>13</v>
      </c>
      <c r="L43" s="303">
        <v>13</v>
      </c>
      <c r="M43" s="303">
        <v>13</v>
      </c>
      <c r="N43" s="303"/>
    </row>
    <row r="44" spans="1:14">
      <c r="A44" s="303" t="s">
        <v>356</v>
      </c>
      <c r="B44" s="303">
        <v>2.5</v>
      </c>
      <c r="C44" s="303">
        <v>2.5</v>
      </c>
      <c r="D44" s="303">
        <v>2.5</v>
      </c>
      <c r="E44" s="303">
        <v>2.5</v>
      </c>
      <c r="F44" s="303">
        <v>2.5</v>
      </c>
      <c r="G44" s="303">
        <v>2.5</v>
      </c>
      <c r="H44" s="303">
        <v>2.5</v>
      </c>
      <c r="I44" s="303">
        <v>2.5</v>
      </c>
      <c r="J44" s="303">
        <v>2.5</v>
      </c>
      <c r="K44" s="303">
        <v>2.5</v>
      </c>
      <c r="L44" s="303">
        <v>2.5</v>
      </c>
      <c r="M44" s="303">
        <v>2.5</v>
      </c>
      <c r="N44" s="303"/>
    </row>
    <row r="45" spans="1:14">
      <c r="A45" s="303" t="s">
        <v>61</v>
      </c>
      <c r="B45" s="304">
        <f>('CAPT MERCADO'!$C$14*'INGRESOS Y EGRESOS'!$B$41)/12</f>
        <v>138.93455952914772</v>
      </c>
      <c r="C45" s="304">
        <f>('CAPT MERCADO'!$C$14*'INGRESOS Y EGRESOS'!$B$41)/12</f>
        <v>138.93455952914772</v>
      </c>
      <c r="D45" s="304">
        <f>('CAPT MERCADO'!$C$14*'INGRESOS Y EGRESOS'!$B$41)/12</f>
        <v>138.93455952914772</v>
      </c>
      <c r="E45" s="304">
        <f>('CAPT MERCADO'!$C$14*'INGRESOS Y EGRESOS'!$B$41)/12</f>
        <v>138.93455952914772</v>
      </c>
      <c r="F45" s="304">
        <f>('CAPT MERCADO'!$C$14*'INGRESOS Y EGRESOS'!$B$41)/12</f>
        <v>138.93455952914772</v>
      </c>
      <c r="G45" s="304">
        <f>('CAPT MERCADO'!$C$14*'INGRESOS Y EGRESOS'!$B$41)/12</f>
        <v>138.93455952914772</v>
      </c>
      <c r="H45" s="304">
        <f>('CAPT MERCADO'!$C$14*'INGRESOS Y EGRESOS'!$B$41)/12</f>
        <v>138.93455952914772</v>
      </c>
      <c r="I45" s="304">
        <f>('CAPT MERCADO'!$C$14*'INGRESOS Y EGRESOS'!$B$41)/12</f>
        <v>138.93455952914772</v>
      </c>
      <c r="J45" s="304">
        <f>('CAPT MERCADO'!$C$14*'INGRESOS Y EGRESOS'!$B$41)/12</f>
        <v>138.93455952914772</v>
      </c>
      <c r="K45" s="304">
        <f>('CAPT MERCADO'!$C$14*'INGRESOS Y EGRESOS'!$B$41)/12</f>
        <v>138.93455952914772</v>
      </c>
      <c r="L45" s="304">
        <f>('CAPT MERCADO'!$C$14*'INGRESOS Y EGRESOS'!$B$41)/12</f>
        <v>138.93455952914772</v>
      </c>
      <c r="M45" s="304">
        <f>('CAPT MERCADO'!$C$14*'INGRESOS Y EGRESOS'!$B$41)/12</f>
        <v>138.93455952914772</v>
      </c>
      <c r="N45" s="304">
        <f>SUM(B45:M45)</f>
        <v>1667.2147143497725</v>
      </c>
    </row>
    <row r="46" spans="1:14">
      <c r="A46" s="303" t="s">
        <v>357</v>
      </c>
      <c r="B46" s="305">
        <f>+(B45*B43)</f>
        <v>1806.1492738789204</v>
      </c>
      <c r="C46" s="305">
        <f>+(C45*C43)</f>
        <v>1806.1492738789204</v>
      </c>
      <c r="D46" s="305">
        <f t="shared" ref="D46:M46" si="10">+D45*D43</f>
        <v>1806.1492738789204</v>
      </c>
      <c r="E46" s="305">
        <f t="shared" si="10"/>
        <v>1806.1492738789204</v>
      </c>
      <c r="F46" s="305">
        <f t="shared" si="10"/>
        <v>1806.1492738789204</v>
      </c>
      <c r="G46" s="305">
        <f t="shared" si="10"/>
        <v>1806.1492738789204</v>
      </c>
      <c r="H46" s="305">
        <f t="shared" si="10"/>
        <v>1806.1492738789204</v>
      </c>
      <c r="I46" s="305">
        <f t="shared" si="10"/>
        <v>1806.1492738789204</v>
      </c>
      <c r="J46" s="305">
        <f t="shared" si="10"/>
        <v>1806.1492738789204</v>
      </c>
      <c r="K46" s="305">
        <f t="shared" si="10"/>
        <v>1806.1492738789204</v>
      </c>
      <c r="L46" s="305">
        <f t="shared" si="10"/>
        <v>1806.1492738789204</v>
      </c>
      <c r="M46" s="305">
        <f t="shared" si="10"/>
        <v>1806.1492738789204</v>
      </c>
      <c r="N46" s="303"/>
    </row>
    <row r="47" spans="1:14">
      <c r="A47" s="303" t="s">
        <v>358</v>
      </c>
      <c r="B47" s="305">
        <f>+(B45*'CAPT MERCADO'!$D$43)*'INGRESOS Y EGRESOS'!B44</f>
        <v>231.5575992152462</v>
      </c>
      <c r="C47" s="305">
        <f>+(C45*'CAPT MERCADO'!$D$43)*'INGRESOS Y EGRESOS'!C44</f>
        <v>231.5575992152462</v>
      </c>
      <c r="D47" s="305">
        <f>+(D45*'CAPT MERCADO'!$D$43)*'INGRESOS Y EGRESOS'!D44</f>
        <v>231.5575992152462</v>
      </c>
      <c r="E47" s="305">
        <f>+(E45*'CAPT MERCADO'!$D$43)*'INGRESOS Y EGRESOS'!E44</f>
        <v>231.5575992152462</v>
      </c>
      <c r="F47" s="305">
        <f>+(F45*'CAPT MERCADO'!$D$43)*'INGRESOS Y EGRESOS'!F44</f>
        <v>231.5575992152462</v>
      </c>
      <c r="G47" s="305">
        <f>+(G45*'CAPT MERCADO'!$D$43)*'INGRESOS Y EGRESOS'!G44</f>
        <v>231.5575992152462</v>
      </c>
      <c r="H47" s="305">
        <f>+(H45*'CAPT MERCADO'!$D$43)*'INGRESOS Y EGRESOS'!H44</f>
        <v>231.5575992152462</v>
      </c>
      <c r="I47" s="305">
        <f>+(I45*'CAPT MERCADO'!$D$43)*'INGRESOS Y EGRESOS'!I44</f>
        <v>231.5575992152462</v>
      </c>
      <c r="J47" s="305">
        <f>+(J45*'CAPT MERCADO'!$D$43)*'INGRESOS Y EGRESOS'!J44</f>
        <v>231.5575992152462</v>
      </c>
      <c r="K47" s="305">
        <f>+(K45*'CAPT MERCADO'!$D$43)*'INGRESOS Y EGRESOS'!K44</f>
        <v>231.5575992152462</v>
      </c>
      <c r="L47" s="305">
        <f>+(L45*'CAPT MERCADO'!$D$43)*'INGRESOS Y EGRESOS'!L44</f>
        <v>231.5575992152462</v>
      </c>
      <c r="M47" s="305">
        <f>+(M45*'CAPT MERCADO'!$D$43)*'INGRESOS Y EGRESOS'!M44</f>
        <v>231.5575992152462</v>
      </c>
      <c r="N47" s="303"/>
    </row>
    <row r="48" spans="1:14">
      <c r="A48" s="303" t="s">
        <v>367</v>
      </c>
      <c r="B48" s="305">
        <f t="shared" ref="B48:M48" si="11">SUM(B46:B47)</f>
        <v>2037.7068730941667</v>
      </c>
      <c r="C48" s="305">
        <f t="shared" si="11"/>
        <v>2037.7068730941667</v>
      </c>
      <c r="D48" s="305">
        <f t="shared" si="11"/>
        <v>2037.7068730941667</v>
      </c>
      <c r="E48" s="305">
        <f t="shared" si="11"/>
        <v>2037.7068730941667</v>
      </c>
      <c r="F48" s="305">
        <f t="shared" si="11"/>
        <v>2037.7068730941667</v>
      </c>
      <c r="G48" s="305">
        <f t="shared" si="11"/>
        <v>2037.7068730941667</v>
      </c>
      <c r="H48" s="305">
        <f t="shared" si="11"/>
        <v>2037.7068730941667</v>
      </c>
      <c r="I48" s="305">
        <f t="shared" si="11"/>
        <v>2037.7068730941667</v>
      </c>
      <c r="J48" s="305">
        <f t="shared" si="11"/>
        <v>2037.7068730941667</v>
      </c>
      <c r="K48" s="305">
        <f t="shared" si="11"/>
        <v>2037.7068730941667</v>
      </c>
      <c r="L48" s="305">
        <f t="shared" si="11"/>
        <v>2037.7068730941667</v>
      </c>
      <c r="M48" s="305">
        <f t="shared" si="11"/>
        <v>2037.7068730941667</v>
      </c>
      <c r="N48" s="303"/>
    </row>
    <row r="49" spans="1:14">
      <c r="A49" s="309"/>
      <c r="B49" s="309"/>
      <c r="C49" s="309"/>
      <c r="D49" s="309"/>
      <c r="E49" s="309"/>
      <c r="F49" s="309"/>
      <c r="G49" s="309"/>
      <c r="H49" s="309"/>
      <c r="I49" s="309"/>
      <c r="J49" s="309"/>
      <c r="K49" s="309"/>
      <c r="L49" s="309"/>
      <c r="M49" s="309"/>
      <c r="N49" s="309"/>
    </row>
    <row r="50" spans="1:14">
      <c r="A50" s="128" t="s">
        <v>130</v>
      </c>
      <c r="B50" s="307">
        <v>0.19277108433734941</v>
      </c>
      <c r="C50" s="308"/>
      <c r="D50" s="309"/>
      <c r="E50" s="309"/>
      <c r="F50" s="309"/>
      <c r="G50" s="309"/>
      <c r="H50" s="309"/>
      <c r="I50" s="309"/>
      <c r="J50" s="309"/>
      <c r="K50" s="309"/>
      <c r="L50" s="309"/>
      <c r="M50" s="309"/>
      <c r="N50" s="309"/>
    </row>
    <row r="51" spans="1:14">
      <c r="A51" s="301" t="s">
        <v>49</v>
      </c>
      <c r="B51" s="301" t="s">
        <v>50</v>
      </c>
      <c r="C51" s="301" t="s">
        <v>51</v>
      </c>
      <c r="D51" s="301" t="s">
        <v>52</v>
      </c>
      <c r="E51" s="301" t="s">
        <v>53</v>
      </c>
      <c r="F51" s="301" t="s">
        <v>54</v>
      </c>
      <c r="G51" s="301" t="s">
        <v>55</v>
      </c>
      <c r="H51" s="301" t="s">
        <v>56</v>
      </c>
      <c r="I51" s="301" t="s">
        <v>301</v>
      </c>
      <c r="J51" s="301" t="s">
        <v>57</v>
      </c>
      <c r="K51" s="301" t="s">
        <v>58</v>
      </c>
      <c r="L51" s="301" t="s">
        <v>59</v>
      </c>
      <c r="M51" s="301" t="s">
        <v>60</v>
      </c>
      <c r="N51" s="302" t="s">
        <v>375</v>
      </c>
    </row>
    <row r="52" spans="1:14">
      <c r="A52" s="303" t="s">
        <v>355</v>
      </c>
      <c r="B52" s="303">
        <v>13</v>
      </c>
      <c r="C52" s="303">
        <v>13</v>
      </c>
      <c r="D52" s="303">
        <v>13</v>
      </c>
      <c r="E52" s="303">
        <v>13</v>
      </c>
      <c r="F52" s="303">
        <v>13</v>
      </c>
      <c r="G52" s="303">
        <v>13</v>
      </c>
      <c r="H52" s="303">
        <v>13</v>
      </c>
      <c r="I52" s="303">
        <v>13</v>
      </c>
      <c r="J52" s="303">
        <v>13</v>
      </c>
      <c r="K52" s="303">
        <v>13</v>
      </c>
      <c r="L52" s="303">
        <v>13</v>
      </c>
      <c r="M52" s="303">
        <v>13</v>
      </c>
      <c r="N52" s="303"/>
    </row>
    <row r="53" spans="1:14">
      <c r="A53" s="303" t="s">
        <v>356</v>
      </c>
      <c r="B53" s="303">
        <v>2.5</v>
      </c>
      <c r="C53" s="303">
        <v>2.5</v>
      </c>
      <c r="D53" s="303">
        <v>2.5</v>
      </c>
      <c r="E53" s="303">
        <v>2.5</v>
      </c>
      <c r="F53" s="303">
        <v>2.5</v>
      </c>
      <c r="G53" s="303">
        <v>2.5</v>
      </c>
      <c r="H53" s="303">
        <v>2.5</v>
      </c>
      <c r="I53" s="303">
        <v>2.5</v>
      </c>
      <c r="J53" s="303">
        <v>2.5</v>
      </c>
      <c r="K53" s="303">
        <v>2.5</v>
      </c>
      <c r="L53" s="303">
        <v>2.5</v>
      </c>
      <c r="M53" s="303">
        <v>2.5</v>
      </c>
      <c r="N53" s="303"/>
    </row>
    <row r="54" spans="1:14">
      <c r="A54" s="303" t="s">
        <v>61</v>
      </c>
      <c r="B54" s="304">
        <f>('CAPT MERCADO'!$C$14*'INGRESOS Y EGRESOS'!B50)/12</f>
        <v>58.498761907009566</v>
      </c>
      <c r="C54" s="304">
        <f>('CAPT MERCADO'!$C$14*'INGRESOS Y EGRESOS'!B50)/12</f>
        <v>58.498761907009566</v>
      </c>
      <c r="D54" s="304">
        <f t="shared" ref="D54:I54" si="12">+C54</f>
        <v>58.498761907009566</v>
      </c>
      <c r="E54" s="304">
        <f t="shared" si="12"/>
        <v>58.498761907009566</v>
      </c>
      <c r="F54" s="304">
        <f t="shared" si="12"/>
        <v>58.498761907009566</v>
      </c>
      <c r="G54" s="304">
        <f t="shared" si="12"/>
        <v>58.498761907009566</v>
      </c>
      <c r="H54" s="304">
        <f t="shared" si="12"/>
        <v>58.498761907009566</v>
      </c>
      <c r="I54" s="304">
        <f t="shared" si="12"/>
        <v>58.498761907009566</v>
      </c>
      <c r="J54" s="304">
        <f>+I54</f>
        <v>58.498761907009566</v>
      </c>
      <c r="K54" s="304">
        <f>+J54</f>
        <v>58.498761907009566</v>
      </c>
      <c r="L54" s="304">
        <f>+K54</f>
        <v>58.498761907009566</v>
      </c>
      <c r="M54" s="304">
        <f>+L54</f>
        <v>58.498761907009566</v>
      </c>
      <c r="N54" s="304">
        <f>SUM(B54:M54)</f>
        <v>701.98514288411479</v>
      </c>
    </row>
    <row r="55" spans="1:14">
      <c r="A55" s="303" t="s">
        <v>357</v>
      </c>
      <c r="B55" s="305">
        <f>+(B54*B52)</f>
        <v>760.48390479112436</v>
      </c>
      <c r="C55" s="305">
        <f>+(C54*C52)</f>
        <v>760.48390479112436</v>
      </c>
      <c r="D55" s="305">
        <f t="shared" ref="D55:M55" si="13">+D54*D52</f>
        <v>760.48390479112436</v>
      </c>
      <c r="E55" s="305">
        <f t="shared" si="13"/>
        <v>760.48390479112436</v>
      </c>
      <c r="F55" s="305">
        <f t="shared" si="13"/>
        <v>760.48390479112436</v>
      </c>
      <c r="G55" s="305">
        <f t="shared" si="13"/>
        <v>760.48390479112436</v>
      </c>
      <c r="H55" s="305">
        <f t="shared" si="13"/>
        <v>760.48390479112436</v>
      </c>
      <c r="I55" s="305">
        <f t="shared" si="13"/>
        <v>760.48390479112436</v>
      </c>
      <c r="J55" s="305">
        <f t="shared" si="13"/>
        <v>760.48390479112436</v>
      </c>
      <c r="K55" s="305">
        <f t="shared" si="13"/>
        <v>760.48390479112436</v>
      </c>
      <c r="L55" s="305">
        <f t="shared" si="13"/>
        <v>760.48390479112436</v>
      </c>
      <c r="M55" s="305">
        <f t="shared" si="13"/>
        <v>760.48390479112436</v>
      </c>
      <c r="N55" s="303"/>
    </row>
    <row r="56" spans="1:14">
      <c r="A56" s="303" t="s">
        <v>358</v>
      </c>
      <c r="B56" s="305">
        <f>+(B54*'CAPT MERCADO'!$D$43)*'INGRESOS Y EGRESOS'!B53</f>
        <v>97.49793651168261</v>
      </c>
      <c r="C56" s="305">
        <f>+(C54*'CAPT MERCADO'!$D$43)*'INGRESOS Y EGRESOS'!C53</f>
        <v>97.49793651168261</v>
      </c>
      <c r="D56" s="305">
        <f>+(D54*'CAPT MERCADO'!$D$43)*'INGRESOS Y EGRESOS'!D53</f>
        <v>97.49793651168261</v>
      </c>
      <c r="E56" s="305">
        <f>+(E54*'CAPT MERCADO'!$D$43)*'INGRESOS Y EGRESOS'!E53</f>
        <v>97.49793651168261</v>
      </c>
      <c r="F56" s="305">
        <f>+(F54*'CAPT MERCADO'!$D$43)*'INGRESOS Y EGRESOS'!F53</f>
        <v>97.49793651168261</v>
      </c>
      <c r="G56" s="305">
        <f>+(G54*'CAPT MERCADO'!$D$43)*'INGRESOS Y EGRESOS'!G53</f>
        <v>97.49793651168261</v>
      </c>
      <c r="H56" s="305">
        <f>+(H54*'CAPT MERCADO'!$D$43)*'INGRESOS Y EGRESOS'!H53</f>
        <v>97.49793651168261</v>
      </c>
      <c r="I56" s="305">
        <f>+(I54*'CAPT MERCADO'!$D$43)*'INGRESOS Y EGRESOS'!I53</f>
        <v>97.49793651168261</v>
      </c>
      <c r="J56" s="305">
        <f>+(J54*'CAPT MERCADO'!$D$43)*'INGRESOS Y EGRESOS'!J53</f>
        <v>97.49793651168261</v>
      </c>
      <c r="K56" s="305">
        <f>+(K54*'CAPT MERCADO'!$D$43)*'INGRESOS Y EGRESOS'!K53</f>
        <v>97.49793651168261</v>
      </c>
      <c r="L56" s="305">
        <f>+(L54*'CAPT MERCADO'!$D$43)*'INGRESOS Y EGRESOS'!L53</f>
        <v>97.49793651168261</v>
      </c>
      <c r="M56" s="305">
        <f>+(M54*'CAPT MERCADO'!$D$43)*'INGRESOS Y EGRESOS'!M53</f>
        <v>97.49793651168261</v>
      </c>
      <c r="N56" s="303"/>
    </row>
    <row r="57" spans="1:14">
      <c r="A57" s="303" t="s">
        <v>367</v>
      </c>
      <c r="B57" s="305">
        <f t="shared" ref="B57:M57" si="14">SUM(B55:B56)</f>
        <v>857.98184130280697</v>
      </c>
      <c r="C57" s="305">
        <f t="shared" si="14"/>
        <v>857.98184130280697</v>
      </c>
      <c r="D57" s="305">
        <f t="shared" si="14"/>
        <v>857.98184130280697</v>
      </c>
      <c r="E57" s="305">
        <f t="shared" si="14"/>
        <v>857.98184130280697</v>
      </c>
      <c r="F57" s="305">
        <f t="shared" si="14"/>
        <v>857.98184130280697</v>
      </c>
      <c r="G57" s="305">
        <f t="shared" si="14"/>
        <v>857.98184130280697</v>
      </c>
      <c r="H57" s="305">
        <f t="shared" si="14"/>
        <v>857.98184130280697</v>
      </c>
      <c r="I57" s="305">
        <f t="shared" si="14"/>
        <v>857.98184130280697</v>
      </c>
      <c r="J57" s="305">
        <f t="shared" si="14"/>
        <v>857.98184130280697</v>
      </c>
      <c r="K57" s="305">
        <f t="shared" si="14"/>
        <v>857.98184130280697</v>
      </c>
      <c r="L57" s="305">
        <f t="shared" si="14"/>
        <v>857.98184130280697</v>
      </c>
      <c r="M57" s="305">
        <f t="shared" si="14"/>
        <v>857.98184130280697</v>
      </c>
      <c r="N57" s="303"/>
    </row>
    <row r="58" spans="1:14">
      <c r="A58" s="309"/>
      <c r="B58" s="309"/>
      <c r="C58" s="309"/>
      <c r="D58" s="309"/>
      <c r="E58" s="309"/>
      <c r="F58" s="309"/>
      <c r="G58" s="309"/>
      <c r="H58" s="309"/>
      <c r="I58" s="309"/>
      <c r="J58" s="309"/>
      <c r="K58" s="309"/>
      <c r="L58" s="309"/>
      <c r="M58" s="309"/>
      <c r="N58" s="309"/>
    </row>
    <row r="59" spans="1:14">
      <c r="A59" s="128" t="s">
        <v>132</v>
      </c>
      <c r="B59" s="307">
        <v>0.16867469879518071</v>
      </c>
      <c r="C59" s="308"/>
      <c r="D59" s="309"/>
      <c r="E59" s="309"/>
      <c r="F59" s="309"/>
      <c r="G59" s="309"/>
      <c r="H59" s="309"/>
      <c r="I59" s="309"/>
      <c r="J59" s="309"/>
      <c r="K59" s="309"/>
      <c r="L59" s="309"/>
      <c r="M59" s="309"/>
      <c r="N59" s="309"/>
    </row>
    <row r="60" spans="1:14">
      <c r="A60" s="301" t="s">
        <v>49</v>
      </c>
      <c r="B60" s="301" t="s">
        <v>50</v>
      </c>
      <c r="C60" s="301" t="s">
        <v>51</v>
      </c>
      <c r="D60" s="301" t="s">
        <v>52</v>
      </c>
      <c r="E60" s="301" t="s">
        <v>53</v>
      </c>
      <c r="F60" s="301" t="s">
        <v>54</v>
      </c>
      <c r="G60" s="301" t="s">
        <v>55</v>
      </c>
      <c r="H60" s="301" t="s">
        <v>56</v>
      </c>
      <c r="I60" s="301" t="s">
        <v>301</v>
      </c>
      <c r="J60" s="301" t="s">
        <v>57</v>
      </c>
      <c r="K60" s="301" t="s">
        <v>58</v>
      </c>
      <c r="L60" s="301" t="s">
        <v>59</v>
      </c>
      <c r="M60" s="301" t="s">
        <v>60</v>
      </c>
      <c r="N60" s="302" t="s">
        <v>375</v>
      </c>
    </row>
    <row r="61" spans="1:14">
      <c r="A61" s="303" t="s">
        <v>355</v>
      </c>
      <c r="B61" s="303"/>
      <c r="C61" s="303">
        <v>10</v>
      </c>
      <c r="D61" s="303">
        <v>10</v>
      </c>
      <c r="E61" s="303">
        <v>10</v>
      </c>
      <c r="F61" s="303">
        <v>10</v>
      </c>
      <c r="G61" s="303">
        <v>10</v>
      </c>
      <c r="H61" s="303">
        <v>10</v>
      </c>
      <c r="I61" s="303">
        <v>10</v>
      </c>
      <c r="J61" s="303">
        <v>10</v>
      </c>
      <c r="K61" s="303">
        <v>10</v>
      </c>
      <c r="L61" s="303">
        <v>10</v>
      </c>
      <c r="M61" s="303">
        <v>10</v>
      </c>
      <c r="N61" s="303"/>
    </row>
    <row r="62" spans="1:14">
      <c r="A62" s="303" t="s">
        <v>356</v>
      </c>
      <c r="B62" s="303"/>
      <c r="C62" s="303">
        <v>2.5</v>
      </c>
      <c r="D62" s="303">
        <v>2.5</v>
      </c>
      <c r="E62" s="303">
        <v>2.5</v>
      </c>
      <c r="F62" s="303">
        <v>2.5</v>
      </c>
      <c r="G62" s="303">
        <v>2.5</v>
      </c>
      <c r="H62" s="303">
        <v>2.5</v>
      </c>
      <c r="I62" s="303">
        <v>2.5</v>
      </c>
      <c r="J62" s="303">
        <v>2.5</v>
      </c>
      <c r="K62" s="303">
        <v>2.5</v>
      </c>
      <c r="L62" s="303">
        <v>2.5</v>
      </c>
      <c r="M62" s="303">
        <v>2.5</v>
      </c>
      <c r="N62" s="303"/>
    </row>
    <row r="63" spans="1:14">
      <c r="A63" s="303" t="s">
        <v>61</v>
      </c>
      <c r="B63" s="303"/>
      <c r="C63" s="304">
        <f>('CAPT MERCADO'!$C$14*'INGRESOS Y EGRESOS'!$B$59)/12</f>
        <v>51.186416668633363</v>
      </c>
      <c r="D63" s="304">
        <f t="shared" ref="D63:I63" si="15">+C63</f>
        <v>51.186416668633363</v>
      </c>
      <c r="E63" s="304">
        <f t="shared" si="15"/>
        <v>51.186416668633363</v>
      </c>
      <c r="F63" s="304">
        <f t="shared" si="15"/>
        <v>51.186416668633363</v>
      </c>
      <c r="G63" s="304">
        <f t="shared" si="15"/>
        <v>51.186416668633363</v>
      </c>
      <c r="H63" s="304">
        <f t="shared" si="15"/>
        <v>51.186416668633363</v>
      </c>
      <c r="I63" s="304">
        <f t="shared" si="15"/>
        <v>51.186416668633363</v>
      </c>
      <c r="J63" s="304">
        <f>+I63</f>
        <v>51.186416668633363</v>
      </c>
      <c r="K63" s="304">
        <f>+J63</f>
        <v>51.186416668633363</v>
      </c>
      <c r="L63" s="304">
        <f>+K63</f>
        <v>51.186416668633363</v>
      </c>
      <c r="M63" s="304">
        <f>+L63</f>
        <v>51.186416668633363</v>
      </c>
      <c r="N63" s="304">
        <f>SUM(B63:M63)</f>
        <v>563.05058335496688</v>
      </c>
    </row>
    <row r="64" spans="1:14">
      <c r="A64" s="303" t="s">
        <v>357</v>
      </c>
      <c r="B64" s="303"/>
      <c r="C64" s="305">
        <f>+(C63*C61)</f>
        <v>511.86416668633365</v>
      </c>
      <c r="D64" s="305">
        <f t="shared" ref="D64:M64" si="16">+D63*D61</f>
        <v>511.86416668633365</v>
      </c>
      <c r="E64" s="305">
        <f t="shared" si="16"/>
        <v>511.86416668633365</v>
      </c>
      <c r="F64" s="305">
        <f t="shared" si="16"/>
        <v>511.86416668633365</v>
      </c>
      <c r="G64" s="305">
        <f t="shared" si="16"/>
        <v>511.86416668633365</v>
      </c>
      <c r="H64" s="305">
        <f t="shared" si="16"/>
        <v>511.86416668633365</v>
      </c>
      <c r="I64" s="305">
        <f t="shared" si="16"/>
        <v>511.86416668633365</v>
      </c>
      <c r="J64" s="305">
        <f t="shared" si="16"/>
        <v>511.86416668633365</v>
      </c>
      <c r="K64" s="305">
        <f t="shared" si="16"/>
        <v>511.86416668633365</v>
      </c>
      <c r="L64" s="305">
        <f t="shared" si="16"/>
        <v>511.86416668633365</v>
      </c>
      <c r="M64" s="305">
        <f t="shared" si="16"/>
        <v>511.86416668633365</v>
      </c>
      <c r="N64" s="303"/>
    </row>
    <row r="65" spans="1:14">
      <c r="A65" s="303" t="s">
        <v>358</v>
      </c>
      <c r="B65" s="303"/>
      <c r="C65" s="305">
        <f>+(C63*'CAPT MERCADO'!$D$43)*'INGRESOS Y EGRESOS'!C62</f>
        <v>85.31069444772227</v>
      </c>
      <c r="D65" s="305">
        <f>+(D63*'CAPT MERCADO'!$D$43)*'INGRESOS Y EGRESOS'!D62</f>
        <v>85.31069444772227</v>
      </c>
      <c r="E65" s="305">
        <f>+(E63*'CAPT MERCADO'!$D$43)*'INGRESOS Y EGRESOS'!E62</f>
        <v>85.31069444772227</v>
      </c>
      <c r="F65" s="305">
        <f>+(F63*'CAPT MERCADO'!$D$43)*'INGRESOS Y EGRESOS'!F62</f>
        <v>85.31069444772227</v>
      </c>
      <c r="G65" s="305">
        <f>+(G63*'CAPT MERCADO'!$D$43)*'INGRESOS Y EGRESOS'!G62</f>
        <v>85.31069444772227</v>
      </c>
      <c r="H65" s="305">
        <f>+(H63*'CAPT MERCADO'!$D$43)*'INGRESOS Y EGRESOS'!H62</f>
        <v>85.31069444772227</v>
      </c>
      <c r="I65" s="305">
        <f>+(I63*'CAPT MERCADO'!$D$43)*'INGRESOS Y EGRESOS'!I62</f>
        <v>85.31069444772227</v>
      </c>
      <c r="J65" s="305">
        <f>+(J63*'CAPT MERCADO'!$D$43)*'INGRESOS Y EGRESOS'!J62</f>
        <v>85.31069444772227</v>
      </c>
      <c r="K65" s="305">
        <f>+(K63*'CAPT MERCADO'!$D$43)*'INGRESOS Y EGRESOS'!K62</f>
        <v>85.31069444772227</v>
      </c>
      <c r="L65" s="305">
        <f>+(L63*'CAPT MERCADO'!$D$43)*'INGRESOS Y EGRESOS'!L62</f>
        <v>85.31069444772227</v>
      </c>
      <c r="M65" s="305">
        <f>+(M63*'CAPT MERCADO'!$D$43)*'INGRESOS Y EGRESOS'!M62</f>
        <v>85.31069444772227</v>
      </c>
      <c r="N65" s="303"/>
    </row>
    <row r="66" spans="1:14">
      <c r="A66" s="303" t="s">
        <v>367</v>
      </c>
      <c r="B66" s="303"/>
      <c r="C66" s="305">
        <f t="shared" ref="C66:M66" si="17">SUM(C64:C65)</f>
        <v>597.17486113405596</v>
      </c>
      <c r="D66" s="305">
        <f t="shared" si="17"/>
        <v>597.17486113405596</v>
      </c>
      <c r="E66" s="305">
        <f t="shared" si="17"/>
        <v>597.17486113405596</v>
      </c>
      <c r="F66" s="305">
        <f t="shared" si="17"/>
        <v>597.17486113405596</v>
      </c>
      <c r="G66" s="305">
        <f t="shared" si="17"/>
        <v>597.17486113405596</v>
      </c>
      <c r="H66" s="305">
        <f t="shared" si="17"/>
        <v>597.17486113405596</v>
      </c>
      <c r="I66" s="305">
        <f t="shared" si="17"/>
        <v>597.17486113405596</v>
      </c>
      <c r="J66" s="305">
        <f t="shared" si="17"/>
        <v>597.17486113405596</v>
      </c>
      <c r="K66" s="305">
        <f t="shared" si="17"/>
        <v>597.17486113405596</v>
      </c>
      <c r="L66" s="305">
        <f t="shared" si="17"/>
        <v>597.17486113405596</v>
      </c>
      <c r="M66" s="305">
        <f t="shared" si="17"/>
        <v>597.17486113405596</v>
      </c>
      <c r="N66" s="303"/>
    </row>
    <row r="67" spans="1:14">
      <c r="A67" s="309"/>
      <c r="B67" s="309"/>
      <c r="C67" s="309"/>
      <c r="D67" s="309"/>
      <c r="E67" s="309"/>
      <c r="F67" s="309"/>
      <c r="G67" s="309"/>
      <c r="H67" s="309"/>
      <c r="I67" s="309"/>
      <c r="J67" s="309"/>
      <c r="K67" s="309"/>
      <c r="L67" s="309"/>
      <c r="M67" s="309"/>
      <c r="N67" s="309"/>
    </row>
    <row r="68" spans="1:14">
      <c r="A68" s="128" t="s">
        <v>131</v>
      </c>
      <c r="B68" s="307">
        <v>0.18072289156626506</v>
      </c>
      <c r="C68" s="308"/>
      <c r="D68" s="309"/>
      <c r="E68" s="309"/>
      <c r="F68" s="309"/>
      <c r="G68" s="309"/>
      <c r="H68" s="309"/>
      <c r="I68" s="309"/>
      <c r="J68" s="309"/>
      <c r="K68" s="309"/>
      <c r="L68" s="309"/>
      <c r="M68" s="309"/>
      <c r="N68" s="309"/>
    </row>
    <row r="69" spans="1:14">
      <c r="A69" s="301" t="s">
        <v>49</v>
      </c>
      <c r="B69" s="301" t="s">
        <v>50</v>
      </c>
      <c r="C69" s="301" t="s">
        <v>51</v>
      </c>
      <c r="D69" s="301" t="s">
        <v>52</v>
      </c>
      <c r="E69" s="301" t="s">
        <v>53</v>
      </c>
      <c r="F69" s="301" t="s">
        <v>54</v>
      </c>
      <c r="G69" s="301" t="s">
        <v>55</v>
      </c>
      <c r="H69" s="301" t="s">
        <v>56</v>
      </c>
      <c r="I69" s="301" t="s">
        <v>301</v>
      </c>
      <c r="J69" s="301" t="s">
        <v>57</v>
      </c>
      <c r="K69" s="301" t="s">
        <v>58</v>
      </c>
      <c r="L69" s="301" t="s">
        <v>59</v>
      </c>
      <c r="M69" s="301" t="s">
        <v>60</v>
      </c>
      <c r="N69" s="302" t="s">
        <v>375</v>
      </c>
    </row>
    <row r="70" spans="1:14">
      <c r="A70" s="303" t="s">
        <v>355</v>
      </c>
      <c r="B70" s="303">
        <v>15</v>
      </c>
      <c r="C70" s="303">
        <v>15</v>
      </c>
      <c r="D70" s="303">
        <v>15</v>
      </c>
      <c r="E70" s="303">
        <v>15</v>
      </c>
      <c r="F70" s="303">
        <v>15</v>
      </c>
      <c r="G70" s="303">
        <v>15</v>
      </c>
      <c r="H70" s="303">
        <v>15</v>
      </c>
      <c r="I70" s="303">
        <v>15</v>
      </c>
      <c r="J70" s="303">
        <v>15</v>
      </c>
      <c r="K70" s="303">
        <v>15</v>
      </c>
      <c r="L70" s="303">
        <v>15</v>
      </c>
      <c r="M70" s="303">
        <v>15</v>
      </c>
      <c r="N70" s="303"/>
    </row>
    <row r="71" spans="1:14">
      <c r="A71" s="303" t="s">
        <v>356</v>
      </c>
      <c r="B71" s="303">
        <v>2.5</v>
      </c>
      <c r="C71" s="303">
        <v>2.5</v>
      </c>
      <c r="D71" s="303">
        <v>2.5</v>
      </c>
      <c r="E71" s="303">
        <v>2.5</v>
      </c>
      <c r="F71" s="303">
        <v>2.5</v>
      </c>
      <c r="G71" s="303">
        <v>2.5</v>
      </c>
      <c r="H71" s="303">
        <v>2.5</v>
      </c>
      <c r="I71" s="303">
        <v>2.5</v>
      </c>
      <c r="J71" s="303">
        <v>2.5</v>
      </c>
      <c r="K71" s="303">
        <v>2.5</v>
      </c>
      <c r="L71" s="303">
        <v>2.5</v>
      </c>
      <c r="M71" s="303">
        <v>2.5</v>
      </c>
      <c r="N71" s="303"/>
    </row>
    <row r="72" spans="1:14">
      <c r="A72" s="303" t="s">
        <v>61</v>
      </c>
      <c r="B72" s="304">
        <f>('CAPT MERCADO'!$C$14*'INGRESOS Y EGRESOS'!$B$68)/12</f>
        <v>54.842589287821461</v>
      </c>
      <c r="C72" s="304">
        <f>('CAPT MERCADO'!$C$14*'INGRESOS Y EGRESOS'!$B$68)/12</f>
        <v>54.842589287821461</v>
      </c>
      <c r="D72" s="304">
        <f t="shared" ref="D72:I72" si="18">+C72</f>
        <v>54.842589287821461</v>
      </c>
      <c r="E72" s="304">
        <f t="shared" si="18"/>
        <v>54.842589287821461</v>
      </c>
      <c r="F72" s="304">
        <f t="shared" si="18"/>
        <v>54.842589287821461</v>
      </c>
      <c r="G72" s="304">
        <f t="shared" si="18"/>
        <v>54.842589287821461</v>
      </c>
      <c r="H72" s="304">
        <f t="shared" si="18"/>
        <v>54.842589287821461</v>
      </c>
      <c r="I72" s="304">
        <f t="shared" si="18"/>
        <v>54.842589287821461</v>
      </c>
      <c r="J72" s="304">
        <f>+I72</f>
        <v>54.842589287821461</v>
      </c>
      <c r="K72" s="304">
        <f>+J72</f>
        <v>54.842589287821461</v>
      </c>
      <c r="L72" s="304">
        <f>+K72</f>
        <v>54.842589287821461</v>
      </c>
      <c r="M72" s="304">
        <f>+L72</f>
        <v>54.842589287821461</v>
      </c>
      <c r="N72" s="304">
        <f>SUM(B72:M72)</f>
        <v>658.11107145385768</v>
      </c>
    </row>
    <row r="73" spans="1:14">
      <c r="A73" s="303" t="s">
        <v>357</v>
      </c>
      <c r="B73" s="305">
        <f>+(B72*B70)</f>
        <v>822.63883931732187</v>
      </c>
      <c r="C73" s="305">
        <f>+(C72*C70)</f>
        <v>822.63883931732187</v>
      </c>
      <c r="D73" s="305">
        <f t="shared" ref="D73:M73" si="19">+D72*D70</f>
        <v>822.63883931732187</v>
      </c>
      <c r="E73" s="305">
        <f t="shared" si="19"/>
        <v>822.63883931732187</v>
      </c>
      <c r="F73" s="305">
        <f t="shared" si="19"/>
        <v>822.63883931732187</v>
      </c>
      <c r="G73" s="305">
        <f t="shared" si="19"/>
        <v>822.63883931732187</v>
      </c>
      <c r="H73" s="305">
        <f t="shared" si="19"/>
        <v>822.63883931732187</v>
      </c>
      <c r="I73" s="305">
        <f t="shared" si="19"/>
        <v>822.63883931732187</v>
      </c>
      <c r="J73" s="305">
        <f t="shared" si="19"/>
        <v>822.63883931732187</v>
      </c>
      <c r="K73" s="305">
        <f t="shared" si="19"/>
        <v>822.63883931732187</v>
      </c>
      <c r="L73" s="305">
        <f t="shared" si="19"/>
        <v>822.63883931732187</v>
      </c>
      <c r="M73" s="305">
        <f t="shared" si="19"/>
        <v>822.63883931732187</v>
      </c>
      <c r="N73" s="303"/>
    </row>
    <row r="74" spans="1:14">
      <c r="A74" s="303" t="s">
        <v>358</v>
      </c>
      <c r="B74" s="305">
        <f>+(B72*'CAPT MERCADO'!$D$43)*'INGRESOS Y EGRESOS'!B71</f>
        <v>91.404315479702433</v>
      </c>
      <c r="C74" s="305">
        <f>+(C72*'CAPT MERCADO'!$D$43)*'INGRESOS Y EGRESOS'!C71</f>
        <v>91.404315479702433</v>
      </c>
      <c r="D74" s="305">
        <f>+(D72*'CAPT MERCADO'!$D$43)*'INGRESOS Y EGRESOS'!D71</f>
        <v>91.404315479702433</v>
      </c>
      <c r="E74" s="305">
        <f>+(E72*'CAPT MERCADO'!$D$43)*'INGRESOS Y EGRESOS'!E71</f>
        <v>91.404315479702433</v>
      </c>
      <c r="F74" s="305">
        <f>+(F72*'CAPT MERCADO'!$D$43)*'INGRESOS Y EGRESOS'!F71</f>
        <v>91.404315479702433</v>
      </c>
      <c r="G74" s="305">
        <f>+(G72*'CAPT MERCADO'!$D$43)*'INGRESOS Y EGRESOS'!G71</f>
        <v>91.404315479702433</v>
      </c>
      <c r="H74" s="305">
        <f>+(H72*'CAPT MERCADO'!$D$43)*'INGRESOS Y EGRESOS'!H71</f>
        <v>91.404315479702433</v>
      </c>
      <c r="I74" s="305">
        <f>+(I72*'CAPT MERCADO'!$D$43)*'INGRESOS Y EGRESOS'!I71</f>
        <v>91.404315479702433</v>
      </c>
      <c r="J74" s="305">
        <f>+(J72*'CAPT MERCADO'!$D$43)*'INGRESOS Y EGRESOS'!J71</f>
        <v>91.404315479702433</v>
      </c>
      <c r="K74" s="305">
        <f>+(K72*'CAPT MERCADO'!$D$43)*'INGRESOS Y EGRESOS'!K71</f>
        <v>91.404315479702433</v>
      </c>
      <c r="L74" s="305">
        <f>+(L72*'CAPT MERCADO'!$D$43)*'INGRESOS Y EGRESOS'!L71</f>
        <v>91.404315479702433</v>
      </c>
      <c r="M74" s="305">
        <f>+(M72*'CAPT MERCADO'!$D$43)*'INGRESOS Y EGRESOS'!M71</f>
        <v>91.404315479702433</v>
      </c>
      <c r="N74" s="303"/>
    </row>
    <row r="75" spans="1:14">
      <c r="A75" s="303" t="s">
        <v>367</v>
      </c>
      <c r="B75" s="305">
        <f t="shared" ref="B75:M75" si="20">SUM(B73:B74)</f>
        <v>914.04315479702427</v>
      </c>
      <c r="C75" s="305">
        <f t="shared" si="20"/>
        <v>914.04315479702427</v>
      </c>
      <c r="D75" s="305">
        <f t="shared" si="20"/>
        <v>914.04315479702427</v>
      </c>
      <c r="E75" s="305">
        <f t="shared" si="20"/>
        <v>914.04315479702427</v>
      </c>
      <c r="F75" s="305">
        <f t="shared" si="20"/>
        <v>914.04315479702427</v>
      </c>
      <c r="G75" s="305">
        <f t="shared" si="20"/>
        <v>914.04315479702427</v>
      </c>
      <c r="H75" s="305">
        <f t="shared" si="20"/>
        <v>914.04315479702427</v>
      </c>
      <c r="I75" s="305">
        <f t="shared" si="20"/>
        <v>914.04315479702427</v>
      </c>
      <c r="J75" s="305">
        <f t="shared" si="20"/>
        <v>914.04315479702427</v>
      </c>
      <c r="K75" s="305">
        <f t="shared" si="20"/>
        <v>914.04315479702427</v>
      </c>
      <c r="L75" s="305">
        <f t="shared" si="20"/>
        <v>914.04315479702427</v>
      </c>
      <c r="M75" s="305">
        <f t="shared" si="20"/>
        <v>914.04315479702427</v>
      </c>
      <c r="N75" s="303"/>
    </row>
    <row r="76" spans="1:14">
      <c r="A76" s="309"/>
      <c r="B76" s="309"/>
      <c r="C76" s="309"/>
      <c r="D76" s="309"/>
      <c r="E76" s="309"/>
      <c r="F76" s="309"/>
      <c r="G76" s="309"/>
      <c r="H76" s="309"/>
      <c r="I76" s="309"/>
      <c r="J76" s="309"/>
      <c r="K76" s="309"/>
      <c r="L76" s="309"/>
      <c r="M76" s="309"/>
      <c r="N76" s="309"/>
    </row>
    <row r="77" spans="1:14">
      <c r="A77" s="128" t="s">
        <v>302</v>
      </c>
      <c r="B77" s="303"/>
      <c r="C77" s="312">
        <f t="shared" ref="C77:M77" si="21">(C11+C20+C29+C38+C48+C57+C66+C75)</f>
        <v>17627.626921312218</v>
      </c>
      <c r="D77" s="312">
        <f t="shared" si="21"/>
        <v>17627.626921312218</v>
      </c>
      <c r="E77" s="312">
        <f t="shared" si="21"/>
        <v>17627.626921312218</v>
      </c>
      <c r="F77" s="312">
        <f t="shared" si="21"/>
        <v>17627.626921312218</v>
      </c>
      <c r="G77" s="312">
        <f t="shared" si="21"/>
        <v>17627.626921312218</v>
      </c>
      <c r="H77" s="312">
        <f t="shared" si="21"/>
        <v>17627.626921312218</v>
      </c>
      <c r="I77" s="312">
        <f t="shared" si="21"/>
        <v>17627.626921312218</v>
      </c>
      <c r="J77" s="312">
        <f t="shared" si="21"/>
        <v>17627.626921312218</v>
      </c>
      <c r="K77" s="312">
        <f t="shared" si="21"/>
        <v>17627.626921312218</v>
      </c>
      <c r="L77" s="312">
        <f t="shared" si="21"/>
        <v>17627.626921312218</v>
      </c>
      <c r="M77" s="312">
        <f t="shared" si="21"/>
        <v>17627.626921312218</v>
      </c>
      <c r="N77" s="326">
        <f>SUM(C77:M77)</f>
        <v>193903.89613443438</v>
      </c>
    </row>
    <row r="78" spans="1:14">
      <c r="A78" s="309"/>
      <c r="B78" s="309"/>
      <c r="C78" s="309"/>
      <c r="D78" s="309"/>
      <c r="E78" s="309"/>
      <c r="F78" s="309"/>
      <c r="G78" s="309"/>
      <c r="H78" s="309"/>
      <c r="I78" s="309"/>
      <c r="J78" s="309"/>
      <c r="K78" s="309"/>
      <c r="L78" s="309"/>
      <c r="M78" s="309"/>
      <c r="N78" s="309"/>
    </row>
    <row r="79" spans="1:14">
      <c r="A79" s="325" t="s">
        <v>368</v>
      </c>
      <c r="B79" s="325"/>
      <c r="C79" s="325"/>
      <c r="D79" s="19"/>
      <c r="E79" s="362">
        <f>SUM(C10:M10,C19:M19,C28:M28,C37:M37,C47:M47,C56:M56,C65:M65,C74:M74)</f>
        <v>22253.904008791535</v>
      </c>
      <c r="F79" s="362"/>
      <c r="G79" s="309"/>
      <c r="H79" s="313"/>
      <c r="I79" s="309"/>
      <c r="J79" s="309"/>
      <c r="K79" s="309"/>
      <c r="L79" s="309"/>
      <c r="M79" s="309"/>
      <c r="N79" s="309"/>
    </row>
    <row r="80" spans="1:14">
      <c r="A80" s="309"/>
      <c r="B80" s="309"/>
      <c r="C80" s="309"/>
      <c r="D80" s="309"/>
      <c r="E80" s="309"/>
      <c r="F80" s="309"/>
      <c r="G80" s="309"/>
      <c r="H80" s="309"/>
      <c r="I80" s="309"/>
      <c r="J80" s="309"/>
      <c r="K80" s="309"/>
      <c r="L80" s="309"/>
      <c r="M80" s="309"/>
      <c r="N80" s="309"/>
    </row>
    <row r="81" spans="1:14">
      <c r="A81" s="309"/>
      <c r="B81" s="309"/>
      <c r="C81" s="309"/>
      <c r="D81" s="309"/>
      <c r="E81" s="309"/>
      <c r="F81" s="309"/>
      <c r="G81" s="309"/>
      <c r="H81" s="309"/>
      <c r="I81" s="309"/>
      <c r="J81" s="309"/>
      <c r="K81" s="309"/>
      <c r="L81" s="309"/>
      <c r="M81" s="309"/>
      <c r="N81" s="309"/>
    </row>
    <row r="82" spans="1:14">
      <c r="A82" s="310" t="s">
        <v>67</v>
      </c>
      <c r="B82" s="309"/>
      <c r="C82" s="309"/>
      <c r="D82" s="309"/>
      <c r="E82" s="309"/>
      <c r="F82" s="309"/>
      <c r="G82" s="309"/>
      <c r="H82" s="309"/>
      <c r="I82" s="309"/>
      <c r="J82" s="309"/>
      <c r="K82" s="309"/>
      <c r="L82" s="309"/>
      <c r="M82" s="309"/>
      <c r="N82" s="309"/>
    </row>
    <row r="83" spans="1:14">
      <c r="A83" s="314" t="s">
        <v>62</v>
      </c>
      <c r="B83" s="314" t="s">
        <v>50</v>
      </c>
      <c r="C83" s="314" t="s">
        <v>51</v>
      </c>
      <c r="D83" s="314" t="s">
        <v>52</v>
      </c>
      <c r="E83" s="314" t="s">
        <v>53</v>
      </c>
      <c r="F83" s="314" t="s">
        <v>54</v>
      </c>
      <c r="G83" s="314" t="s">
        <v>55</v>
      </c>
      <c r="H83" s="314" t="s">
        <v>56</v>
      </c>
      <c r="I83" s="314" t="s">
        <v>301</v>
      </c>
      <c r="J83" s="314" t="s">
        <v>57</v>
      </c>
      <c r="K83" s="314" t="s">
        <v>58</v>
      </c>
      <c r="L83" s="314" t="s">
        <v>59</v>
      </c>
      <c r="M83" s="314" t="s">
        <v>60</v>
      </c>
      <c r="N83" s="309"/>
    </row>
    <row r="84" spans="1:14">
      <c r="A84" s="128" t="s">
        <v>63</v>
      </c>
      <c r="B84" s="80">
        <f>('COST. VARIABLE'!$F$13/12)</f>
        <v>8026.2289803103531</v>
      </c>
      <c r="C84" s="80">
        <f t="shared" ref="C84:I84" si="22">+B84</f>
        <v>8026.2289803103531</v>
      </c>
      <c r="D84" s="80">
        <f t="shared" si="22"/>
        <v>8026.2289803103531</v>
      </c>
      <c r="E84" s="80">
        <f t="shared" si="22"/>
        <v>8026.2289803103531</v>
      </c>
      <c r="F84" s="80">
        <f t="shared" si="22"/>
        <v>8026.2289803103531</v>
      </c>
      <c r="G84" s="80">
        <f t="shared" si="22"/>
        <v>8026.2289803103531</v>
      </c>
      <c r="H84" s="80">
        <f t="shared" si="22"/>
        <v>8026.2289803103531</v>
      </c>
      <c r="I84" s="80">
        <f t="shared" si="22"/>
        <v>8026.2289803103531</v>
      </c>
      <c r="J84" s="80">
        <f>+I84</f>
        <v>8026.2289803103531</v>
      </c>
      <c r="K84" s="80">
        <f>+J84</f>
        <v>8026.2289803103531</v>
      </c>
      <c r="L84" s="80">
        <f>+K84</f>
        <v>8026.2289803103531</v>
      </c>
      <c r="M84" s="80">
        <f>+L84</f>
        <v>8026.2289803103531</v>
      </c>
      <c r="N84" s="309"/>
    </row>
    <row r="85" spans="1:14">
      <c r="A85" s="128" t="s">
        <v>64</v>
      </c>
      <c r="B85" s="80">
        <f>+COSTOS!$D$63</f>
        <v>1450</v>
      </c>
      <c r="C85" s="80">
        <f>+COSTOS!$D$63</f>
        <v>1450</v>
      </c>
      <c r="D85" s="80">
        <f>+COSTOS!$D$63</f>
        <v>1450</v>
      </c>
      <c r="E85" s="80">
        <f>+COSTOS!$D$63</f>
        <v>1450</v>
      </c>
      <c r="F85" s="80">
        <f>+COSTOS!$D$63</f>
        <v>1450</v>
      </c>
      <c r="G85" s="80">
        <f>+COSTOS!$D$63</f>
        <v>1450</v>
      </c>
      <c r="H85" s="80">
        <f>+COSTOS!$D$63</f>
        <v>1450</v>
      </c>
      <c r="I85" s="80">
        <f>+COSTOS!$D$63</f>
        <v>1450</v>
      </c>
      <c r="J85" s="80">
        <f>+COSTOS!$D$63</f>
        <v>1450</v>
      </c>
      <c r="K85" s="80">
        <f>+COSTOS!$D$63</f>
        <v>1450</v>
      </c>
      <c r="L85" s="80">
        <f>+COSTOS!$D$63</f>
        <v>1450</v>
      </c>
      <c r="M85" s="80">
        <f>+COSTOS!$D$63</f>
        <v>1450</v>
      </c>
      <c r="N85" s="309"/>
    </row>
    <row r="86" spans="1:14">
      <c r="A86" s="128" t="s">
        <v>65</v>
      </c>
      <c r="B86" s="315">
        <f>+COSTOS!$C$53/12</f>
        <v>4223.75</v>
      </c>
      <c r="C86" s="315">
        <f>+COSTOS!$C$53/12</f>
        <v>4223.75</v>
      </c>
      <c r="D86" s="315">
        <f>+COSTOS!$C$53/12</f>
        <v>4223.75</v>
      </c>
      <c r="E86" s="315">
        <f>+COSTOS!$C$53/12</f>
        <v>4223.75</v>
      </c>
      <c r="F86" s="315">
        <f>+COSTOS!$C$53/12</f>
        <v>4223.75</v>
      </c>
      <c r="G86" s="315">
        <f>+COSTOS!$C$53/12</f>
        <v>4223.75</v>
      </c>
      <c r="H86" s="315">
        <f>+COSTOS!$C$53/12</f>
        <v>4223.75</v>
      </c>
      <c r="I86" s="315">
        <f>+COSTOS!$C$53/12</f>
        <v>4223.75</v>
      </c>
      <c r="J86" s="315">
        <f>+COSTOS!$C$53/12</f>
        <v>4223.75</v>
      </c>
      <c r="K86" s="315">
        <f>+COSTOS!$C$53/12</f>
        <v>4223.75</v>
      </c>
      <c r="L86" s="315">
        <f>+COSTOS!$C$53/12</f>
        <v>4223.75</v>
      </c>
      <c r="M86" s="315">
        <f>+COSTOS!$C$53/12</f>
        <v>4223.75</v>
      </c>
      <c r="N86" s="309"/>
    </row>
    <row r="87" spans="1:14">
      <c r="A87" s="128" t="s">
        <v>244</v>
      </c>
      <c r="B87" s="80">
        <f>COSTOS!$C$34</f>
        <v>700</v>
      </c>
      <c r="C87" s="80">
        <f>COSTOS!$C$34</f>
        <v>700</v>
      </c>
      <c r="D87" s="80">
        <f>COSTOS!$C$34</f>
        <v>700</v>
      </c>
      <c r="E87" s="80">
        <f>COSTOS!$C$34</f>
        <v>700</v>
      </c>
      <c r="F87" s="80">
        <f>COSTOS!$C$34</f>
        <v>700</v>
      </c>
      <c r="G87" s="80">
        <f>COSTOS!$C$34</f>
        <v>700</v>
      </c>
      <c r="H87" s="80">
        <f>COSTOS!$C$34</f>
        <v>700</v>
      </c>
      <c r="I87" s="80">
        <f>COSTOS!$C$34</f>
        <v>700</v>
      </c>
      <c r="J87" s="80">
        <f>COSTOS!$C$34</f>
        <v>700</v>
      </c>
      <c r="K87" s="80">
        <f>COSTOS!$C$34</f>
        <v>700</v>
      </c>
      <c r="L87" s="80">
        <f>COSTOS!$C$34</f>
        <v>700</v>
      </c>
      <c r="M87" s="80">
        <f>COSTOS!$C$34</f>
        <v>700</v>
      </c>
      <c r="N87" s="309"/>
    </row>
    <row r="88" spans="1:14">
      <c r="A88" s="128" t="s">
        <v>1</v>
      </c>
      <c r="B88" s="80">
        <f>COSTOS!$C$35</f>
        <v>400</v>
      </c>
      <c r="C88" s="80">
        <f>COSTOS!$C$35</f>
        <v>400</v>
      </c>
      <c r="D88" s="80">
        <f>COSTOS!$C$35</f>
        <v>400</v>
      </c>
      <c r="E88" s="80">
        <f>COSTOS!$C$35</f>
        <v>400</v>
      </c>
      <c r="F88" s="80">
        <f>COSTOS!$C$35</f>
        <v>400</v>
      </c>
      <c r="G88" s="80">
        <f>COSTOS!$C$35</f>
        <v>400</v>
      </c>
      <c r="H88" s="80">
        <f>COSTOS!$C$35</f>
        <v>400</v>
      </c>
      <c r="I88" s="80">
        <f>COSTOS!$C$35</f>
        <v>400</v>
      </c>
      <c r="J88" s="80">
        <f>COSTOS!$C$35</f>
        <v>400</v>
      </c>
      <c r="K88" s="80">
        <f>COSTOS!$C$35</f>
        <v>400</v>
      </c>
      <c r="L88" s="80">
        <f>COSTOS!$C$35</f>
        <v>400</v>
      </c>
      <c r="M88" s="80">
        <f>COSTOS!$C$35</f>
        <v>400</v>
      </c>
      <c r="N88" s="309"/>
    </row>
    <row r="89" spans="1:14">
      <c r="A89" s="128" t="s">
        <v>2</v>
      </c>
      <c r="B89" s="80">
        <f>COSTOS!$C$36</f>
        <v>200</v>
      </c>
      <c r="C89" s="80">
        <f>COSTOS!$C$36</f>
        <v>200</v>
      </c>
      <c r="D89" s="80">
        <f>COSTOS!$C$36</f>
        <v>200</v>
      </c>
      <c r="E89" s="80">
        <f>COSTOS!$C$36</f>
        <v>200</v>
      </c>
      <c r="F89" s="80">
        <f>COSTOS!$C$36</f>
        <v>200</v>
      </c>
      <c r="G89" s="80">
        <f>COSTOS!$C$36</f>
        <v>200</v>
      </c>
      <c r="H89" s="80">
        <f>COSTOS!$C$36</f>
        <v>200</v>
      </c>
      <c r="I89" s="80">
        <f>COSTOS!$C$36</f>
        <v>200</v>
      </c>
      <c r="J89" s="80">
        <f>COSTOS!$C$36</f>
        <v>200</v>
      </c>
      <c r="K89" s="80">
        <f>COSTOS!$C$36</f>
        <v>200</v>
      </c>
      <c r="L89" s="80">
        <f>COSTOS!$C$36</f>
        <v>200</v>
      </c>
      <c r="M89" s="80">
        <f>COSTOS!$C$36</f>
        <v>200</v>
      </c>
      <c r="N89" s="309"/>
    </row>
    <row r="90" spans="1:14">
      <c r="A90" s="128" t="s">
        <v>3</v>
      </c>
      <c r="B90" s="80">
        <f>COSTOS!$C$37</f>
        <v>250</v>
      </c>
      <c r="C90" s="80">
        <f>COSTOS!$C$37</f>
        <v>250</v>
      </c>
      <c r="D90" s="80">
        <f>COSTOS!$C$37</f>
        <v>250</v>
      </c>
      <c r="E90" s="80">
        <f>COSTOS!$C$37</f>
        <v>250</v>
      </c>
      <c r="F90" s="80">
        <f>COSTOS!$C$37</f>
        <v>250</v>
      </c>
      <c r="G90" s="80">
        <f>COSTOS!$C$37</f>
        <v>250</v>
      </c>
      <c r="H90" s="80">
        <f>COSTOS!$C$37</f>
        <v>250</v>
      </c>
      <c r="I90" s="80">
        <f>COSTOS!$C$37</f>
        <v>250</v>
      </c>
      <c r="J90" s="80">
        <f>COSTOS!$C$37</f>
        <v>250</v>
      </c>
      <c r="K90" s="80">
        <f>COSTOS!$C$37</f>
        <v>250</v>
      </c>
      <c r="L90" s="80">
        <f>COSTOS!$C$37</f>
        <v>250</v>
      </c>
      <c r="M90" s="80">
        <f>COSTOS!$C$37</f>
        <v>250</v>
      </c>
      <c r="N90" s="309"/>
    </row>
    <row r="91" spans="1:14">
      <c r="A91" s="128" t="s">
        <v>4</v>
      </c>
      <c r="B91" s="80">
        <f>COSTOS!$C$38</f>
        <v>100</v>
      </c>
      <c r="C91" s="80">
        <f>COSTOS!$C$38</f>
        <v>100</v>
      </c>
      <c r="D91" s="80">
        <f>COSTOS!$C$38</f>
        <v>100</v>
      </c>
      <c r="E91" s="80">
        <f>COSTOS!$C$38</f>
        <v>100</v>
      </c>
      <c r="F91" s="80">
        <f>COSTOS!$C$38</f>
        <v>100</v>
      </c>
      <c r="G91" s="80">
        <f>COSTOS!$C$38</f>
        <v>100</v>
      </c>
      <c r="H91" s="80">
        <f>COSTOS!$C$38</f>
        <v>100</v>
      </c>
      <c r="I91" s="80">
        <f>COSTOS!$C$38</f>
        <v>100</v>
      </c>
      <c r="J91" s="80">
        <f>COSTOS!$C$38</f>
        <v>100</v>
      </c>
      <c r="K91" s="80">
        <f>COSTOS!$C$38</f>
        <v>100</v>
      </c>
      <c r="L91" s="80">
        <f>COSTOS!$C$38</f>
        <v>100</v>
      </c>
      <c r="M91" s="80">
        <f>COSTOS!$C$38</f>
        <v>100</v>
      </c>
      <c r="N91" s="309"/>
    </row>
    <row r="92" spans="1:14">
      <c r="A92" s="128" t="s">
        <v>5</v>
      </c>
      <c r="B92" s="80">
        <f>COSTOS!$C$39</f>
        <v>2550</v>
      </c>
      <c r="C92" s="80">
        <f>COSTOS!$C$39</f>
        <v>2550</v>
      </c>
      <c r="D92" s="80">
        <f>COSTOS!$C$39</f>
        <v>2550</v>
      </c>
      <c r="E92" s="80">
        <f>COSTOS!$C$39</f>
        <v>2550</v>
      </c>
      <c r="F92" s="80">
        <f>COSTOS!$C$39</f>
        <v>2550</v>
      </c>
      <c r="G92" s="80">
        <f>COSTOS!$C$39</f>
        <v>2550</v>
      </c>
      <c r="H92" s="80">
        <f>COSTOS!$C$39</f>
        <v>2550</v>
      </c>
      <c r="I92" s="80">
        <f>COSTOS!$C$39</f>
        <v>2550</v>
      </c>
      <c r="J92" s="80">
        <f>COSTOS!$C$39</f>
        <v>2550</v>
      </c>
      <c r="K92" s="80">
        <f>COSTOS!$C$39</f>
        <v>2550</v>
      </c>
      <c r="L92" s="80">
        <f>COSTOS!$C$39</f>
        <v>2550</v>
      </c>
      <c r="M92" s="80">
        <f>COSTOS!$C$39</f>
        <v>2550</v>
      </c>
      <c r="N92" s="309"/>
    </row>
    <row r="93" spans="1:14" ht="42" customHeight="1">
      <c r="A93" s="316" t="s">
        <v>46</v>
      </c>
      <c r="B93" s="82">
        <f>COSTOS!$C$40</f>
        <v>386.66666666666669</v>
      </c>
      <c r="C93" s="82">
        <f>COSTOS!$C$40</f>
        <v>386.66666666666669</v>
      </c>
      <c r="D93" s="82">
        <f>COSTOS!$C$40</f>
        <v>386.66666666666669</v>
      </c>
      <c r="E93" s="82">
        <f>COSTOS!$C$40</f>
        <v>386.66666666666669</v>
      </c>
      <c r="F93" s="82">
        <f>COSTOS!$C$40</f>
        <v>386.66666666666669</v>
      </c>
      <c r="G93" s="82">
        <f>COSTOS!$C$40</f>
        <v>386.66666666666669</v>
      </c>
      <c r="H93" s="82">
        <f>COSTOS!$C$40</f>
        <v>386.66666666666669</v>
      </c>
      <c r="I93" s="82">
        <f>COSTOS!$C$40</f>
        <v>386.66666666666669</v>
      </c>
      <c r="J93" s="82">
        <f>COSTOS!$C$40</f>
        <v>386.66666666666669</v>
      </c>
      <c r="K93" s="82">
        <f>COSTOS!$C$40</f>
        <v>386.66666666666669</v>
      </c>
      <c r="L93" s="82">
        <f>COSTOS!$C$40</f>
        <v>386.66666666666669</v>
      </c>
      <c r="M93" s="82">
        <f>COSTOS!$C$40</f>
        <v>386.66666666666669</v>
      </c>
      <c r="N93" s="309"/>
    </row>
    <row r="94" spans="1:14">
      <c r="A94" s="314" t="s">
        <v>292</v>
      </c>
      <c r="B94" s="317">
        <f>SUM(B84:B93)</f>
        <v>18286.64564697702</v>
      </c>
      <c r="C94" s="317">
        <f t="shared" ref="C94:I94" si="23">SUM(C84:C93)</f>
        <v>18286.64564697702</v>
      </c>
      <c r="D94" s="317">
        <f t="shared" si="23"/>
        <v>18286.64564697702</v>
      </c>
      <c r="E94" s="317">
        <f t="shared" si="23"/>
        <v>18286.64564697702</v>
      </c>
      <c r="F94" s="317">
        <f t="shared" si="23"/>
        <v>18286.64564697702</v>
      </c>
      <c r="G94" s="317">
        <f t="shared" si="23"/>
        <v>18286.64564697702</v>
      </c>
      <c r="H94" s="317">
        <f t="shared" si="23"/>
        <v>18286.64564697702</v>
      </c>
      <c r="I94" s="317">
        <f t="shared" si="23"/>
        <v>18286.64564697702</v>
      </c>
      <c r="J94" s="317">
        <f>SUM(J84:J93)</f>
        <v>18286.64564697702</v>
      </c>
      <c r="K94" s="317">
        <f>SUM(K84:K93)</f>
        <v>18286.64564697702</v>
      </c>
      <c r="L94" s="317">
        <f>SUM(L84:L93)</f>
        <v>18286.64564697702</v>
      </c>
      <c r="M94" s="317">
        <f>SUM(M84:M93)</f>
        <v>18286.64564697702</v>
      </c>
      <c r="N94" s="309"/>
    </row>
    <row r="95" spans="1:14">
      <c r="A95" s="309"/>
      <c r="B95" s="309"/>
      <c r="C95" s="309"/>
      <c r="D95" s="309"/>
      <c r="E95" s="309"/>
      <c r="F95" s="309"/>
      <c r="G95" s="309"/>
      <c r="H95" s="309"/>
      <c r="I95" s="309"/>
      <c r="J95" s="309"/>
      <c r="K95" s="309"/>
      <c r="L95" s="309"/>
      <c r="M95" s="309"/>
      <c r="N95" s="309"/>
    </row>
    <row r="96" spans="1:14">
      <c r="A96" s="309"/>
      <c r="B96" s="309"/>
      <c r="C96" s="309"/>
      <c r="D96" s="309"/>
      <c r="E96" s="309"/>
      <c r="F96" s="309"/>
      <c r="G96" s="309"/>
      <c r="H96" s="309"/>
      <c r="I96" s="309"/>
      <c r="J96" s="309"/>
      <c r="K96" s="309"/>
      <c r="L96" s="309"/>
      <c r="M96" s="309"/>
      <c r="N96" s="309"/>
    </row>
    <row r="97" spans="1:14">
      <c r="A97" s="309"/>
      <c r="B97" s="309"/>
      <c r="C97" s="309"/>
      <c r="D97" s="308"/>
      <c r="E97" s="309"/>
      <c r="F97" s="309"/>
      <c r="G97" s="309"/>
      <c r="H97" s="309"/>
      <c r="I97" s="309"/>
      <c r="J97" s="309"/>
      <c r="K97" s="309"/>
      <c r="L97" s="309"/>
      <c r="M97" s="309"/>
      <c r="N97" s="309"/>
    </row>
    <row r="98" spans="1:14">
      <c r="A98" s="309"/>
      <c r="B98" s="309"/>
      <c r="C98" s="309"/>
      <c r="D98" s="309"/>
      <c r="E98" s="309"/>
      <c r="F98" s="309"/>
      <c r="G98" s="309"/>
      <c r="H98" s="309"/>
      <c r="I98" s="309"/>
      <c r="J98" s="309"/>
      <c r="K98" s="309"/>
      <c r="L98" s="309"/>
      <c r="M98" s="309"/>
      <c r="N98" s="309"/>
    </row>
    <row r="99" spans="1:14">
      <c r="A99" s="309"/>
      <c r="B99" s="309"/>
      <c r="C99" s="309"/>
      <c r="D99" s="309"/>
      <c r="E99" s="309"/>
      <c r="F99" s="309"/>
      <c r="G99" s="309"/>
      <c r="H99" s="309"/>
      <c r="I99" s="309"/>
      <c r="J99" s="309"/>
      <c r="K99" s="309"/>
      <c r="L99" s="309"/>
      <c r="M99" s="309"/>
      <c r="N99" s="309"/>
    </row>
    <row r="100" spans="1:14">
      <c r="A100" s="309"/>
      <c r="B100" s="309"/>
      <c r="C100" s="309"/>
      <c r="D100" s="318"/>
      <c r="E100" s="318"/>
      <c r="F100" s="318"/>
      <c r="G100" s="318"/>
      <c r="H100" s="318"/>
      <c r="I100" s="309"/>
      <c r="J100" s="309"/>
      <c r="K100" s="309"/>
      <c r="L100" s="309"/>
      <c r="M100" s="309"/>
      <c r="N100" s="309"/>
    </row>
    <row r="101" spans="1:14">
      <c r="A101" s="309"/>
      <c r="B101" s="309"/>
      <c r="C101" s="309"/>
      <c r="D101" s="318"/>
      <c r="E101" s="318"/>
      <c r="F101" s="318"/>
      <c r="G101" s="318"/>
      <c r="H101" s="318"/>
      <c r="I101" s="309"/>
      <c r="J101" s="309"/>
      <c r="K101" s="309"/>
      <c r="L101" s="309"/>
      <c r="M101" s="309"/>
      <c r="N101" s="309"/>
    </row>
    <row r="102" spans="1:14">
      <c r="D102" s="37"/>
      <c r="E102" s="37"/>
      <c r="F102" s="37"/>
      <c r="G102" s="37"/>
      <c r="H102" s="37"/>
    </row>
    <row r="103" spans="1:14">
      <c r="D103" s="37"/>
      <c r="E103" s="37"/>
      <c r="F103" s="37"/>
      <c r="G103" s="37"/>
      <c r="H103" s="37"/>
    </row>
    <row r="104" spans="1:14">
      <c r="D104" s="37"/>
      <c r="E104" s="37"/>
      <c r="F104" s="37"/>
      <c r="G104" s="37"/>
      <c r="H104" s="37"/>
    </row>
    <row r="105" spans="1:14">
      <c r="D105" s="37"/>
      <c r="E105" s="37"/>
      <c r="F105" s="37"/>
      <c r="G105" s="37"/>
      <c r="H105" s="37"/>
    </row>
    <row r="107" spans="1:14">
      <c r="D107" s="37"/>
      <c r="E107" s="37"/>
      <c r="F107" s="37"/>
      <c r="G107" s="37"/>
      <c r="H107" s="37"/>
    </row>
    <row r="108" spans="1:14">
      <c r="D108" s="37"/>
      <c r="E108" s="37"/>
      <c r="F108" s="37"/>
      <c r="G108" s="37"/>
      <c r="H108" s="37"/>
    </row>
    <row r="109" spans="1:14">
      <c r="D109" s="37"/>
      <c r="E109" s="37"/>
      <c r="F109" s="37"/>
      <c r="G109" s="37"/>
      <c r="H109" s="37"/>
    </row>
    <row r="110" spans="1:14">
      <c r="D110" s="37"/>
      <c r="E110" s="37"/>
      <c r="F110" s="37"/>
      <c r="G110" s="37"/>
      <c r="H110" s="37"/>
    </row>
    <row r="121" spans="4:8">
      <c r="D121" s="93"/>
      <c r="E121" s="93"/>
      <c r="F121" s="93"/>
      <c r="G121" s="93"/>
      <c r="H121" s="93"/>
    </row>
  </sheetData>
  <mergeCells count="1">
    <mergeCell ref="E79:F79"/>
  </mergeCells>
  <phoneticPr fontId="15" type="noConversion"/>
  <pageMargins left="0.75" right="0.75" top="1" bottom="1" header="0" footer="0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SUELDOS</vt:lpstr>
      <vt:lpstr>COSTOS</vt:lpstr>
      <vt:lpstr>INVERSION</vt:lpstr>
      <vt:lpstr>PAY BACK</vt:lpstr>
      <vt:lpstr>VAL. DESECHO</vt:lpstr>
      <vt:lpstr>COST. VARIABLE</vt:lpstr>
      <vt:lpstr>CAPT MERCADO</vt:lpstr>
      <vt:lpstr>AMORTIZACION</vt:lpstr>
      <vt:lpstr>INGRESOS Y EGRESOS</vt:lpstr>
      <vt:lpstr>COSTO DE VENTA</vt:lpstr>
      <vt:lpstr>CAPM</vt:lpstr>
      <vt:lpstr>DEMANDA</vt:lpstr>
      <vt:lpstr>DEFICIT</vt:lpstr>
      <vt:lpstr>EERR</vt:lpstr>
      <vt:lpstr>EERR (OPTIMISTA)</vt:lpstr>
      <vt:lpstr>EERR (PESIMISTA)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silgivar</cp:lastModifiedBy>
  <cp:lastPrinted>2010-04-29T22:39:48Z</cp:lastPrinted>
  <dcterms:created xsi:type="dcterms:W3CDTF">2010-04-14T14:01:50Z</dcterms:created>
  <dcterms:modified xsi:type="dcterms:W3CDTF">2010-06-18T19:40:35Z</dcterms:modified>
</cp:coreProperties>
</file>