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5" yWindow="-30" windowWidth="15270" windowHeight="8985" tabRatio="809" firstSheet="1" activeTab="6"/>
  </bookViews>
  <sheets>
    <sheet name="Anexo 1 - Flujo de caja" sheetId="11" r:id="rId1"/>
    <sheet name="Anexo 2 - Horas jornaleros" sheetId="28" r:id="rId2"/>
    <sheet name="Anexo 3 - Mano de Obra" sheetId="27" r:id="rId3"/>
    <sheet name="CB_DATA_" sheetId="36" state="veryHidden" r:id="rId4"/>
    <sheet name="Anexo 4 - Capital de trabajo" sheetId="34" r:id="rId5"/>
    <sheet name="Anexo 5 - Presup de Ingresos" sheetId="6" r:id="rId6"/>
    <sheet name="Anexo 6 - Materiales directos" sheetId="29" r:id="rId7"/>
    <sheet name="Anexo 7 - Materiales indirecto" sheetId="31" r:id="rId8"/>
    <sheet name="Anexo 8 - Activos Fijos" sheetId="1" r:id="rId9"/>
    <sheet name="Anexo 9 - Depreciación" sheetId="8" r:id="rId10"/>
    <sheet name="Anexo 10 - Suminis. y serv." sheetId="30" r:id="rId11"/>
    <sheet name="Anexo11 - Amortización Prestamo" sheetId="37" r:id="rId12"/>
    <sheet name="Anexo 12 - Infraestructura" sheetId="26" r:id="rId13"/>
    <sheet name="Anexo 13 -  Inversion Inicial" sheetId="33" r:id="rId14"/>
    <sheet name="Anexo 14 - Capital Propio" sheetId="35" r:id="rId15"/>
    <sheet name="Anexo 15 - Alquiler" sheetId="32" r:id="rId16"/>
    <sheet name="Anexo 16 - Estrateg. Publicidad" sheetId="13" r:id="rId17"/>
    <sheet name="Anexo 17 - Otros Gastos" sheetId="3" r:id="rId18"/>
    <sheet name="Anexo 18 - Presupuesto Personal" sheetId="7" r:id="rId19"/>
  </sheets>
  <definedNames>
    <definedName name="_xlnm.Print_Area" localSheetId="17">'Anexo 17 - Otros Gastos'!$A$45:$D$74</definedName>
    <definedName name="_xlnm.Print_Area" localSheetId="5">'Anexo 5 - Presup de Ingresos'!$A$1:$H$29</definedName>
    <definedName name="Beg_Bal">#REF!</definedName>
    <definedName name="CB_252dcd260186496090e9fa3db25b9410" localSheetId="0" hidden="1">'Anexo 1 - Flujo de caja'!$B$62</definedName>
    <definedName name="CB_26461ac011bf4d5087a432dd74abeda2" localSheetId="6" hidden="1">'Anexo 6 - Materiales directos'!$D$5</definedName>
    <definedName name="CB_2ca935ec2ea24ec6b71dc3c23f66cd4e" localSheetId="5" hidden="1">'Anexo 5 - Presup de Ingresos'!$D$4</definedName>
    <definedName name="CB_2ce4001ad6914f09b78665abb3d28bd9" localSheetId="5" hidden="1">'Anexo 5 - Presup de Ingresos'!$C$41</definedName>
    <definedName name="CB_49e7b026595d40b3845be5c595648653" localSheetId="7" hidden="1">'Anexo 7 - Materiales indirecto'!$C$8</definedName>
    <definedName name="CB_4a02a3fb1ed44235a958117dd908d234" localSheetId="5" hidden="1">'Anexo 5 - Presup de Ingresos'!$C$40</definedName>
    <definedName name="CB_58d5568338b44bf8b8ea3f0734b043bd" localSheetId="5" hidden="1">'Anexo 5 - Presup de Ingresos'!$D$16</definedName>
    <definedName name="CB_594152ee5c61451ea18fabcc716ce4c9" localSheetId="7" hidden="1">'Anexo 7 - Materiales indirecto'!$C$9</definedName>
    <definedName name="CB_6937919b3ad54250abad8eb4796cfa1b" localSheetId="6" hidden="1">'Anexo 6 - Materiales directos'!$D$8</definedName>
    <definedName name="CB_6f1c526a665b4d9ab72eb7bb3128d123" localSheetId="7" hidden="1">'Anexo 7 - Materiales indirecto'!$C$6</definedName>
    <definedName name="CB_75ba89999a31446298eeeae0280309a9" localSheetId="6" hidden="1">'Anexo 6 - Materiales directos'!$D$10</definedName>
    <definedName name="CB_7695a7804982460ea9a127c2ea54daa4" localSheetId="5" hidden="1">'Anexo 5 - Presup de Ingresos'!$C$39</definedName>
    <definedName name="CB_836de066025b4982b599e7e4a2bdd126" localSheetId="5" hidden="1">'Anexo 5 - Presup de Ingresos'!$D$12</definedName>
    <definedName name="CB_83d7dfb0ade64d6d97900d6654cc9869" localSheetId="6" hidden="1">'Anexo 6 - Materiales directos'!$D$12</definedName>
    <definedName name="CB_89141edd0c1147f090a02f1a5f0a1aab" localSheetId="7" hidden="1">'Anexo 7 - Materiales indirecto'!$C$5</definedName>
    <definedName name="CB_ad4992080a604a23be2d22e11971cdc5" localSheetId="5" hidden="1">'Anexo 5 - Presup de Ingresos'!$D$8</definedName>
    <definedName name="CB_b819cbd25a44414cbeab32bdbd101d49" localSheetId="6" hidden="1">'Anexo 6 - Materiales directos'!$D$11</definedName>
    <definedName name="CB_bf6fe61896b84f119222467c57cedf44" localSheetId="7" hidden="1">'Anexo 7 - Materiales indirecto'!$C$7</definedName>
    <definedName name="CB_c9a55a5f74634cdaac79a1fe6f3a2770" localSheetId="6" hidden="1">'Anexo 6 - Materiales directos'!$D$14</definedName>
    <definedName name="CB_cefb9dd6f4c6483e80db92054cc5532a" localSheetId="6" hidden="1">'Anexo 6 - Materiales directos'!$D$13</definedName>
    <definedName name="CB_d9d11a748bea4265a9dee24d5eb994b8" localSheetId="3" hidden="1">#N/A</definedName>
    <definedName name="CB_dc022682fb504d489a70575a51a8fd52" localSheetId="6" hidden="1">'Anexo 6 - Materiales directos'!$B$17</definedName>
    <definedName name="CB_dd55f65207584b20ac5b78334f8ccf44" localSheetId="6" hidden="1">'Anexo 6 - Materiales directos'!$D$9</definedName>
    <definedName name="CB_e1ee0998ca3446dfa5a254250a140586" localSheetId="6" hidden="1">'Anexo 6 - Materiales directos'!$D$7</definedName>
    <definedName name="CB_e9588977ded24d7b9305421aed1b1985" localSheetId="6" hidden="1">'Anexo 6 - Materiales directos'!$D$6</definedName>
    <definedName name="CB_ede2c2ecc8f4420690fa513df9215ba2" localSheetId="5" hidden="1">'Anexo 5 - Presup de Ingresos'!$C$34</definedName>
    <definedName name="CBWorkbookPriority" localSheetId="3" hidden="1">-960754723</definedName>
    <definedName name="CBx_1ecdc777e95a4492b2c8b1d6d0a7d188" localSheetId="3" hidden="1">"'Anexo - Presupuesto de Ingresos'!$A$1"</definedName>
    <definedName name="CBx_66203b0bd4744ef3b4cebf8e35ec1908" localSheetId="3" hidden="1">"'CB_DATA_'!$A$1"</definedName>
    <definedName name="CBx_8cef5cfdeed04fb7bf4ad9eeecd8d4d2" localSheetId="3" hidden="1">"'Anexo6 - Flujo de caja'!$A$1"</definedName>
    <definedName name="CBx_9b8389234f96472788621eb0530f93af" localSheetId="3" hidden="1">"'Anexo 15 - Materiales directos'!$A$1"</definedName>
    <definedName name="CBx_ed59d1b702a444eaa6f910705bafb11b" localSheetId="3" hidden="1">"'Anexo 16 - Materiales indirecto'!$A$1"</definedName>
    <definedName name="CBx_Sheet_Guid" localSheetId="0" hidden="1">"'8cef5cfd-eed0-4fb7-bf4a-d9eeecd8d4d2"</definedName>
    <definedName name="CBx_Sheet_Guid" localSheetId="5" hidden="1">"'1ecdc777-e95a-4492-b2c8-b1d6d0a7d188"</definedName>
    <definedName name="CBx_Sheet_Guid" localSheetId="6" hidden="1">"'9b838923-4f96-4727-8862-1eb0530f93af"</definedName>
    <definedName name="CBx_Sheet_Guid" localSheetId="7" hidden="1">"'ed59d1b7-02a4-44ea-a6f9-10705bafb11b"</definedName>
    <definedName name="CBx_Sheet_Guid" localSheetId="3" hidden="1">"'66203b0b-d474-4ef3-b4ce-bf8e35ec1908"</definedName>
    <definedName name="CBx_StorageType" localSheetId="0" hidden="1">1</definedName>
    <definedName name="CBx_StorageType" localSheetId="5" hidden="1">1</definedName>
    <definedName name="CBx_StorageType" localSheetId="6" hidden="1">1</definedName>
    <definedName name="CBx_StorageType" localSheetId="7" hidden="1">1</definedName>
    <definedName name="CBx_StorageType" localSheetId="3" hidden="1">1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 localSheetId="10">DATE(YEAR([0]!Loan_Start),MONTH([0]!Loan_Start)+Payment_Number,DAY([0]!Loan_Start))</definedName>
    <definedName name="Payment_Date" localSheetId="12">DATE(YEAR([0]!Loan_Start),MONTH([0]!Loan_Start)+Payment_Number,DAY([0]!Loan_Start))</definedName>
    <definedName name="Payment_Date" localSheetId="13">DATE(YEAR([0]!Loan_Start),MONTH([0]!Loan_Start)+Payment_Number,DAY([0]!Loan_Start))</definedName>
    <definedName name="Payment_Date" localSheetId="15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 localSheetId="2">DATE(YEAR([0]!Loan_Start),MONTH([0]!Loan_Start)+Payment_Number,DAY([0]!Loan_Start))</definedName>
    <definedName name="Payment_Date" localSheetId="6">DATE(YEAR([0]!Loan_Start),MONTH([0]!Loan_Start)+Payment_Number,DAY([0]!Loan_Start))</definedName>
    <definedName name="Payment_Date" localSheetId="7">DATE(YEAR([0]!Loan_Start),MONTH([0]!Loan_Start)+Payment_Number,DAY([0]!Loan_Start))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 localSheetId="10">Scheduled_Payment+Extra_Payment</definedName>
    <definedName name="Total_Payment" localSheetId="12">Scheduled_Payment+Extra_Payment</definedName>
    <definedName name="Total_Payment" localSheetId="13">Scheduled_Payment+Extra_Payment</definedName>
    <definedName name="Total_Payment" localSheetId="15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>Scheduled_Payment+Extra_Payment</definedName>
    <definedName name="Values_Entered">IF(Loan_Amount*Interest_Rate*Loan_Years*Loan_Start&gt;0,1,0)</definedName>
  </definedNames>
  <calcPr calcId="125725"/>
</workbook>
</file>

<file path=xl/calcChain.xml><?xml version="1.0" encoding="utf-8"?>
<calcChain xmlns="http://schemas.openxmlformats.org/spreadsheetml/2006/main">
  <c r="F32" i="27"/>
  <c r="F31"/>
  <c r="B19" i="7"/>
  <c r="B4" s="1"/>
  <c r="D41" i="1"/>
  <c r="B42"/>
  <c r="D42"/>
  <c r="B41"/>
  <c r="B40"/>
  <c r="D40" s="1"/>
  <c r="B39"/>
  <c r="D39" s="1"/>
  <c r="B38"/>
  <c r="D38" s="1"/>
  <c r="B37"/>
  <c r="D37" s="1"/>
  <c r="B36"/>
  <c r="D36" s="1"/>
  <c r="H6" i="26"/>
  <c r="H7"/>
  <c r="H8"/>
  <c r="H10"/>
  <c r="G5" i="27"/>
  <c r="F8" i="28"/>
  <c r="G8"/>
  <c r="F9"/>
  <c r="G9"/>
  <c r="F10"/>
  <c r="G10"/>
  <c r="F11"/>
  <c r="G11"/>
  <c r="F12"/>
  <c r="G12"/>
  <c r="E13"/>
  <c r="F13"/>
  <c r="G13"/>
  <c r="E14"/>
  <c r="F14"/>
  <c r="G14"/>
  <c r="E15"/>
  <c r="F15"/>
  <c r="G15"/>
  <c r="E16"/>
  <c r="F16"/>
  <c r="G16"/>
  <c r="D14"/>
  <c r="D15"/>
  <c r="D16"/>
  <c r="D13"/>
  <c r="C9"/>
  <c r="D9"/>
  <c r="E9"/>
  <c r="C10"/>
  <c r="D10"/>
  <c r="E10"/>
  <c r="C11"/>
  <c r="D11"/>
  <c r="E11"/>
  <c r="C12"/>
  <c r="D12"/>
  <c r="E12"/>
  <c r="D8"/>
  <c r="E8"/>
  <c r="C8"/>
  <c r="B71" i="11"/>
  <c r="B72"/>
  <c r="B64"/>
  <c r="B49"/>
  <c r="C27"/>
  <c r="D27"/>
  <c r="E27"/>
  <c r="F27"/>
  <c r="G27"/>
  <c r="C28"/>
  <c r="D28"/>
  <c r="E28"/>
  <c r="F28"/>
  <c r="G28"/>
  <c r="C29"/>
  <c r="D29"/>
  <c r="E29"/>
  <c r="F29"/>
  <c r="G29"/>
  <c r="B29"/>
  <c r="B28"/>
  <c r="B27"/>
  <c r="C26"/>
  <c r="D26"/>
  <c r="E26"/>
  <c r="F26"/>
  <c r="G26"/>
  <c r="B26"/>
  <c r="B21"/>
  <c r="B9" i="3"/>
  <c r="C19"/>
  <c r="D19"/>
  <c r="E19"/>
  <c r="F19"/>
  <c r="G19"/>
  <c r="C20"/>
  <c r="D20"/>
  <c r="E20"/>
  <c r="F20"/>
  <c r="G20"/>
  <c r="C21"/>
  <c r="D21"/>
  <c r="E21"/>
  <c r="F21"/>
  <c r="G21"/>
  <c r="D6"/>
  <c r="E6"/>
  <c r="F6"/>
  <c r="G6"/>
  <c r="D7"/>
  <c r="E7"/>
  <c r="F7"/>
  <c r="G7"/>
  <c r="B12"/>
  <c r="B11"/>
  <c r="B10"/>
  <c r="C7"/>
  <c r="C6"/>
  <c r="C5"/>
  <c r="C4"/>
  <c r="C3"/>
  <c r="C14"/>
  <c r="D67"/>
  <c r="D66"/>
  <c r="D65"/>
  <c r="D64"/>
  <c r="D63"/>
  <c r="M8" i="13"/>
  <c r="K8"/>
  <c r="L8"/>
  <c r="J8"/>
  <c r="I8"/>
  <c r="H8"/>
  <c r="J7"/>
  <c r="K7"/>
  <c r="I7"/>
  <c r="H7"/>
  <c r="J6"/>
  <c r="K6"/>
  <c r="L6"/>
  <c r="M6"/>
  <c r="I6"/>
  <c r="H6"/>
  <c r="H10"/>
  <c r="B40" i="3"/>
  <c r="F9" i="32"/>
  <c r="G9"/>
  <c r="H9"/>
  <c r="I9"/>
  <c r="J9"/>
  <c r="E9"/>
  <c r="D26" i="30"/>
  <c r="E26"/>
  <c r="F26"/>
  <c r="G26"/>
  <c r="H26"/>
  <c r="I26"/>
  <c r="D25"/>
  <c r="E25"/>
  <c r="F25"/>
  <c r="G25"/>
  <c r="H25"/>
  <c r="I25"/>
  <c r="D24"/>
  <c r="E24"/>
  <c r="F24"/>
  <c r="G24"/>
  <c r="H24"/>
  <c r="I24"/>
  <c r="D23"/>
  <c r="E23"/>
  <c r="D7"/>
  <c r="E7"/>
  <c r="F7"/>
  <c r="G7"/>
  <c r="H7"/>
  <c r="I7"/>
  <c r="D8"/>
  <c r="E8"/>
  <c r="F8"/>
  <c r="D9"/>
  <c r="E9"/>
  <c r="F9"/>
  <c r="G9"/>
  <c r="H9"/>
  <c r="I9"/>
  <c r="D10"/>
  <c r="E10"/>
  <c r="F10"/>
  <c r="G10"/>
  <c r="H10"/>
  <c r="I10"/>
  <c r="D11"/>
  <c r="E11"/>
  <c r="F11"/>
  <c r="G11"/>
  <c r="H11"/>
  <c r="I11"/>
  <c r="D12"/>
  <c r="E12"/>
  <c r="F12"/>
  <c r="G12"/>
  <c r="H12"/>
  <c r="I12"/>
  <c r="D13"/>
  <c r="E13"/>
  <c r="F13"/>
  <c r="G13"/>
  <c r="H13"/>
  <c r="I13"/>
  <c r="D14"/>
  <c r="E14"/>
  <c r="F14"/>
  <c r="G14"/>
  <c r="H14"/>
  <c r="I14"/>
  <c r="D15"/>
  <c r="E15"/>
  <c r="F15"/>
  <c r="G15"/>
  <c r="H15"/>
  <c r="I15"/>
  <c r="D6"/>
  <c r="E6"/>
  <c r="F6"/>
  <c r="G6"/>
  <c r="B10" i="7"/>
  <c r="B23" i="11"/>
  <c r="C28" i="7"/>
  <c r="D28"/>
  <c r="E28"/>
  <c r="F28"/>
  <c r="G28"/>
  <c r="B28"/>
  <c r="J10" i="31"/>
  <c r="K15" i="29"/>
  <c r="G32" i="27"/>
  <c r="G31"/>
  <c r="F10"/>
  <c r="G10"/>
  <c r="G8"/>
  <c r="H31"/>
  <c r="I31"/>
  <c r="H32"/>
  <c r="G25"/>
  <c r="H25"/>
  <c r="I25"/>
  <c r="J25"/>
  <c r="K25"/>
  <c r="G26"/>
  <c r="H26"/>
  <c r="H24"/>
  <c r="I24"/>
  <c r="J24"/>
  <c r="K24"/>
  <c r="G24"/>
  <c r="F16"/>
  <c r="G16"/>
  <c r="H16"/>
  <c r="I16"/>
  <c r="J16"/>
  <c r="K16"/>
  <c r="H6"/>
  <c r="I6"/>
  <c r="J6"/>
  <c r="K6"/>
  <c r="G6"/>
  <c r="H8"/>
  <c r="H10"/>
  <c r="I10"/>
  <c r="J10"/>
  <c r="K10"/>
  <c r="G34"/>
  <c r="F7" i="28"/>
  <c r="F6"/>
  <c r="F5"/>
  <c r="D7"/>
  <c r="D6"/>
  <c r="D5"/>
  <c r="C16"/>
  <c r="C17"/>
  <c r="B7" i="3"/>
  <c r="B6"/>
  <c r="B5"/>
  <c r="D5"/>
  <c r="B3"/>
  <c r="B14"/>
  <c r="B4"/>
  <c r="A18" i="33"/>
  <c r="A22"/>
  <c r="A21"/>
  <c r="A20"/>
  <c r="A19"/>
  <c r="D14" i="1"/>
  <c r="D16"/>
  <c r="B9" i="33"/>
  <c r="D62" i="1"/>
  <c r="D20"/>
  <c r="D22"/>
  <c r="D7"/>
  <c r="D8"/>
  <c r="D29"/>
  <c r="D61"/>
  <c r="E7" i="32"/>
  <c r="F7"/>
  <c r="G7"/>
  <c r="H7"/>
  <c r="I7"/>
  <c r="J7"/>
  <c r="E6"/>
  <c r="B20" i="3"/>
  <c r="E5" i="32"/>
  <c r="B19" i="3"/>
  <c r="D27" i="1"/>
  <c r="D59"/>
  <c r="D60"/>
  <c r="D58"/>
  <c r="D57"/>
  <c r="D56"/>
  <c r="B7" i="27"/>
  <c r="F9"/>
  <c r="G9"/>
  <c r="H9"/>
  <c r="I9"/>
  <c r="J9"/>
  <c r="K9"/>
  <c r="F25"/>
  <c r="F26"/>
  <c r="F24"/>
  <c r="F17"/>
  <c r="G17"/>
  <c r="H17"/>
  <c r="I17"/>
  <c r="J17"/>
  <c r="K17"/>
  <c r="F18"/>
  <c r="B26" i="7"/>
  <c r="F19" i="27"/>
  <c r="B27" i="7"/>
  <c r="F15" i="27"/>
  <c r="G15"/>
  <c r="F6"/>
  <c r="F5"/>
  <c r="C23" i="28"/>
  <c r="C24"/>
  <c r="B16"/>
  <c r="D7" i="27"/>
  <c r="F7" s="1"/>
  <c r="B17" i="28"/>
  <c r="E6" i="26"/>
  <c r="E7"/>
  <c r="J7"/>
  <c r="E8"/>
  <c r="E9"/>
  <c r="I9"/>
  <c r="E10"/>
  <c r="E11"/>
  <c r="I11"/>
  <c r="J11"/>
  <c r="E12"/>
  <c r="I12"/>
  <c r="J12"/>
  <c r="E5"/>
  <c r="F21" i="27"/>
  <c r="B20" i="33"/>
  <c r="F28" i="27"/>
  <c r="B21" i="33"/>
  <c r="F34" i="27"/>
  <c r="B22" i="33"/>
  <c r="D50" i="1"/>
  <c r="D51"/>
  <c r="D52"/>
  <c r="D53"/>
  <c r="D54"/>
  <c r="D55"/>
  <c r="D5"/>
  <c r="D6"/>
  <c r="D25"/>
  <c r="D26"/>
  <c r="D28"/>
  <c r="D47"/>
  <c r="D48"/>
  <c r="D49"/>
  <c r="B8" i="3"/>
  <c r="C8"/>
  <c r="D8"/>
  <c r="E8"/>
  <c r="F8"/>
  <c r="G8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D60"/>
  <c r="H18" i="13"/>
  <c r="B41" i="3"/>
  <c r="I15" i="13"/>
  <c r="J15"/>
  <c r="K15"/>
  <c r="I16"/>
  <c r="J16"/>
  <c r="I17"/>
  <c r="J17"/>
  <c r="I10"/>
  <c r="C40" i="3"/>
  <c r="B21" i="7"/>
  <c r="I18" i="13"/>
  <c r="C41" i="3"/>
  <c r="C43" s="1"/>
  <c r="J10" i="13"/>
  <c r="D40" i="3"/>
  <c r="K16" i="13"/>
  <c r="L16"/>
  <c r="M16"/>
  <c r="D31" i="1"/>
  <c r="B31" i="11"/>
  <c r="D10" i="1"/>
  <c r="B32" i="11"/>
  <c r="D3" i="3"/>
  <c r="E3" s="1"/>
  <c r="D4"/>
  <c r="E4" s="1"/>
  <c r="B18" i="33"/>
  <c r="I32" i="27"/>
  <c r="J32"/>
  <c r="K32"/>
  <c r="H34"/>
  <c r="I8"/>
  <c r="J8"/>
  <c r="K8"/>
  <c r="I26"/>
  <c r="J26"/>
  <c r="K26"/>
  <c r="H28"/>
  <c r="J28"/>
  <c r="I28"/>
  <c r="G28"/>
  <c r="D17" i="28"/>
  <c r="C25"/>
  <c r="K28" i="27"/>
  <c r="C26" i="28"/>
  <c r="C27"/>
  <c r="C10" i="7"/>
  <c r="K17" i="13"/>
  <c r="L17"/>
  <c r="M17"/>
  <c r="J18"/>
  <c r="D41" i="3"/>
  <c r="D43" s="1"/>
  <c r="K18" i="13"/>
  <c r="L15"/>
  <c r="B43" i="3"/>
  <c r="D73"/>
  <c r="E5"/>
  <c r="F13"/>
  <c r="G13"/>
  <c r="I20" i="13"/>
  <c r="L7"/>
  <c r="M7"/>
  <c r="M10"/>
  <c r="K10"/>
  <c r="L10"/>
  <c r="H20"/>
  <c r="F5" i="32"/>
  <c r="G5"/>
  <c r="H5"/>
  <c r="I5"/>
  <c r="F6"/>
  <c r="G6"/>
  <c r="H6"/>
  <c r="I6"/>
  <c r="J6"/>
  <c r="B21" i="3"/>
  <c r="J5" i="32"/>
  <c r="E28" i="30"/>
  <c r="F23"/>
  <c r="D17"/>
  <c r="D28"/>
  <c r="F17"/>
  <c r="E17"/>
  <c r="G8"/>
  <c r="H8"/>
  <c r="I8"/>
  <c r="H6"/>
  <c r="C23" i="11"/>
  <c r="D10" i="7"/>
  <c r="J20" i="13"/>
  <c r="F41" i="3"/>
  <c r="E41"/>
  <c r="L18" i="13"/>
  <c r="G41" i="3"/>
  <c r="M15" i="13"/>
  <c r="M18"/>
  <c r="M20"/>
  <c r="G5" i="3"/>
  <c r="F5"/>
  <c r="G40"/>
  <c r="E40"/>
  <c r="E43" s="1"/>
  <c r="F40"/>
  <c r="F43" s="1"/>
  <c r="K20" i="13"/>
  <c r="H17" i="30"/>
  <c r="G17"/>
  <c r="G23"/>
  <c r="F28"/>
  <c r="I6"/>
  <c r="D23" i="11"/>
  <c r="E10" i="7"/>
  <c r="G43" i="3"/>
  <c r="L20" i="13"/>
  <c r="H23" i="30"/>
  <c r="G28"/>
  <c r="I17"/>
  <c r="F10" i="7"/>
  <c r="E23" i="11"/>
  <c r="I23" i="30"/>
  <c r="I28"/>
  <c r="H28"/>
  <c r="G10" i="7"/>
  <c r="G23" i="11"/>
  <c r="F23"/>
  <c r="D64" i="1"/>
  <c r="B34" i="11"/>
  <c r="B36"/>
  <c r="C61" i="8"/>
  <c r="E62" s="1"/>
  <c r="F62" s="1"/>
  <c r="F63" s="1"/>
  <c r="F64" s="1"/>
  <c r="F65" s="1"/>
  <c r="F66" s="1"/>
  <c r="F67" s="1"/>
  <c r="F68" s="1"/>
  <c r="F69" s="1"/>
  <c r="F70" s="1"/>
  <c r="B35" i="1"/>
  <c r="D35" s="1"/>
  <c r="D43" s="1"/>
  <c r="C13" i="8"/>
  <c r="B11" i="33"/>
  <c r="B10"/>
  <c r="B35" i="11"/>
  <c r="C26" i="8"/>
  <c r="C4"/>
  <c r="E5"/>
  <c r="B8" i="33"/>
  <c r="B30" i="7"/>
  <c r="G19" i="27"/>
  <c r="G18"/>
  <c r="E17" i="28"/>
  <c r="J31" i="27"/>
  <c r="I34"/>
  <c r="G21"/>
  <c r="D19" i="7"/>
  <c r="D21"/>
  <c r="C19"/>
  <c r="H15" i="27"/>
  <c r="H5"/>
  <c r="F14" i="26"/>
  <c r="C30" i="11"/>
  <c r="E14" i="26"/>
  <c r="B30" i="11"/>
  <c r="B13" i="33"/>
  <c r="E63" i="8"/>
  <c r="E67"/>
  <c r="E61"/>
  <c r="F61"/>
  <c r="E21"/>
  <c r="E18"/>
  <c r="E23"/>
  <c r="E20"/>
  <c r="E17"/>
  <c r="E15"/>
  <c r="E19"/>
  <c r="E14"/>
  <c r="F14" s="1"/>
  <c r="F15" s="1"/>
  <c r="F16" s="1"/>
  <c r="F17" s="1"/>
  <c r="F18" s="1"/>
  <c r="F19" s="1"/>
  <c r="F20" s="1"/>
  <c r="F21" s="1"/>
  <c r="F22" s="1"/>
  <c r="F23" s="1"/>
  <c r="E22"/>
  <c r="E16"/>
  <c r="E28"/>
  <c r="E27"/>
  <c r="F27" s="1"/>
  <c r="F28" s="1"/>
  <c r="F29" s="1"/>
  <c r="F30" s="1"/>
  <c r="F31" s="1"/>
  <c r="E31"/>
  <c r="E30"/>
  <c r="E29"/>
  <c r="C27" i="7"/>
  <c r="H19" i="27"/>
  <c r="C26" i="7"/>
  <c r="C30"/>
  <c r="H18" i="27"/>
  <c r="F17" i="28"/>
  <c r="G17"/>
  <c r="K31" i="27"/>
  <c r="K34"/>
  <c r="J34"/>
  <c r="C4" i="7"/>
  <c r="C21"/>
  <c r="I15" i="27"/>
  <c r="H21"/>
  <c r="I5"/>
  <c r="G14" i="26"/>
  <c r="D30" i="11"/>
  <c r="D27" i="7"/>
  <c r="I19" i="27"/>
  <c r="D26" i="7"/>
  <c r="D4" s="1"/>
  <c r="I18" i="27"/>
  <c r="E19" i="7"/>
  <c r="J15" i="27"/>
  <c r="I21"/>
  <c r="C7" i="7"/>
  <c r="C24" i="11" s="1"/>
  <c r="C9" i="7"/>
  <c r="C22" i="11" s="1"/>
  <c r="C8" i="7"/>
  <c r="C21" i="11" s="1"/>
  <c r="C6" i="7"/>
  <c r="C25" i="11" s="1"/>
  <c r="C20"/>
  <c r="J5" i="27"/>
  <c r="H14" i="26"/>
  <c r="E30" i="11"/>
  <c r="E27" i="7"/>
  <c r="J19" i="27"/>
  <c r="D30" i="7"/>
  <c r="E26"/>
  <c r="E30"/>
  <c r="J18" i="27"/>
  <c r="K15"/>
  <c r="J21"/>
  <c r="F19" i="7"/>
  <c r="E21"/>
  <c r="C11"/>
  <c r="K5" i="27"/>
  <c r="J14" i="26"/>
  <c r="G30" i="11"/>
  <c r="I14" i="26"/>
  <c r="F30" i="11"/>
  <c r="F27" i="7"/>
  <c r="K19" i="27"/>
  <c r="G27" i="7"/>
  <c r="F26"/>
  <c r="F30"/>
  <c r="K18" i="27"/>
  <c r="G26" i="7"/>
  <c r="E4"/>
  <c r="E9"/>
  <c r="E22" i="11" s="1"/>
  <c r="E8" i="7"/>
  <c r="E21" i="11" s="1"/>
  <c r="E6" i="7"/>
  <c r="E25" i="11" s="1"/>
  <c r="E7" i="7"/>
  <c r="E24" i="11" s="1"/>
  <c r="F4" i="7"/>
  <c r="F8" s="1"/>
  <c r="F21" i="11" s="1"/>
  <c r="F21" i="7"/>
  <c r="K21" i="27"/>
  <c r="G19" i="7"/>
  <c r="G30"/>
  <c r="F20" i="11"/>
  <c r="G4" i="7"/>
  <c r="G21"/>
  <c r="G8"/>
  <c r="G21" i="11" s="1"/>
  <c r="G7" i="7"/>
  <c r="G24" i="11" s="1"/>
  <c r="G9" i="7"/>
  <c r="G22" i="11" s="1"/>
  <c r="G6" i="7"/>
  <c r="G25" i="11" s="1"/>
  <c r="G20"/>
  <c r="E6" i="8"/>
  <c r="E68"/>
  <c r="E66"/>
  <c r="E70"/>
  <c r="E7"/>
  <c r="E64"/>
  <c r="E69"/>
  <c r="E65"/>
  <c r="C9" i="6"/>
  <c r="D9"/>
  <c r="D10"/>
  <c r="E6" i="29"/>
  <c r="E10"/>
  <c r="E14"/>
  <c r="D7" i="31"/>
  <c r="C5" i="6"/>
  <c r="C13"/>
  <c r="E5" i="29"/>
  <c r="E7"/>
  <c r="E11"/>
  <c r="E13"/>
  <c r="D6" i="31"/>
  <c r="E9" i="29"/>
  <c r="B12" i="31"/>
  <c r="D8"/>
  <c r="C17" i="6"/>
  <c r="E8" i="29"/>
  <c r="E12"/>
  <c r="D5" i="31"/>
  <c r="D9"/>
  <c r="E5"/>
  <c r="F5" s="1"/>
  <c r="E9" i="6"/>
  <c r="F9"/>
  <c r="E9" i="31"/>
  <c r="F9" s="1"/>
  <c r="D11"/>
  <c r="F14" i="29"/>
  <c r="G14"/>
  <c r="H14"/>
  <c r="F12"/>
  <c r="G12"/>
  <c r="H12"/>
  <c r="F8"/>
  <c r="G8"/>
  <c r="H8"/>
  <c r="D17" i="6"/>
  <c r="E8" i="31"/>
  <c r="F8" s="1"/>
  <c r="E6"/>
  <c r="F13" i="29"/>
  <c r="G13"/>
  <c r="H13"/>
  <c r="F11"/>
  <c r="G11"/>
  <c r="H11"/>
  <c r="F9"/>
  <c r="G9"/>
  <c r="H9"/>
  <c r="F7"/>
  <c r="G7"/>
  <c r="H7"/>
  <c r="G5"/>
  <c r="E16"/>
  <c r="D13" i="6"/>
  <c r="D5"/>
  <c r="C12"/>
  <c r="C14"/>
  <c r="E12"/>
  <c r="D20"/>
  <c r="C4"/>
  <c r="C20"/>
  <c r="E4"/>
  <c r="E7" i="31"/>
  <c r="F7" s="1"/>
  <c r="F10" i="29"/>
  <c r="G10"/>
  <c r="H10"/>
  <c r="F6"/>
  <c r="C16" i="6"/>
  <c r="C18"/>
  <c r="E16"/>
  <c r="F16"/>
  <c r="G16"/>
  <c r="H16"/>
  <c r="C8"/>
  <c r="E8"/>
  <c r="D22"/>
  <c r="E10"/>
  <c r="C22"/>
  <c r="C10"/>
  <c r="C26"/>
  <c r="B7" i="11"/>
  <c r="F16" i="29"/>
  <c r="G6"/>
  <c r="J10"/>
  <c r="I10"/>
  <c r="F12" i="6"/>
  <c r="G16" i="29"/>
  <c r="I5"/>
  <c r="I7"/>
  <c r="J7"/>
  <c r="J11"/>
  <c r="I11"/>
  <c r="I13"/>
  <c r="J13"/>
  <c r="E11" i="31"/>
  <c r="F6"/>
  <c r="G6"/>
  <c r="H6" s="1"/>
  <c r="J6" s="1"/>
  <c r="E17" i="6"/>
  <c r="D18"/>
  <c r="J8" i="29"/>
  <c r="I8"/>
  <c r="J12"/>
  <c r="I12"/>
  <c r="J14"/>
  <c r="I14"/>
  <c r="C6" i="6"/>
  <c r="C24"/>
  <c r="F8"/>
  <c r="F10"/>
  <c r="E22"/>
  <c r="E20"/>
  <c r="F4"/>
  <c r="D6"/>
  <c r="D24"/>
  <c r="E5"/>
  <c r="D14"/>
  <c r="E13"/>
  <c r="F13"/>
  <c r="G13"/>
  <c r="H13"/>
  <c r="B23" i="3"/>
  <c r="B24" s="1"/>
  <c r="B11" i="11"/>
  <c r="B23" i="33"/>
  <c r="I9" i="29"/>
  <c r="J9"/>
  <c r="B22" i="3"/>
  <c r="B12" i="11"/>
  <c r="B24" i="33"/>
  <c r="G9" i="6"/>
  <c r="K11" i="29"/>
  <c r="D26" i="6"/>
  <c r="C7" i="11"/>
  <c r="K13" i="29"/>
  <c r="K7"/>
  <c r="B13" i="11"/>
  <c r="F5" i="6"/>
  <c r="E6"/>
  <c r="E24"/>
  <c r="F20"/>
  <c r="G4"/>
  <c r="I6" i="31"/>
  <c r="K5" i="29"/>
  <c r="H6"/>
  <c r="K9"/>
  <c r="K14"/>
  <c r="K12"/>
  <c r="K8"/>
  <c r="E14" i="6"/>
  <c r="K10" i="29"/>
  <c r="C6" i="11"/>
  <c r="F22" i="6"/>
  <c r="G8"/>
  <c r="B6" i="11"/>
  <c r="B8"/>
  <c r="C28" i="6"/>
  <c r="K5" i="34"/>
  <c r="L5" s="1"/>
  <c r="F17" i="6"/>
  <c r="E18"/>
  <c r="C22" i="3"/>
  <c r="C12" i="11"/>
  <c r="C13"/>
  <c r="D11"/>
  <c r="D23" i="3"/>
  <c r="G12" i="6"/>
  <c r="F14"/>
  <c r="C23" i="3"/>
  <c r="C11" i="11"/>
  <c r="H9" i="6"/>
  <c r="G10"/>
  <c r="D28"/>
  <c r="C8" i="11"/>
  <c r="C15" s="1"/>
  <c r="C55"/>
  <c r="B15"/>
  <c r="H8" i="6"/>
  <c r="H10"/>
  <c r="G22"/>
  <c r="J6" i="29"/>
  <c r="J16"/>
  <c r="H16"/>
  <c r="I6"/>
  <c r="G20" i="6"/>
  <c r="H4"/>
  <c r="H20"/>
  <c r="D6" i="11"/>
  <c r="E26" i="6"/>
  <c r="D7" i="11"/>
  <c r="H12" i="6"/>
  <c r="H14"/>
  <c r="G14"/>
  <c r="F18"/>
  <c r="F26"/>
  <c r="E7" i="11"/>
  <c r="E8" s="1"/>
  <c r="G17" i="6"/>
  <c r="F6"/>
  <c r="F24"/>
  <c r="G5"/>
  <c r="C24" i="3"/>
  <c r="E6" i="11"/>
  <c r="F28" i="6"/>
  <c r="E11" i="11"/>
  <c r="E23" i="3"/>
  <c r="H5" i="6"/>
  <c r="H6"/>
  <c r="H24"/>
  <c r="G6"/>
  <c r="G24"/>
  <c r="H17"/>
  <c r="H18"/>
  <c r="H26"/>
  <c r="G7" i="11"/>
  <c r="G18" i="6"/>
  <c r="G26"/>
  <c r="F7" i="11"/>
  <c r="K6" i="29"/>
  <c r="I16"/>
  <c r="G23" i="3"/>
  <c r="G11" i="11"/>
  <c r="D8"/>
  <c r="H22" i="6"/>
  <c r="E28"/>
  <c r="F11" i="11"/>
  <c r="F23" i="3"/>
  <c r="G28" i="6"/>
  <c r="F6" i="11"/>
  <c r="F8"/>
  <c r="K16" i="29"/>
  <c r="H28" i="6"/>
  <c r="G6" i="11"/>
  <c r="G8"/>
  <c r="D55"/>
  <c r="L13" i="29"/>
  <c r="L11"/>
  <c r="L7"/>
  <c r="L10"/>
  <c r="L12"/>
  <c r="L8"/>
  <c r="L9"/>
  <c r="L5"/>
  <c r="L14"/>
  <c r="F55" i="11"/>
  <c r="L6" i="29"/>
  <c r="L16"/>
  <c r="D14" i="3"/>
  <c r="F5" i="8"/>
  <c r="F6"/>
  <c r="F7" s="1"/>
  <c r="C53" i="11"/>
  <c r="G55"/>
  <c r="G11" i="7"/>
  <c r="E11"/>
  <c r="F9"/>
  <c r="F22" i="11"/>
  <c r="F7" i="7"/>
  <c r="F24" i="11"/>
  <c r="E20"/>
  <c r="P2" i="36"/>
  <c r="E55" i="11" l="1"/>
  <c r="M5" i="34"/>
  <c r="G8" i="31"/>
  <c r="G9"/>
  <c r="E14" i="3"/>
  <c r="G3"/>
  <c r="F3"/>
  <c r="F12" i="27"/>
  <c r="G7"/>
  <c r="B7" i="7"/>
  <c r="B24" i="11" s="1"/>
  <c r="B6" i="7"/>
  <c r="B25" i="11" s="1"/>
  <c r="B9" i="7"/>
  <c r="B22" i="11" s="1"/>
  <c r="B20"/>
  <c r="B11" i="7"/>
  <c r="G7" i="31"/>
  <c r="G5"/>
  <c r="F11"/>
  <c r="D7" i="7"/>
  <c r="D24" i="11" s="1"/>
  <c r="D6" i="7"/>
  <c r="D25" i="11" s="1"/>
  <c r="D8" i="7"/>
  <c r="D21" i="11" s="1"/>
  <c r="D9" i="7"/>
  <c r="D22" i="11" s="1"/>
  <c r="D20"/>
  <c r="D11" i="7"/>
  <c r="B12" i="33"/>
  <c r="D65" i="1"/>
  <c r="C36" i="8"/>
  <c r="F4" i="3"/>
  <c r="G4"/>
  <c r="F6" i="7"/>
  <c r="E38" i="8" l="1"/>
  <c r="C76" s="1"/>
  <c r="C37" i="11" s="1"/>
  <c r="C46" s="1"/>
  <c r="E51" i="8"/>
  <c r="E44"/>
  <c r="E50"/>
  <c r="E39"/>
  <c r="C77" s="1"/>
  <c r="D37" i="11" s="1"/>
  <c r="D46" s="1"/>
  <c r="E49" i="8"/>
  <c r="E41"/>
  <c r="C79" s="1"/>
  <c r="F37" i="11" s="1"/>
  <c r="F46" s="1"/>
  <c r="E45" i="8"/>
  <c r="E42"/>
  <c r="C80" s="1"/>
  <c r="G37" i="11" s="1"/>
  <c r="G46" s="1"/>
  <c r="E40" i="8"/>
  <c r="C78" s="1"/>
  <c r="E37" i="11" s="1"/>
  <c r="E46" s="1"/>
  <c r="E54" i="8"/>
  <c r="E37"/>
  <c r="E47"/>
  <c r="E43"/>
  <c r="E52"/>
  <c r="E55"/>
  <c r="E56"/>
  <c r="E53"/>
  <c r="E48"/>
  <c r="E46"/>
  <c r="D12" i="11"/>
  <c r="D22" i="3"/>
  <c r="D24" s="1"/>
  <c r="H7" i="27"/>
  <c r="G12"/>
  <c r="G36" s="1"/>
  <c r="C19" i="11" s="1"/>
  <c r="H9" i="31"/>
  <c r="I9"/>
  <c r="J9" s="1"/>
  <c r="H8"/>
  <c r="I8"/>
  <c r="N5" i="34"/>
  <c r="F14" i="3"/>
  <c r="F25" i="11"/>
  <c r="F11" i="7"/>
  <c r="D68" i="1"/>
  <c r="D66"/>
  <c r="H5" i="31"/>
  <c r="G11"/>
  <c r="I7"/>
  <c r="H7"/>
  <c r="F36" i="27"/>
  <c r="B19" i="33"/>
  <c r="B25" s="1"/>
  <c r="G14" i="3"/>
  <c r="J8" i="31"/>
  <c r="B19" i="11" l="1"/>
  <c r="C6" i="34"/>
  <c r="I5" i="31"/>
  <c r="I11" s="1"/>
  <c r="H11"/>
  <c r="J5"/>
  <c r="C54" i="11"/>
  <c r="C56" s="1"/>
  <c r="C38"/>
  <c r="C39" s="1"/>
  <c r="F37" i="8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C75"/>
  <c r="E12" i="11"/>
  <c r="E22" i="3"/>
  <c r="E24" s="1"/>
  <c r="B14" i="33"/>
  <c r="B15" s="1"/>
  <c r="B33" i="11"/>
  <c r="D33" s="1"/>
  <c r="F33" s="1"/>
  <c r="I7" i="27"/>
  <c r="H12"/>
  <c r="H36" s="1"/>
  <c r="D19" i="11" s="1"/>
  <c r="D13"/>
  <c r="D15" s="1"/>
  <c r="D53"/>
  <c r="B27" i="33"/>
  <c r="J7" i="31"/>
  <c r="D38" i="11" l="1"/>
  <c r="D54"/>
  <c r="D56" s="1"/>
  <c r="D75" i="8"/>
  <c r="D76" s="1"/>
  <c r="D77" s="1"/>
  <c r="D78" s="1"/>
  <c r="D79" s="1"/>
  <c r="D80" s="1"/>
  <c r="B37" i="11"/>
  <c r="B46" s="1"/>
  <c r="C42"/>
  <c r="J11" i="31"/>
  <c r="G22" i="3"/>
  <c r="G24" s="1"/>
  <c r="G12" i="11"/>
  <c r="B48"/>
  <c r="B2" i="33"/>
  <c r="B3"/>
  <c r="J7" i="27"/>
  <c r="I12"/>
  <c r="I36" s="1"/>
  <c r="E19" i="11" s="1"/>
  <c r="E13"/>
  <c r="E15" s="1"/>
  <c r="E53"/>
  <c r="C57"/>
  <c r="C58" s="1"/>
  <c r="F22" i="3"/>
  <c r="F24" s="1"/>
  <c r="F12" i="11"/>
  <c r="C7" i="34"/>
  <c r="C8" s="1"/>
  <c r="D6"/>
  <c r="K7" i="31"/>
  <c r="D57" i="11"/>
  <c r="B38"/>
  <c r="B39" s="1"/>
  <c r="D39"/>
  <c r="B41" l="1"/>
  <c r="B42"/>
  <c r="K7" i="27"/>
  <c r="K12" s="1"/>
  <c r="K36" s="1"/>
  <c r="G19" i="11" s="1"/>
  <c r="J12" i="27"/>
  <c r="J36" s="1"/>
  <c r="F19" i="11" s="1"/>
  <c r="E4" i="37"/>
  <c r="B51" i="11"/>
  <c r="B28" i="3"/>
  <c r="G13" i="11"/>
  <c r="G15" s="1"/>
  <c r="G53"/>
  <c r="K6" i="31"/>
  <c r="K9"/>
  <c r="K8"/>
  <c r="D42" i="11"/>
  <c r="D7" i="34"/>
  <c r="E6"/>
  <c r="F13" i="11"/>
  <c r="F15" s="1"/>
  <c r="F53"/>
  <c r="E38"/>
  <c r="E54"/>
  <c r="E56" s="1"/>
  <c r="B4" i="33"/>
  <c r="B4" i="35"/>
  <c r="D8" i="34"/>
  <c r="E39" i="11"/>
  <c r="E57"/>
  <c r="K5" i="31"/>
  <c r="K11" s="1"/>
  <c r="D58" i="11"/>
  <c r="E42" l="1"/>
  <c r="B5" i="35"/>
  <c r="B6"/>
  <c r="F6" i="34"/>
  <c r="E7"/>
  <c r="D84" i="11"/>
  <c r="E5" i="37"/>
  <c r="C17" s="1"/>
  <c r="E6"/>
  <c r="F16"/>
  <c r="G38" i="11"/>
  <c r="G54"/>
  <c r="E58"/>
  <c r="F38"/>
  <c r="F54"/>
  <c r="F56" s="1"/>
  <c r="E8" i="34"/>
  <c r="F39" i="11"/>
  <c r="G39"/>
  <c r="B43"/>
  <c r="B44" s="1"/>
  <c r="B45" s="1"/>
  <c r="C18" i="37" l="1"/>
  <c r="F7" i="34"/>
  <c r="G6"/>
  <c r="B7" i="35"/>
  <c r="C4" s="1"/>
  <c r="F42" i="11"/>
  <c r="G56"/>
  <c r="D85"/>
  <c r="E17" i="37"/>
  <c r="D17" s="1"/>
  <c r="G42" i="11"/>
  <c r="F57"/>
  <c r="F58" s="1"/>
  <c r="F8" i="34"/>
  <c r="C5" i="35"/>
  <c r="C47" i="11" l="1"/>
  <c r="C52" s="1"/>
  <c r="D79" s="1"/>
  <c r="B33" i="3"/>
  <c r="B35" s="1"/>
  <c r="F17" i="37"/>
  <c r="G7" i="34"/>
  <c r="H6"/>
  <c r="G8"/>
  <c r="C6" i="35"/>
  <c r="C7" s="1"/>
  <c r="B34" i="3"/>
  <c r="C40" i="11"/>
  <c r="C41" s="1"/>
  <c r="C43" s="1"/>
  <c r="C44" s="1"/>
  <c r="C45" s="1"/>
  <c r="G57"/>
  <c r="G58" s="1"/>
  <c r="C19" i="37"/>
  <c r="C20" l="1"/>
  <c r="H7" i="34"/>
  <c r="I6"/>
  <c r="E18" i="37"/>
  <c r="H8" i="34"/>
  <c r="C21" i="37" l="1"/>
  <c r="C34" i="3"/>
  <c r="D40" i="11"/>
  <c r="D41" s="1"/>
  <c r="D43" s="1"/>
  <c r="D44" s="1"/>
  <c r="D45" s="1"/>
  <c r="D18" i="37"/>
  <c r="J6" i="34"/>
  <c r="I7"/>
  <c r="I8" s="1"/>
  <c r="J7" l="1"/>
  <c r="J8" s="1"/>
  <c r="K6"/>
  <c r="C33" i="3"/>
  <c r="C35" s="1"/>
  <c r="D47" i="11"/>
  <c r="D52" s="1"/>
  <c r="D80" s="1"/>
  <c r="F18" i="37"/>
  <c r="K7" i="34" l="1"/>
  <c r="K8" s="1"/>
  <c r="L6"/>
  <c r="E19" i="37"/>
  <c r="E40" i="11" l="1"/>
  <c r="E41" s="1"/>
  <c r="E43" s="1"/>
  <c r="E44" s="1"/>
  <c r="E45" s="1"/>
  <c r="D34" i="3"/>
  <c r="D19" i="37"/>
  <c r="M6" i="34"/>
  <c r="M7" s="1"/>
  <c r="N6"/>
  <c r="N7" s="1"/>
  <c r="L7"/>
  <c r="L8" s="1"/>
  <c r="M8" s="1"/>
  <c r="N8" s="1"/>
  <c r="B50" i="11" s="1"/>
  <c r="G50" l="1"/>
  <c r="B52"/>
  <c r="D33" i="3"/>
  <c r="D35" s="1"/>
  <c r="E47" i="11"/>
  <c r="E52" s="1"/>
  <c r="D81" s="1"/>
  <c r="F19" i="37"/>
  <c r="C79" i="11" l="1"/>
  <c r="E20" i="37"/>
  <c r="E34" i="3" l="1"/>
  <c r="F40" i="11"/>
  <c r="F41" s="1"/>
  <c r="F43" s="1"/>
  <c r="F44" s="1"/>
  <c r="F45" s="1"/>
  <c r="D20" i="37"/>
  <c r="E79" i="11"/>
  <c r="F79" s="1"/>
  <c r="C80" s="1"/>
  <c r="E80" l="1"/>
  <c r="F80" s="1"/>
  <c r="C81"/>
  <c r="F47"/>
  <c r="F52" s="1"/>
  <c r="E33" i="3"/>
  <c r="E35" s="1"/>
  <c r="F20" i="37"/>
  <c r="E21" l="1"/>
  <c r="D82" i="11"/>
  <c r="E81"/>
  <c r="F81" s="1"/>
  <c r="C82" s="1"/>
  <c r="E82" l="1"/>
  <c r="F82"/>
  <c r="C83" s="1"/>
  <c r="G40"/>
  <c r="G41" s="1"/>
  <c r="G43" s="1"/>
  <c r="G44" s="1"/>
  <c r="G45" s="1"/>
  <c r="F34" i="3"/>
  <c r="D21" i="37"/>
  <c r="E83" i="11" l="1"/>
  <c r="G47"/>
  <c r="G52" s="1"/>
  <c r="F33" i="3"/>
  <c r="F35" s="1"/>
  <c r="F21" i="37"/>
  <c r="D83" i="11" l="1"/>
  <c r="F83" s="1"/>
  <c r="C84" s="1"/>
  <c r="B62"/>
  <c r="B63"/>
  <c r="E84" l="1"/>
  <c r="F84" s="1"/>
  <c r="C85"/>
  <c r="E85" s="1"/>
  <c r="F85" s="1"/>
</calcChain>
</file>

<file path=xl/sharedStrings.xml><?xml version="1.0" encoding="utf-8"?>
<sst xmlns="http://schemas.openxmlformats.org/spreadsheetml/2006/main" count="727" uniqueCount="438">
  <si>
    <t>Descripción</t>
  </si>
  <si>
    <t>Precio Unitario</t>
  </si>
  <si>
    <t>Cantidad</t>
  </si>
  <si>
    <t>Precio Total</t>
  </si>
  <si>
    <t>Computadoras</t>
  </si>
  <si>
    <t>Impresora Laser</t>
  </si>
  <si>
    <t>Fax</t>
  </si>
  <si>
    <t>Muebles y Enseres</t>
  </si>
  <si>
    <t>Equipo de Oficina</t>
  </si>
  <si>
    <t>Sillas</t>
  </si>
  <si>
    <t>Archivadores</t>
  </si>
  <si>
    <t>Mesa para reuniones</t>
  </si>
  <si>
    <t>Adecuaciones de Local</t>
  </si>
  <si>
    <t>Total Equipo de Oficina</t>
  </si>
  <si>
    <t>Total Muebles y Enseres</t>
  </si>
  <si>
    <t>Total Adecuaciones del Local</t>
  </si>
  <si>
    <t>Equipos y maquinaria</t>
  </si>
  <si>
    <t>Total Equipos y Maquinarias</t>
  </si>
  <si>
    <t>Total Activos Fijos</t>
  </si>
  <si>
    <t>Telefono</t>
  </si>
  <si>
    <t>Total</t>
  </si>
  <si>
    <t>Ingreso Total</t>
  </si>
  <si>
    <t>Paquete</t>
  </si>
  <si>
    <t>Horas Extras</t>
  </si>
  <si>
    <t>Aportaciones al IESS y Secap</t>
  </si>
  <si>
    <t>Vacaciones</t>
  </si>
  <si>
    <t>Fondos de Reserva</t>
  </si>
  <si>
    <t>Decimo Tercero</t>
  </si>
  <si>
    <t>Decimo Cuarto</t>
  </si>
  <si>
    <t>Periodo</t>
  </si>
  <si>
    <t>% Depreciación</t>
  </si>
  <si>
    <t xml:space="preserve">Total </t>
  </si>
  <si>
    <t>Electricidad</t>
  </si>
  <si>
    <t>Agua</t>
  </si>
  <si>
    <t>Internet Banda Ancha</t>
  </si>
  <si>
    <t>Municipio</t>
  </si>
  <si>
    <t>Bomberos</t>
  </si>
  <si>
    <t>Letreros y Rotulos</t>
  </si>
  <si>
    <t>Permiso de Funcionamiento</t>
  </si>
  <si>
    <t>Depreciación Anual</t>
  </si>
  <si>
    <t>Depreciación Acumulada</t>
  </si>
  <si>
    <t>Materiales de oficina</t>
  </si>
  <si>
    <t>PLANTA DE PERSONAL</t>
  </si>
  <si>
    <t>Personal Administrativo</t>
  </si>
  <si>
    <t>Personal Operativo</t>
  </si>
  <si>
    <t>1er. Año</t>
  </si>
  <si>
    <t>3er. Año</t>
  </si>
  <si>
    <t>Sueldos Personal de Planta</t>
  </si>
  <si>
    <t>Total Sueldos al Personal de Planta</t>
  </si>
  <si>
    <t>Año 1</t>
  </si>
  <si>
    <t>Año 2</t>
  </si>
  <si>
    <t>Año 3</t>
  </si>
  <si>
    <t>MEDIOS DE COMUNICACIÓN</t>
  </si>
  <si>
    <t>OTRAS PROMOCIONES</t>
  </si>
  <si>
    <t>Pancartas para la fachada de interiores y exteriores</t>
  </si>
  <si>
    <t>TOTAL</t>
  </si>
  <si>
    <t>Medio Publicitario</t>
  </si>
  <si>
    <t>Costo por Anuncio</t>
  </si>
  <si>
    <t>Tipo de Anuncio</t>
  </si>
  <si>
    <t>4x20 cm.</t>
  </si>
  <si>
    <t>8x10 cm.</t>
  </si>
  <si>
    <t># Pautas o Anuncios</t>
  </si>
  <si>
    <t>2do. año</t>
  </si>
  <si>
    <t>Total de Gastos</t>
  </si>
  <si>
    <t>Totales</t>
  </si>
  <si>
    <t>Aprobación de Constitución (a)</t>
  </si>
  <si>
    <t>Publicación de Extracto (b)</t>
  </si>
  <si>
    <t xml:space="preserve">Certificación municipal (c) </t>
  </si>
  <si>
    <t>TOTAL APROXIMADO</t>
  </si>
  <si>
    <t>PRESUPUESTO DE GASTOS OPERATIVOS</t>
  </si>
  <si>
    <t>PRESUPUESTO DE GASTOS DE PUBLICIDAD</t>
  </si>
  <si>
    <t>OTROS ACTIVOS</t>
  </si>
  <si>
    <t>TOTAL SUELDO PERSONAL (ANUAL)</t>
  </si>
  <si>
    <t>Equipo de computación</t>
  </si>
  <si>
    <t>Costo de adquisición</t>
  </si>
  <si>
    <t>GASTOS PREOPERATIVOS</t>
  </si>
  <si>
    <t>GASTOS DE CONSTITUCION</t>
  </si>
  <si>
    <t xml:space="preserve">Tasas Municipio </t>
  </si>
  <si>
    <t>3er. año</t>
  </si>
  <si>
    <t>2do. Año</t>
  </si>
  <si>
    <t xml:space="preserve">Medios de comunicación </t>
  </si>
  <si>
    <t>Otras promociones</t>
  </si>
  <si>
    <t>- Gastos Administrativos</t>
  </si>
  <si>
    <t>AÑO 3</t>
  </si>
  <si>
    <t>PRESUPUESTO DE FINANCIACION</t>
  </si>
  <si>
    <t>Monto de Préstamo:</t>
  </si>
  <si>
    <t>Interés:</t>
  </si>
  <si>
    <t>Tiempo:</t>
  </si>
  <si>
    <t>meses</t>
  </si>
  <si>
    <t>CAPITAL</t>
  </si>
  <si>
    <t>Intereses</t>
  </si>
  <si>
    <t>Total Dividendo</t>
  </si>
  <si>
    <t>Pagos:</t>
  </si>
  <si>
    <t>VENTAS NETAS</t>
  </si>
  <si>
    <t>TIR</t>
  </si>
  <si>
    <t>VAN</t>
  </si>
  <si>
    <t>Importe del préstamo</t>
  </si>
  <si>
    <t>Pago programado</t>
  </si>
  <si>
    <t>Número de pagos programados</t>
  </si>
  <si>
    <t>Número real de pagos</t>
  </si>
  <si>
    <t>Capacitación</t>
  </si>
  <si>
    <t>AÑO 4</t>
  </si>
  <si>
    <t>AÑO 5</t>
  </si>
  <si>
    <t>4to. año</t>
  </si>
  <si>
    <t>5to. año</t>
  </si>
  <si>
    <t>Año 4</t>
  </si>
  <si>
    <t>Año 5</t>
  </si>
  <si>
    <t>Secretaria</t>
  </si>
  <si>
    <t>Contador</t>
  </si>
  <si>
    <t>PRESUPUESTO DE GASTOS ADMINISTRATIVOS</t>
  </si>
  <si>
    <t>ESTRATEGIA DE PUBLICIDAD Y PROMOCION</t>
  </si>
  <si>
    <t>AMORTIZACIÓN DEL PRÉSTAMO</t>
  </si>
  <si>
    <t>GASTOS DE DEPRECIACIÓN</t>
  </si>
  <si>
    <t>Cercas y caminos</t>
  </si>
  <si>
    <t>Vivienda</t>
  </si>
  <si>
    <t>Subtotal</t>
  </si>
  <si>
    <t>Imprevisto 2%</t>
  </si>
  <si>
    <t>Terreno</t>
  </si>
  <si>
    <t xml:space="preserve">INVERSION EN ACTIVOS FIJOS </t>
  </si>
  <si>
    <t>RUBROS</t>
  </si>
  <si>
    <t>USD</t>
  </si>
  <si>
    <t>Reservorio agua</t>
  </si>
  <si>
    <t>Cercas</t>
  </si>
  <si>
    <t>Bodega</t>
  </si>
  <si>
    <t xml:space="preserve">Galpon </t>
  </si>
  <si>
    <t>Sala poscosecha</t>
  </si>
  <si>
    <t xml:space="preserve">Oficina </t>
  </si>
  <si>
    <t>Guardia</t>
  </si>
  <si>
    <t>Abogado</t>
  </si>
  <si>
    <t>Conserje</t>
  </si>
  <si>
    <t>Ayudante de embalaje</t>
  </si>
  <si>
    <t>Capataz</t>
  </si>
  <si>
    <t>Trabajadores Ocasionales</t>
  </si>
  <si>
    <t>Machete</t>
  </si>
  <si>
    <t xml:space="preserve">Palas </t>
  </si>
  <si>
    <t>Excavadoras</t>
  </si>
  <si>
    <t>Baldes</t>
  </si>
  <si>
    <t>Barras</t>
  </si>
  <si>
    <t>Gavetas o jabas</t>
  </si>
  <si>
    <t>Balanza</t>
  </si>
  <si>
    <t>Infraestructura</t>
  </si>
  <si>
    <t>DIMENSION</t>
  </si>
  <si>
    <r>
      <t>m</t>
    </r>
    <r>
      <rPr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</si>
  <si>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2"/>
        <rFont val="Arial"/>
        <family val="2"/>
      </rPr>
      <t>3</t>
    </r>
  </si>
  <si>
    <t>COSTO UNITARIO (USD)</t>
  </si>
  <si>
    <t>Labores</t>
  </si>
  <si>
    <t>Analisis del suelo</t>
  </si>
  <si>
    <t>Alineacion y hoyado</t>
  </si>
  <si>
    <t>Fertilizacion de Fondo</t>
  </si>
  <si>
    <t>Plantacion</t>
  </si>
  <si>
    <t>Deshierba</t>
  </si>
  <si>
    <t>Poda</t>
  </si>
  <si>
    <t>Fertilizacion de Mantenimiento</t>
  </si>
  <si>
    <t>Controles Finosanitarios</t>
  </si>
  <si>
    <t>Riego</t>
  </si>
  <si>
    <t>Recoleccion de frutos</t>
  </si>
  <si>
    <t>Selección</t>
  </si>
  <si>
    <t>Poscosecha( empacado y carga)</t>
  </si>
  <si>
    <t>total jornales</t>
  </si>
  <si>
    <t>Total Usd</t>
  </si>
  <si>
    <t>Necesidades de personal (jornales) para 6 hectáreas de cultivo</t>
  </si>
  <si>
    <t>Valor por hora</t>
  </si>
  <si>
    <t>Años</t>
  </si>
  <si>
    <t>Variacion por año</t>
  </si>
  <si>
    <t>VARIACION DE PRECIOS</t>
  </si>
  <si>
    <t>Gerente General</t>
  </si>
  <si>
    <t xml:space="preserve">MANO DE OBRA </t>
  </si>
  <si>
    <t>Total MOD</t>
  </si>
  <si>
    <t>MANO DE OBRA DIRECTA</t>
  </si>
  <si>
    <t>MANO DE OBRA INDIRECTA</t>
  </si>
  <si>
    <t>Total MID</t>
  </si>
  <si>
    <t>MANO DE OBRA DE GESTIÓN</t>
  </si>
  <si>
    <t>Total MOG</t>
  </si>
  <si>
    <t>MANO DE OBRA COMERCIAL</t>
  </si>
  <si>
    <t>Total MOC</t>
  </si>
  <si>
    <t>Total Mano de Obra</t>
  </si>
  <si>
    <t xml:space="preserve">Guardia </t>
  </si>
  <si>
    <t>Ayudante de pedido</t>
  </si>
  <si>
    <t>Ayudante de envio</t>
  </si>
  <si>
    <t>Gerente Comercial</t>
  </si>
  <si>
    <t>Gerente de  Producción</t>
  </si>
  <si>
    <t>Meses</t>
  </si>
  <si>
    <t>Tiempo</t>
  </si>
  <si>
    <t>Año</t>
  </si>
  <si>
    <t>Horas</t>
  </si>
  <si>
    <t>Servicios transporte</t>
  </si>
  <si>
    <t>Servicios Plaguicidas</t>
  </si>
  <si>
    <t>PRESUPUESTO DE GASTOS DE PERSONAL</t>
  </si>
  <si>
    <t>Captaz</t>
  </si>
  <si>
    <t>Básico 2010</t>
  </si>
  <si>
    <t>Podadora</t>
  </si>
  <si>
    <t>Carretillas</t>
  </si>
  <si>
    <t>Mesa de clasificación y empaque</t>
  </si>
  <si>
    <t>Sunchadora plástica</t>
  </si>
  <si>
    <t>Sacarímetro</t>
  </si>
  <si>
    <t>Grapadora</t>
  </si>
  <si>
    <t>Telefonos inalámbricos</t>
  </si>
  <si>
    <t>Escritorios</t>
  </si>
  <si>
    <t>Reservorio de agua</t>
  </si>
  <si>
    <t>Sala poscocecha</t>
  </si>
  <si>
    <t>Oficina</t>
  </si>
  <si>
    <t>Galpón</t>
  </si>
  <si>
    <t>Total infraestructura</t>
  </si>
  <si>
    <t>Total de Materiales directos</t>
  </si>
  <si>
    <t>Hummus Lombriz</t>
  </si>
  <si>
    <t>10 - 30 - 10</t>
  </si>
  <si>
    <t>Sulpomag</t>
  </si>
  <si>
    <t>Urea</t>
  </si>
  <si>
    <t>Muriato Potasio</t>
  </si>
  <si>
    <t>Microelementos</t>
  </si>
  <si>
    <t>Hormonas</t>
  </si>
  <si>
    <t>Productos Fitosanitarios</t>
  </si>
  <si>
    <t>Fijador</t>
  </si>
  <si>
    <t>-</t>
  </si>
  <si>
    <t>Saco 35 kg</t>
  </si>
  <si>
    <t>saco 50 kg</t>
  </si>
  <si>
    <t>saco 45 kg</t>
  </si>
  <si>
    <t>Kg</t>
  </si>
  <si>
    <t>Tanque</t>
  </si>
  <si>
    <t>L</t>
  </si>
  <si>
    <t>MEDIDAS</t>
  </si>
  <si>
    <t>CANT.</t>
  </si>
  <si>
    <t>AÑO 1</t>
  </si>
  <si>
    <t>AÑO 2</t>
  </si>
  <si>
    <t>%</t>
  </si>
  <si>
    <t>PARTICIPACION</t>
  </si>
  <si>
    <t>Requerimiento materiales indirectos para 6 hectáreas de cultivo</t>
  </si>
  <si>
    <t>MATERIAL DE EMPAQUE</t>
  </si>
  <si>
    <t>Cajas</t>
  </si>
  <si>
    <t>Plásticos</t>
  </si>
  <si>
    <t>Etiquetas</t>
  </si>
  <si>
    <t>Sunchos</t>
  </si>
  <si>
    <t>Recetarios</t>
  </si>
  <si>
    <t>P. UNIT.</t>
  </si>
  <si>
    <t>P. UNIT</t>
  </si>
  <si>
    <t>Arada</t>
  </si>
  <si>
    <t>Rastrada</t>
  </si>
  <si>
    <t>Surcada</t>
  </si>
  <si>
    <t>Total por Alquiler</t>
  </si>
  <si>
    <t>Agua potable</t>
  </si>
  <si>
    <t>Luz eléctrica</t>
  </si>
  <si>
    <t>Teléfono</t>
  </si>
  <si>
    <t>Internet</t>
  </si>
  <si>
    <t>Suministros y servicios básicos</t>
  </si>
  <si>
    <t>Combustible</t>
  </si>
  <si>
    <t>Lubricantes</t>
  </si>
  <si>
    <t>Perforadora</t>
  </si>
  <si>
    <t>Hojas para impresión</t>
  </si>
  <si>
    <t>Toners para impresora</t>
  </si>
  <si>
    <t xml:space="preserve">Bolígrafos </t>
  </si>
  <si>
    <t>Lapices</t>
  </si>
  <si>
    <t>Tijeras</t>
  </si>
  <si>
    <t>Imprevistos</t>
  </si>
  <si>
    <t>Maquinarias</t>
  </si>
  <si>
    <t>Alquiler de Arada</t>
  </si>
  <si>
    <t>Alquiler de rastrada</t>
  </si>
  <si>
    <t>Alquiler sarcada</t>
  </si>
  <si>
    <t>Materiales indirectos</t>
  </si>
  <si>
    <t>Materiales directos</t>
  </si>
  <si>
    <t>Publicaciones</t>
  </si>
  <si>
    <t>Revista Cámara de industrias</t>
  </si>
  <si>
    <t>Revista Cámara de comercio</t>
  </si>
  <si>
    <t>Revista de la Corpei</t>
  </si>
  <si>
    <t>Ferias internacionales</t>
  </si>
  <si>
    <t>Viajes al exterior con brokers</t>
  </si>
  <si>
    <t>Total de terreno</t>
  </si>
  <si>
    <t>Equipo de refigeración</t>
  </si>
  <si>
    <t xml:space="preserve">Extintor </t>
  </si>
  <si>
    <t>Vehiculo</t>
  </si>
  <si>
    <t>Total de Vehículo</t>
  </si>
  <si>
    <t>Registro Mercantil (g )</t>
  </si>
  <si>
    <t>Notaría - Anotación Marginal (h )</t>
  </si>
  <si>
    <t>SRI - Obtención del RUC (i)</t>
  </si>
  <si>
    <t>Inscripción en Registro Societario (j)</t>
  </si>
  <si>
    <t>Patente Municipal (k)</t>
  </si>
  <si>
    <t>ACTIVOS DIFERIDOS</t>
  </si>
  <si>
    <t>TOTAL ACTIVOS DIFERIDOS</t>
  </si>
  <si>
    <t>Afiliación Cámara de Comercio (d)</t>
  </si>
  <si>
    <t>Afiliación Cámara de Industrias (e)</t>
  </si>
  <si>
    <t>Afiliación Cámara de Agricultura (f)</t>
  </si>
  <si>
    <t>Total Ventas Brutas internas</t>
  </si>
  <si>
    <t>Total Ventas Brutas externas</t>
  </si>
  <si>
    <t>Total Frutos internos</t>
  </si>
  <si>
    <t>Total Frutos externos</t>
  </si>
  <si>
    <t>Mes</t>
  </si>
  <si>
    <t>Año 2010</t>
  </si>
  <si>
    <t>Plantas (N. glauca injerto)</t>
  </si>
  <si>
    <t>Camion de 2 toneladas</t>
  </si>
  <si>
    <t>Equipo de riego: bomba y tuberia</t>
  </si>
  <si>
    <t>Bomba de fumigación</t>
  </si>
  <si>
    <t xml:space="preserve">Inversión  Inicial </t>
  </si>
  <si>
    <t>ACTIVOS FIJOS</t>
  </si>
  <si>
    <t>CAPITAL DE OPERACIÓN</t>
  </si>
  <si>
    <t>MATERIAL DIRECTO</t>
  </si>
  <si>
    <t>MATERIAL INDIRECTO</t>
  </si>
  <si>
    <t>EQUIPO DE OFICINAS</t>
  </si>
  <si>
    <t>TERRENO</t>
  </si>
  <si>
    <t>VEHICULO</t>
  </si>
  <si>
    <t>MUEBLES Y ENSERES</t>
  </si>
  <si>
    <t>ADECUACION DEL LOCAL</t>
  </si>
  <si>
    <t>EQUIPOS Y MAQUINARIAS</t>
  </si>
  <si>
    <t>IMPREVISTO 2%</t>
  </si>
  <si>
    <t>TOTAL DE CAPITAL DE OPERACIÓN</t>
  </si>
  <si>
    <t>PRESTAMO</t>
  </si>
  <si>
    <t>K PROPIO</t>
  </si>
  <si>
    <t>INVERSION TOTAL</t>
  </si>
  <si>
    <t>TOTAL ACTIVOS FIJOS</t>
  </si>
  <si>
    <t>Gastos</t>
  </si>
  <si>
    <t>TOTAL DE INVERSION INICIAL</t>
  </si>
  <si>
    <t>Mercado</t>
  </si>
  <si>
    <t>Interno</t>
  </si>
  <si>
    <t>Estados Unidos</t>
  </si>
  <si>
    <t>Mercado Nacional</t>
  </si>
  <si>
    <t>Precios internos/caja</t>
  </si>
  <si>
    <t>Precios externos/caja</t>
  </si>
  <si>
    <t xml:space="preserve"> PRESUPUESTO DE INGRESOS   Medida= caja</t>
  </si>
  <si>
    <t>Tasa mensual Año 1</t>
  </si>
  <si>
    <t>Europa</t>
  </si>
  <si>
    <t>Requerimiento materiales directos para 1.5 hectáreas de cultivo</t>
  </si>
  <si>
    <t>Ingeniero Agrícola</t>
  </si>
  <si>
    <t>AÑO 6</t>
  </si>
  <si>
    <t>Vehículo</t>
  </si>
  <si>
    <t>anuales</t>
  </si>
  <si>
    <t>Ingresos mercado Nacional</t>
  </si>
  <si>
    <t>Ingreso mercado internacional</t>
  </si>
  <si>
    <t>Año 6</t>
  </si>
  <si>
    <t>Año  1</t>
  </si>
  <si>
    <t>Año  2</t>
  </si>
  <si>
    <t>Año  3</t>
  </si>
  <si>
    <t>Año  4</t>
  </si>
  <si>
    <t>Año  5</t>
  </si>
  <si>
    <t>Año  6</t>
  </si>
  <si>
    <t xml:space="preserve">Año 1 </t>
  </si>
  <si>
    <t>SUMINISTROS</t>
  </si>
  <si>
    <t>SERVICIOS BÁSICOS</t>
  </si>
  <si>
    <t>Total de suministros</t>
  </si>
  <si>
    <t>Total de servicios básicos</t>
  </si>
  <si>
    <t>Alquiler de maquinarias</t>
  </si>
  <si>
    <t>6to. año</t>
  </si>
  <si>
    <t>Gatos de  constitución</t>
  </si>
  <si>
    <t>Costos directos</t>
  </si>
  <si>
    <t>Costos indirectos</t>
  </si>
  <si>
    <t>INGRESOS</t>
  </si>
  <si>
    <t>Total de ventas</t>
  </si>
  <si>
    <t>Total de costos</t>
  </si>
  <si>
    <t>- Gastos de Publicidad</t>
  </si>
  <si>
    <t>- Gastos servicios básicos</t>
  </si>
  <si>
    <t>- Gastos por suministros</t>
  </si>
  <si>
    <t>- Gastos por alquiler</t>
  </si>
  <si>
    <t>- Gastos por infraestructura</t>
  </si>
  <si>
    <t>- Gastos por salarios</t>
  </si>
  <si>
    <t>- Gastos por fondos de reserva</t>
  </si>
  <si>
    <t>- Gastos por décimo tercero</t>
  </si>
  <si>
    <t>- Gastos por décimo cuarto</t>
  </si>
  <si>
    <t>- Gastos por vacaciones</t>
  </si>
  <si>
    <t>- Gastos por aporte patronal e IECE</t>
  </si>
  <si>
    <t>- compra de equipos de oficina</t>
  </si>
  <si>
    <t>- compra de muebles y enseres</t>
  </si>
  <si>
    <t>- compra de imprevistos activos</t>
  </si>
  <si>
    <t>- depreciaciones total</t>
  </si>
  <si>
    <t>- Gastos por honorarios profesionales</t>
  </si>
  <si>
    <t>- compra de equipos y maquinarias</t>
  </si>
  <si>
    <t>- compra de vehículo</t>
  </si>
  <si>
    <t>- compra de terreno</t>
  </si>
  <si>
    <t xml:space="preserve">Total de gastos </t>
  </si>
  <si>
    <t>(+) INGRESOS POR VENTAS</t>
  </si>
  <si>
    <t xml:space="preserve"> (-) COSTOS</t>
  </si>
  <si>
    <t>(=) UTILIDAD BRUTA</t>
  </si>
  <si>
    <t xml:space="preserve"> (-) GASTOS</t>
  </si>
  <si>
    <t>(=) U.A.I.I</t>
  </si>
  <si>
    <t>(-) GASTOS POR INTERESES</t>
  </si>
  <si>
    <t>(=) U.A.I.P</t>
  </si>
  <si>
    <t>(-) 15 % Participación a Trabajadores</t>
  </si>
  <si>
    <t>(=) U.A.I.</t>
  </si>
  <si>
    <t>(-) 25 % Impuesto a la Renta</t>
  </si>
  <si>
    <t>(=) Utilidad NETA del EJERCICIO</t>
  </si>
  <si>
    <t>(-) Amortización de capital</t>
  </si>
  <si>
    <t>(-) Inversión</t>
  </si>
  <si>
    <t>(+) Depreciación</t>
  </si>
  <si>
    <t>(-) Gastos de constitución</t>
  </si>
  <si>
    <t>(-) Capital de trabajo</t>
  </si>
  <si>
    <t>(+) Préstamo</t>
  </si>
  <si>
    <t>(=) Flujo de caja</t>
  </si>
  <si>
    <t>TMAR</t>
  </si>
  <si>
    <t>EGRESOS</t>
  </si>
  <si>
    <t>SALDO</t>
  </si>
  <si>
    <t>SALDO ACUMULADO</t>
  </si>
  <si>
    <t>Capital de trabajo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</si>
  <si>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</si>
  <si>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</si>
  <si>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</si>
  <si>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</si>
  <si>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</si>
  <si>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</si>
  <si>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</si>
  <si>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</si>
  <si>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</si>
  <si>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</si>
  <si>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</si>
  <si>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PAYBACK</t>
  </si>
  <si>
    <t>PERIODO</t>
  </si>
  <si>
    <t>Saldo de 
inversión</t>
  </si>
  <si>
    <t xml:space="preserve">Flujo de
 caja </t>
  </si>
  <si>
    <t>Rentabilidad
 Exigida</t>
  </si>
  <si>
    <t>Recuérdese que los criterios de aceptación al usar estas técnicas son:</t>
  </si>
  <si>
    <t>Técnica</t>
  </si>
  <si>
    <t>Aceptación</t>
  </si>
  <si>
    <t>Rechazo</t>
  </si>
  <si>
    <t>VPN</t>
  </si>
  <si>
    <t>&gt;= 0</t>
  </si>
  <si>
    <t>&lt;0</t>
  </si>
  <si>
    <t>&gt;= TMAR</t>
  </si>
  <si>
    <t>&lt; TMAR</t>
  </si>
  <si>
    <t>Flujo de caja</t>
  </si>
  <si>
    <t>Riesgo pais 816 ptos =</t>
  </si>
  <si>
    <t>b</t>
  </si>
  <si>
    <t>Rf mercado</t>
  </si>
  <si>
    <t>RP Ecuador</t>
  </si>
  <si>
    <t>MES 112</t>
  </si>
  <si>
    <t>Punto de equilibrio</t>
  </si>
  <si>
    <t xml:space="preserve">Ventas </t>
  </si>
  <si>
    <t>Costos Fijos</t>
  </si>
  <si>
    <t>Costos variables</t>
  </si>
  <si>
    <t>Margen de contribución</t>
  </si>
  <si>
    <t>RATIOS FINANCIEROS</t>
  </si>
  <si>
    <t>INVERSIONISTA</t>
  </si>
  <si>
    <t>MONTO APROPIADO</t>
  </si>
  <si>
    <t>% PARTICIPACION</t>
  </si>
  <si>
    <t>Juan Manuel Maggi</t>
  </si>
  <si>
    <t>Katiuska Lucas</t>
  </si>
  <si>
    <t>Ma. Jose Yagual</t>
  </si>
  <si>
    <t>Capital Propio</t>
  </si>
  <si>
    <t>Tasa Inflacionaria</t>
  </si>
  <si>
    <t>Tasa</t>
  </si>
  <si>
    <t>PAGO</t>
  </si>
  <si>
    <t>INTERÉS</t>
  </si>
  <si>
    <t>Recuperación de
 la inversión</t>
  </si>
  <si>
    <t>Asia</t>
  </si>
</sst>
</file>

<file path=xl/styles.xml><?xml version="1.0" encoding="utf-8"?>
<styleSheet xmlns="http://schemas.openxmlformats.org/spreadsheetml/2006/main">
  <numFmts count="12">
    <numFmt numFmtId="167" formatCode="&quot;$&quot;\ #,##0.00_);[Red]\(&quot;$&quot;\ #,##0.00\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9" formatCode="_ * #,##0.00_ ;_ * \-#,##0.00_ ;_ * &quot;-&quot;??_ ;_ @_ "/>
    <numFmt numFmtId="188" formatCode="_ &quot;S/.&quot;\ * #,##0.00_ ;_ &quot;S/.&quot;\ * \-#,##0.00_ ;_ &quot;S/.&quot;\ * &quot;-&quot;??_ ;_ @_ "/>
    <numFmt numFmtId="189" formatCode="_ * #,##0_ ;_ * \-#,##0_ ;_ * &quot;-&quot;??_ ;_ @_ "/>
    <numFmt numFmtId="190" formatCode="&quot;$&quot;\ #,##0.00"/>
    <numFmt numFmtId="191" formatCode="_(* #,##0\ &quot;pta&quot;_);_(* \(#,##0\ &quot;pta&quot;\);_(* &quot;-&quot;??\ &quot;pta&quot;_);_(@_)"/>
    <numFmt numFmtId="200" formatCode="_([$$-300A]\ * #,##0.00_);_([$$-300A]\ * \(#,##0.00\);_([$$-300A]\ * &quot;-&quot;??_);_(@_)"/>
    <numFmt numFmtId="201" formatCode="0.0%"/>
    <numFmt numFmtId="205" formatCode="0.000"/>
  </numFmts>
  <fonts count="30">
    <font>
      <sz val="10"/>
      <name val="Arial"/>
    </font>
    <font>
      <sz val="10"/>
      <name val="Arial"/>
    </font>
    <font>
      <sz val="8"/>
      <name val="Verdana"/>
      <family val="2"/>
    </font>
    <font>
      <sz val="9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9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color indexed="56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sz val="9"/>
      <color indexed="23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6"/>
      <name val="Verdana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b/>
      <sz val="12"/>
      <name val="Verdana"/>
      <family val="2"/>
    </font>
    <font>
      <u/>
      <sz val="9"/>
      <name val="Verdana"/>
      <family val="2"/>
    </font>
    <font>
      <sz val="8"/>
      <color indexed="56"/>
      <name val="Verdana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72">
    <border>
      <left/>
      <right/>
      <top/>
      <bottom/>
      <diagonal/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  <diagonal/>
    </border>
    <border>
      <left style="hair">
        <color indexed="53"/>
      </left>
      <right style="medium">
        <color indexed="53"/>
      </right>
      <top style="hair">
        <color indexed="53"/>
      </top>
      <bottom style="hair">
        <color indexed="53"/>
      </bottom>
      <diagonal/>
    </border>
    <border>
      <left style="hair">
        <color indexed="53"/>
      </left>
      <right style="hair">
        <color indexed="53"/>
      </right>
      <top style="hair">
        <color indexed="53"/>
      </top>
      <bottom/>
      <diagonal/>
    </border>
    <border>
      <left style="hair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 style="hair">
        <color indexed="53"/>
      </right>
      <top style="medium">
        <color indexed="53"/>
      </top>
      <bottom style="medium">
        <color indexed="53"/>
      </bottom>
      <diagonal/>
    </border>
    <border>
      <left style="hair">
        <color indexed="53"/>
      </left>
      <right style="hair">
        <color indexed="53"/>
      </right>
      <top style="medium">
        <color indexed="53"/>
      </top>
      <bottom style="medium">
        <color indexed="53"/>
      </bottom>
      <diagonal/>
    </border>
    <border>
      <left style="hair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medium">
        <color indexed="53"/>
      </left>
      <right style="hair">
        <color indexed="53"/>
      </right>
      <top style="hair">
        <color indexed="53"/>
      </top>
      <bottom style="hair">
        <color indexed="53"/>
      </bottom>
      <diagonal/>
    </border>
    <border>
      <left style="medium">
        <color indexed="53"/>
      </left>
      <right style="hair">
        <color indexed="53"/>
      </right>
      <top/>
      <bottom style="hair">
        <color indexed="53"/>
      </bottom>
      <diagonal/>
    </border>
    <border>
      <left style="hair">
        <color indexed="53"/>
      </left>
      <right style="hair">
        <color indexed="53"/>
      </right>
      <top/>
      <bottom style="hair">
        <color indexed="53"/>
      </bottom>
      <diagonal/>
    </border>
    <border>
      <left style="hair">
        <color indexed="53"/>
      </left>
      <right style="medium">
        <color indexed="53"/>
      </right>
      <top/>
      <bottom style="hair">
        <color indexed="53"/>
      </bottom>
      <diagonal/>
    </border>
    <border>
      <left style="medium">
        <color indexed="53"/>
      </left>
      <right style="hair">
        <color indexed="53"/>
      </right>
      <top style="medium">
        <color indexed="53"/>
      </top>
      <bottom/>
      <diagonal/>
    </border>
    <border>
      <left style="hair">
        <color indexed="53"/>
      </left>
      <right style="hair">
        <color indexed="53"/>
      </right>
      <top style="medium">
        <color indexed="53"/>
      </top>
      <bottom/>
      <diagonal/>
    </border>
    <border>
      <left style="hair">
        <color indexed="53"/>
      </left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 style="hair">
        <color indexed="53"/>
      </right>
      <top style="hair">
        <color indexed="53"/>
      </top>
      <bottom/>
      <diagonal/>
    </border>
    <border>
      <left style="medium">
        <color indexed="53"/>
      </left>
      <right style="hair">
        <color indexed="53"/>
      </right>
      <top style="medium">
        <color indexed="53"/>
      </top>
      <bottom style="hair">
        <color indexed="53"/>
      </bottom>
      <diagonal/>
    </border>
    <border>
      <left style="hair">
        <color indexed="53"/>
      </left>
      <right style="hair">
        <color indexed="53"/>
      </right>
      <top style="medium">
        <color indexed="53"/>
      </top>
      <bottom style="hair">
        <color indexed="53"/>
      </bottom>
      <diagonal/>
    </border>
    <border>
      <left style="hair">
        <color indexed="53"/>
      </left>
      <right style="medium">
        <color indexed="53"/>
      </right>
      <top style="medium">
        <color indexed="53"/>
      </top>
      <bottom style="hair">
        <color indexed="53"/>
      </bottom>
      <diagonal/>
    </border>
    <border>
      <left style="hair">
        <color indexed="53"/>
      </left>
      <right style="hair">
        <color indexed="53"/>
      </right>
      <top style="thin">
        <color indexed="53"/>
      </top>
      <bottom style="thin">
        <color indexed="53"/>
      </bottom>
      <diagonal/>
    </border>
    <border>
      <left style="hair">
        <color indexed="53"/>
      </left>
      <right style="hair">
        <color indexed="53"/>
      </right>
      <top style="hair">
        <color indexed="53"/>
      </top>
      <bottom style="medium">
        <color indexed="53"/>
      </bottom>
      <diagonal/>
    </border>
    <border>
      <left style="hair">
        <color indexed="53"/>
      </left>
      <right style="medium">
        <color indexed="53"/>
      </right>
      <top style="hair">
        <color indexed="53"/>
      </top>
      <bottom style="medium">
        <color indexed="53"/>
      </bottom>
      <diagonal/>
    </border>
    <border>
      <left style="medium">
        <color indexed="53"/>
      </left>
      <right style="hair">
        <color indexed="53"/>
      </right>
      <top style="hair">
        <color indexed="53"/>
      </top>
      <bottom style="medium">
        <color indexed="53"/>
      </bottom>
      <diagonal/>
    </border>
    <border>
      <left style="medium">
        <color indexed="53"/>
      </left>
      <right style="hair">
        <color indexed="53"/>
      </right>
      <top/>
      <bottom/>
      <diagonal/>
    </border>
    <border>
      <left style="hair">
        <color indexed="53"/>
      </left>
      <right style="hair">
        <color indexed="53"/>
      </right>
      <top/>
      <bottom/>
      <diagonal/>
    </border>
    <border>
      <left style="hair">
        <color indexed="53"/>
      </left>
      <right style="medium">
        <color indexed="53"/>
      </right>
      <top/>
      <bottom/>
      <diagonal/>
    </border>
    <border>
      <left style="medium">
        <color indexed="53"/>
      </left>
      <right style="medium">
        <color indexed="53"/>
      </right>
      <top style="hair">
        <color indexed="53"/>
      </top>
      <bottom style="hair">
        <color indexed="5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hair">
        <color indexed="53"/>
      </bottom>
      <diagonal/>
    </border>
    <border>
      <left style="medium">
        <color indexed="53"/>
      </left>
      <right style="medium">
        <color indexed="53"/>
      </right>
      <top style="hair">
        <color indexed="53"/>
      </top>
      <bottom style="medium">
        <color indexed="53"/>
      </bottom>
      <diagonal/>
    </border>
    <border>
      <left/>
      <right style="hair">
        <color indexed="53"/>
      </right>
      <top style="medium">
        <color indexed="53"/>
      </top>
      <bottom style="hair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hair">
        <color indexed="53"/>
      </right>
      <top style="hair">
        <color indexed="53"/>
      </top>
      <bottom/>
      <diagonal/>
    </border>
    <border>
      <left/>
      <right style="hair">
        <color indexed="53"/>
      </right>
      <top style="hair">
        <color indexed="53"/>
      </top>
      <bottom style="medium">
        <color indexed="53"/>
      </bottom>
      <diagonal/>
    </border>
    <border>
      <left style="medium">
        <color indexed="53"/>
      </left>
      <right/>
      <top/>
      <bottom/>
      <diagonal/>
    </border>
    <border>
      <left/>
      <right style="medium">
        <color indexed="53"/>
      </right>
      <top/>
      <bottom/>
      <diagonal/>
    </border>
    <border>
      <left style="hair">
        <color indexed="53"/>
      </left>
      <right/>
      <top style="hair">
        <color indexed="53"/>
      </top>
      <bottom style="hair">
        <color indexed="53"/>
      </bottom>
      <diagonal/>
    </border>
    <border>
      <left style="hair">
        <color indexed="53"/>
      </left>
      <right/>
      <top style="hair">
        <color indexed="53"/>
      </top>
      <bottom/>
      <diagonal/>
    </border>
    <border>
      <left/>
      <right/>
      <top style="medium">
        <color indexed="53"/>
      </top>
      <bottom style="medium">
        <color indexed="5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/>
      <right/>
      <top/>
      <bottom style="hair">
        <color indexed="53"/>
      </bottom>
      <diagonal/>
    </border>
    <border>
      <left/>
      <right/>
      <top style="hair">
        <color indexed="53"/>
      </top>
      <bottom style="hair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/>
      <diagonal/>
    </border>
    <border>
      <left/>
      <right style="hair">
        <color indexed="53"/>
      </right>
      <top style="thin">
        <color indexed="53"/>
      </top>
      <bottom style="thin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/>
      <top/>
      <bottom style="medium">
        <color indexed="52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/>
      <diagonal/>
    </border>
    <border>
      <left style="hair">
        <color indexed="53"/>
      </left>
      <right style="medium">
        <color indexed="53"/>
      </right>
      <top/>
      <bottom style="medium">
        <color indexed="53"/>
      </bottom>
      <diagonal/>
    </border>
    <border>
      <left/>
      <right style="medium">
        <color indexed="53"/>
      </right>
      <top style="hair">
        <color indexed="53"/>
      </top>
      <bottom style="hair">
        <color indexed="53"/>
      </bottom>
      <diagonal/>
    </border>
    <border>
      <left/>
      <right style="medium">
        <color indexed="53"/>
      </right>
      <top/>
      <bottom style="hair">
        <color indexed="53"/>
      </bottom>
      <diagonal/>
    </border>
    <border>
      <left style="hair">
        <color indexed="53"/>
      </left>
      <right/>
      <top/>
      <bottom style="hair">
        <color indexed="53"/>
      </bottom>
      <diagonal/>
    </border>
    <border>
      <left style="hair">
        <color indexed="53"/>
      </left>
      <right/>
      <top/>
      <bottom/>
      <diagonal/>
    </border>
    <border>
      <left/>
      <right style="hair">
        <color indexed="53"/>
      </right>
      <top style="medium">
        <color indexed="53"/>
      </top>
      <bottom style="medium">
        <color indexed="53"/>
      </bottom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hair">
        <color indexed="53"/>
      </left>
      <right/>
      <top style="medium">
        <color indexed="53"/>
      </top>
      <bottom/>
      <diagonal/>
    </border>
    <border>
      <left style="medium">
        <color indexed="53"/>
      </left>
      <right style="hair">
        <color indexed="53"/>
      </right>
      <top/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/>
      <diagonal/>
    </border>
    <border>
      <left/>
      <right/>
      <top style="hair">
        <color indexed="53"/>
      </top>
      <bottom/>
      <diagonal/>
    </border>
    <border>
      <left style="thin">
        <color indexed="53"/>
      </left>
      <right style="hair">
        <color indexed="53"/>
      </right>
      <top style="hair">
        <color indexed="53"/>
      </top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medium">
        <color indexed="52"/>
      </left>
      <right style="medium">
        <color indexed="52"/>
      </right>
      <top style="medium">
        <color indexed="52"/>
      </top>
      <bottom style="hair">
        <color indexed="53"/>
      </bottom>
      <diagonal/>
    </border>
    <border>
      <left style="medium">
        <color indexed="52"/>
      </left>
      <right style="medium">
        <color indexed="52"/>
      </right>
      <top style="hair">
        <color indexed="53"/>
      </top>
      <bottom style="hair">
        <color indexed="53"/>
      </bottom>
      <diagonal/>
    </border>
    <border>
      <left style="medium">
        <color indexed="52"/>
      </left>
      <right style="medium">
        <color indexed="52"/>
      </right>
      <top style="hair">
        <color indexed="53"/>
      </top>
      <bottom/>
      <diagonal/>
    </border>
    <border>
      <left style="medium">
        <color indexed="52"/>
      </left>
      <right style="medium">
        <color indexed="52"/>
      </right>
      <top style="hair">
        <color indexed="53"/>
      </top>
      <bottom style="medium">
        <color indexed="52"/>
      </bottom>
      <diagonal/>
    </border>
    <border>
      <left style="hair">
        <color indexed="53"/>
      </left>
      <right style="hair">
        <color indexed="53"/>
      </right>
      <top style="thin">
        <color indexed="53"/>
      </top>
      <bottom/>
      <diagonal/>
    </border>
    <border>
      <left/>
      <right style="hair">
        <color indexed="53"/>
      </right>
      <top/>
      <bottom/>
      <diagonal/>
    </border>
    <border>
      <left style="medium">
        <color theme="9" tint="-0.249977111117893"/>
      </left>
      <right style="hair">
        <color indexed="53"/>
      </right>
      <top style="medium">
        <color theme="9" tint="-0.249977111117893"/>
      </top>
      <bottom style="hair">
        <color indexed="53"/>
      </bottom>
      <diagonal/>
    </border>
    <border>
      <left style="hair">
        <color indexed="53"/>
      </left>
      <right style="hair">
        <color indexed="53"/>
      </right>
      <top style="medium">
        <color theme="9" tint="-0.249977111117893"/>
      </top>
      <bottom style="hair">
        <color indexed="53"/>
      </bottom>
      <diagonal/>
    </border>
    <border>
      <left style="hair">
        <color indexed="53"/>
      </left>
      <right/>
      <top style="medium">
        <color theme="9" tint="-0.249977111117893"/>
      </top>
      <bottom style="hair">
        <color indexed="53"/>
      </bottom>
      <diagonal/>
    </border>
    <border>
      <left style="medium">
        <color theme="9" tint="-0.249977111117893"/>
      </left>
      <right style="hair">
        <color indexed="53"/>
      </right>
      <top style="hair">
        <color indexed="53"/>
      </top>
      <bottom style="hair">
        <color indexed="5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hair">
        <color indexed="53"/>
      </bottom>
      <diagonal/>
    </border>
    <border>
      <left style="medium">
        <color theme="9" tint="-0.249977111117893"/>
      </left>
      <right style="medium">
        <color theme="9" tint="-0.249977111117893"/>
      </right>
      <top style="hair">
        <color indexed="53"/>
      </top>
      <bottom style="hair">
        <color indexed="53"/>
      </bottom>
      <diagonal/>
    </border>
    <border>
      <left style="medium">
        <color theme="9" tint="-0.249977111117893"/>
      </left>
      <right style="hair">
        <color indexed="53"/>
      </right>
      <top style="hair">
        <color indexed="5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hair">
        <color indexed="53"/>
      </right>
      <top/>
      <bottom style="hair">
        <color indexed="53"/>
      </bottom>
      <diagonal/>
    </border>
    <border>
      <left style="medium">
        <color theme="9" tint="-0.249977111117893"/>
      </left>
      <right style="hair">
        <color indexed="5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hair">
        <color indexed="5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hair">
        <color indexed="53"/>
      </left>
      <right style="medium">
        <color theme="9" tint="-0.249977111117893"/>
      </right>
      <top/>
      <bottom style="hair">
        <color indexed="53"/>
      </bottom>
      <diagonal/>
    </border>
    <border>
      <left style="hair">
        <color indexed="53"/>
      </left>
      <right style="medium">
        <color theme="9" tint="-0.249977111117893"/>
      </right>
      <top style="hair">
        <color indexed="53"/>
      </top>
      <bottom style="hair">
        <color indexed="53"/>
      </bottom>
      <diagonal/>
    </border>
    <border>
      <left style="medium">
        <color theme="9" tint="-0.249977111117893"/>
      </left>
      <right style="hair">
        <color indexed="53"/>
      </right>
      <top style="hair">
        <color indexed="53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hair">
        <color indexed="53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 style="hair">
        <color indexed="53"/>
      </bottom>
      <diagonal/>
    </border>
    <border>
      <left style="hair">
        <color indexed="53"/>
      </left>
      <right style="medium">
        <color theme="9" tint="-0.249977111117893"/>
      </right>
      <top style="hair">
        <color indexed="5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/>
      <bottom style="hair">
        <color indexed="53"/>
      </bottom>
      <diagonal/>
    </border>
    <border>
      <left style="medium">
        <color theme="9" tint="-0.249977111117893"/>
      </left>
      <right/>
      <top style="hair">
        <color indexed="53"/>
      </top>
      <bottom style="hair">
        <color indexed="53"/>
      </bottom>
      <diagonal/>
    </border>
    <border>
      <left style="thin">
        <color theme="9" tint="-0.249977111117893"/>
      </left>
      <right/>
      <top/>
      <bottom/>
      <diagonal/>
    </border>
    <border>
      <left style="thin">
        <color indexed="53"/>
      </left>
      <right/>
      <top style="thin">
        <color theme="9" tint="-0.249977111117893"/>
      </top>
      <bottom style="thin">
        <color indexed="5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indexed="53"/>
      </bottom>
      <diagonal/>
    </border>
    <border>
      <left/>
      <right/>
      <top style="thin">
        <color theme="9" tint="-0.249977111117893"/>
      </top>
      <bottom style="thin">
        <color indexed="53"/>
      </bottom>
      <diagonal/>
    </border>
    <border>
      <left/>
      <right style="thin">
        <color theme="9" tint="-0.249977111117893"/>
      </right>
      <top style="thin">
        <color indexed="53"/>
      </top>
      <bottom style="thin">
        <color indexed="53"/>
      </bottom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/>
      <right/>
      <top/>
      <bottom style="medium">
        <color theme="9" tint="-0.249977111117893"/>
      </bottom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theme="9" tint="0.39997558519241921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/>
      <diagonal/>
    </border>
    <border>
      <left style="medium">
        <color theme="9" tint="0.39997558519241921"/>
      </left>
      <right style="medium">
        <color theme="9" tint="-0.249977111117893"/>
      </right>
      <top style="medium">
        <color theme="9" tint="0.39997558519241921"/>
      </top>
      <bottom style="medium">
        <color theme="9" tint="0.39997558519241921"/>
      </bottom>
      <diagonal/>
    </border>
    <border>
      <left style="medium">
        <color theme="9" tint="0.39997558519241921"/>
      </left>
      <right/>
      <top style="medium">
        <color theme="9" tint="0.39997558519241921"/>
      </top>
      <bottom/>
      <diagonal/>
    </border>
    <border>
      <left style="medium">
        <color theme="9" tint="-0.249977111117893"/>
      </left>
      <right/>
      <top/>
      <bottom/>
      <diagonal/>
    </border>
    <border>
      <left style="medium">
        <color theme="9" tint="0.39997558519241921"/>
      </left>
      <right style="medium">
        <color theme="9" tint="-0.249977111117893"/>
      </right>
      <top style="medium">
        <color theme="9" tint="-0.249977111117893"/>
      </top>
      <bottom style="medium">
        <color theme="9" tint="0.39997558519241921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hair">
        <color indexed="53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hair">
        <color indexed="5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hair">
        <color indexed="53"/>
      </left>
      <right style="medium">
        <color indexed="53"/>
      </right>
      <top style="medium">
        <color theme="9" tint="-0.249977111117893"/>
      </top>
      <bottom style="hair">
        <color indexed="53"/>
      </bottom>
      <diagonal/>
    </border>
    <border>
      <left style="medium">
        <color indexed="53"/>
      </left>
      <right style="medium">
        <color theme="9" tint="-0.249977111117893"/>
      </right>
      <top style="medium">
        <color theme="9" tint="-0.249977111117893"/>
      </top>
      <bottom style="hair">
        <color indexed="53"/>
      </bottom>
      <diagonal/>
    </border>
    <border>
      <left style="medium">
        <color indexed="53"/>
      </left>
      <right style="medium">
        <color theme="9" tint="-0.249977111117893"/>
      </right>
      <top style="hair">
        <color indexed="53"/>
      </top>
      <bottom style="thin">
        <color theme="9" tint="0.79998168889431442"/>
      </bottom>
      <diagonal/>
    </border>
    <border>
      <left style="medium">
        <color theme="9" tint="-0.249977111117893"/>
      </left>
      <right style="hair">
        <color indexed="53"/>
      </right>
      <top style="medium">
        <color indexed="53"/>
      </top>
      <bottom style="hair">
        <color indexed="53"/>
      </bottom>
      <diagonal/>
    </border>
    <border>
      <left style="medium">
        <color indexed="53"/>
      </left>
      <right style="medium">
        <color theme="9" tint="-0.249977111117893"/>
      </right>
      <top style="medium">
        <color indexed="53"/>
      </top>
      <bottom style="hair">
        <color indexed="53"/>
      </bottom>
      <diagonal/>
    </border>
    <border>
      <left style="medium">
        <color indexed="53"/>
      </left>
      <right style="medium">
        <color theme="9" tint="-0.249977111117893"/>
      </right>
      <top style="hair">
        <color indexed="53"/>
      </top>
      <bottom style="hair">
        <color indexed="53"/>
      </bottom>
      <diagonal/>
    </border>
    <border>
      <left style="hair">
        <color indexed="53"/>
      </left>
      <right style="hair">
        <color indexed="53"/>
      </right>
      <top style="hair">
        <color indexed="53"/>
      </top>
      <bottom style="medium">
        <color theme="9" tint="-0.249977111117893"/>
      </bottom>
      <diagonal/>
    </border>
    <border>
      <left style="hair">
        <color indexed="53"/>
      </left>
      <right style="medium">
        <color indexed="53"/>
      </right>
      <top style="hair">
        <color indexed="53"/>
      </top>
      <bottom style="medium">
        <color theme="9" tint="-0.249977111117893"/>
      </bottom>
      <diagonal/>
    </border>
    <border>
      <left style="medium">
        <color indexed="53"/>
      </left>
      <right style="medium">
        <color theme="9" tint="-0.249977111117893"/>
      </right>
      <top style="hair">
        <color indexed="53"/>
      </top>
      <bottom style="medium">
        <color theme="9" tint="-0.249977111117893"/>
      </bottom>
      <diagonal/>
    </border>
    <border>
      <left style="hair">
        <color indexed="53"/>
      </left>
      <right style="medium">
        <color theme="9" tint="-0.249977111117893"/>
      </right>
      <top style="medium">
        <color theme="9" tint="-0.249977111117893"/>
      </top>
      <bottom style="hair">
        <color indexed="53"/>
      </bottom>
      <diagonal/>
    </border>
    <border>
      <left/>
      <right style="medium">
        <color theme="9" tint="-0.249977111117893"/>
      </right>
      <top style="hair">
        <color indexed="53"/>
      </top>
      <bottom style="hair">
        <color indexed="53"/>
      </bottom>
      <diagonal/>
    </border>
    <border>
      <left/>
      <right style="medium">
        <color theme="9" tint="-0.249977111117893"/>
      </right>
      <top style="hair">
        <color indexed="53"/>
      </top>
      <bottom style="medium">
        <color theme="9" tint="-0.249977111117893"/>
      </bottom>
      <diagonal/>
    </border>
    <border>
      <left style="hair">
        <color indexed="64"/>
      </left>
      <right/>
      <top style="hair">
        <color theme="9" tint="-0.249977111117893"/>
      </top>
      <bottom/>
      <diagonal/>
    </border>
    <border>
      <left style="medium">
        <color theme="9" tint="-0.249977111117893"/>
      </left>
      <right style="hair">
        <color theme="9" tint="-0.249977111117893"/>
      </right>
      <top style="medium">
        <color theme="9" tint="-0.249977111117893"/>
      </top>
      <bottom style="hair">
        <color indexed="64"/>
      </bottom>
      <diagonal/>
    </border>
    <border>
      <left/>
      <right style="hair">
        <color indexed="5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 style="hair">
        <color indexed="53"/>
      </top>
      <bottom style="medium">
        <color theme="9" tint="-0.249977111117893"/>
      </bottom>
      <diagonal/>
    </border>
    <border>
      <left/>
      <right style="medium">
        <color indexed="53"/>
      </right>
      <top style="hair">
        <color indexed="53"/>
      </top>
      <bottom style="medium">
        <color theme="9" tint="-0.249977111117893"/>
      </bottom>
      <diagonal/>
    </border>
    <border>
      <left/>
      <right/>
      <top style="hair">
        <color indexed="5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hair">
        <color indexed="53"/>
      </bottom>
      <diagonal/>
    </border>
    <border>
      <left/>
      <right style="medium">
        <color theme="9" tint="-0.249977111117893"/>
      </right>
      <top/>
      <bottom/>
      <diagonal/>
    </border>
    <border>
      <left/>
      <right style="hair">
        <color indexed="5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indexed="5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 style="medium">
        <color indexed="53"/>
      </left>
      <right/>
      <top style="medium">
        <color theme="9" tint="-0.249977111117893"/>
      </top>
      <bottom/>
      <diagonal/>
    </border>
    <border>
      <left style="medium">
        <color indexed="5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 style="medium">
        <color indexed="53"/>
      </left>
      <right style="medium">
        <color indexed="53"/>
      </right>
      <top/>
      <bottom style="medium">
        <color theme="9" tint="-0.249977111117893"/>
      </bottom>
      <diagonal/>
    </border>
    <border>
      <left style="hair">
        <color indexed="53"/>
      </left>
      <right style="medium">
        <color indexed="53"/>
      </right>
      <top/>
      <bottom style="medium">
        <color theme="9" tint="-0.249977111117893"/>
      </bottom>
      <diagonal/>
    </border>
    <border>
      <left style="hair">
        <color indexed="5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indexed="53"/>
      </left>
      <right style="medium">
        <color indexed="53"/>
      </right>
      <top style="hair">
        <color indexed="5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hair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hair">
        <color indexed="53"/>
      </right>
      <top style="medium">
        <color theme="9" tint="-0.249977111117893"/>
      </top>
      <bottom/>
      <diagonal/>
    </border>
    <border>
      <left style="hair">
        <color indexed="53"/>
      </left>
      <right style="hair">
        <color indexed="53"/>
      </right>
      <top style="medium">
        <color theme="9" tint="-0.249977111117893"/>
      </top>
      <bottom/>
      <diagonal/>
    </border>
    <border>
      <left style="hair">
        <color indexed="53"/>
      </left>
      <right/>
      <top style="medium">
        <color theme="9" tint="-0.249977111117893"/>
      </top>
      <bottom/>
      <diagonal/>
    </border>
    <border>
      <left style="hair">
        <color indexed="53"/>
      </left>
      <right style="medium">
        <color indexed="53"/>
      </right>
      <top style="medium">
        <color theme="9" tint="-0.249977111117893"/>
      </top>
      <bottom/>
      <diagonal/>
    </border>
    <border>
      <left style="hair">
        <color indexed="5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hair">
        <color indexed="53"/>
      </left>
      <right style="medium">
        <color theme="9" tint="-0.249977111117893"/>
      </right>
      <top style="hair">
        <color indexed="53"/>
      </top>
      <bottom/>
      <diagonal/>
    </border>
    <border>
      <left style="medium">
        <color theme="9" tint="-0.249977111117893"/>
      </left>
      <right style="hair">
        <color indexed="53"/>
      </right>
      <top style="medium">
        <color indexed="53"/>
      </top>
      <bottom style="medium">
        <color theme="9" tint="-0.249977111117893"/>
      </bottom>
      <diagonal/>
    </border>
    <border>
      <left style="hair">
        <color indexed="53"/>
      </left>
      <right style="hair">
        <color indexed="53"/>
      </right>
      <top style="medium">
        <color indexed="53"/>
      </top>
      <bottom style="medium">
        <color theme="9" tint="-0.249977111117893"/>
      </bottom>
      <diagonal/>
    </border>
    <border>
      <left style="hair">
        <color indexed="53"/>
      </left>
      <right/>
      <top style="medium">
        <color indexed="53"/>
      </top>
      <bottom style="medium">
        <color theme="9" tint="-0.249977111117893"/>
      </bottom>
      <diagonal/>
    </border>
    <border>
      <left style="hair">
        <color indexed="53"/>
      </left>
      <right style="medium">
        <color indexed="53"/>
      </right>
      <top style="medium">
        <color indexed="53"/>
      </top>
      <bottom style="medium">
        <color theme="9" tint="-0.249977111117893"/>
      </bottom>
      <diagonal/>
    </border>
    <border>
      <left style="hair">
        <color indexed="53"/>
      </left>
      <right style="medium">
        <color theme="9" tint="-0.249977111117893"/>
      </right>
      <top style="medium">
        <color indexed="53"/>
      </top>
      <bottom style="medium">
        <color theme="9" tint="-0.249977111117893"/>
      </bottom>
      <diagonal/>
    </border>
    <border>
      <left style="medium">
        <color theme="9" tint="-0.249977111117893"/>
      </left>
      <right style="hair">
        <color indexed="53"/>
      </right>
      <top/>
      <bottom style="medium">
        <color theme="9" tint="-0.249977111117893"/>
      </bottom>
      <diagonal/>
    </border>
    <border>
      <left style="hair">
        <color indexed="53"/>
      </left>
      <right style="hair">
        <color indexed="53"/>
      </right>
      <top/>
      <bottom style="medium">
        <color theme="9" tint="-0.249977111117893"/>
      </bottom>
      <diagonal/>
    </border>
    <border>
      <left/>
      <right style="medium">
        <color indexed="53"/>
      </right>
      <top/>
      <bottom style="medium">
        <color theme="9" tint="-0.249977111117893"/>
      </bottom>
      <diagonal/>
    </border>
    <border>
      <left/>
      <right style="medium">
        <color indexed="53"/>
      </right>
      <top style="medium">
        <color theme="9" tint="-0.249977111117893"/>
      </top>
      <bottom style="hair">
        <color indexed="53"/>
      </bottom>
      <diagonal/>
    </border>
    <border>
      <left style="hair">
        <color indexed="53"/>
      </left>
      <right/>
      <top style="hair">
        <color indexed="53"/>
      </top>
      <bottom style="medium">
        <color theme="9" tint="-0.249977111117893"/>
      </bottom>
      <diagonal/>
    </border>
    <border>
      <left/>
      <right style="thin">
        <color indexed="5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 style="hair">
        <color indexed="5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hair">
        <color indexed="53"/>
      </top>
      <bottom/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indexed="53"/>
      </bottom>
      <diagonal/>
    </border>
    <border>
      <left style="medium">
        <color theme="9" tint="-0.249977111117893"/>
      </left>
      <right/>
      <top style="medium">
        <color indexed="53"/>
      </top>
      <bottom style="hair">
        <color indexed="5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theme="9" tint="-0.249977111117893"/>
      </right>
      <top style="thin">
        <color indexed="53"/>
      </top>
      <bottom style="thin">
        <color indexed="5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hair">
        <color indexed="53"/>
      </bottom>
      <diagonal/>
    </border>
    <border>
      <left style="medium">
        <color theme="9" tint="-0.249977111117893"/>
      </left>
      <right/>
      <top style="thin">
        <color indexed="53"/>
      </top>
      <bottom style="thin">
        <color indexed="5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</borders>
  <cellStyleXfs count="5">
    <xf numFmtId="0" fontId="0" fillId="0" borderId="0"/>
    <xf numFmtId="17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</cellStyleXfs>
  <cellXfs count="67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7" fillId="0" borderId="0" xfId="0" applyFont="1"/>
    <xf numFmtId="0" fontId="9" fillId="0" borderId="0" xfId="0" applyFont="1"/>
    <xf numFmtId="189" fontId="8" fillId="0" borderId="1" xfId="1" applyNumberFormat="1" applyFont="1" applyBorder="1" applyAlignment="1">
      <alignment horizontal="right"/>
    </xf>
    <xf numFmtId="190" fontId="8" fillId="0" borderId="1" xfId="1" applyNumberFormat="1" applyFont="1" applyBorder="1"/>
    <xf numFmtId="190" fontId="8" fillId="0" borderId="2" xfId="1" applyNumberFormat="1" applyFont="1" applyBorder="1"/>
    <xf numFmtId="0" fontId="8" fillId="0" borderId="1" xfId="0" applyFont="1" applyBorder="1" applyAlignment="1">
      <alignment horizontal="right"/>
    </xf>
    <xf numFmtId="190" fontId="8" fillId="0" borderId="1" xfId="0" applyNumberFormat="1" applyFont="1" applyBorder="1"/>
    <xf numFmtId="190" fontId="8" fillId="0" borderId="2" xfId="0" applyNumberFormat="1" applyFont="1" applyBorder="1"/>
    <xf numFmtId="0" fontId="8" fillId="0" borderId="3" xfId="0" applyFont="1" applyBorder="1" applyAlignment="1">
      <alignment horizontal="right"/>
    </xf>
    <xf numFmtId="190" fontId="8" fillId="0" borderId="3" xfId="0" applyNumberFormat="1" applyFont="1" applyBorder="1"/>
    <xf numFmtId="190" fontId="8" fillId="0" borderId="4" xfId="0" applyNumberFormat="1" applyFont="1" applyBorder="1"/>
    <xf numFmtId="0" fontId="7" fillId="2" borderId="5" xfId="0" applyFont="1" applyFill="1" applyBorder="1"/>
    <xf numFmtId="0" fontId="7" fillId="2" borderId="6" xfId="0" applyFont="1" applyFill="1" applyBorder="1" applyAlignment="1">
      <alignment horizontal="right"/>
    </xf>
    <xf numFmtId="190" fontId="7" fillId="2" borderId="6" xfId="0" applyNumberFormat="1" applyFont="1" applyFill="1" applyBorder="1"/>
    <xf numFmtId="190" fontId="7" fillId="2" borderId="7" xfId="0" applyNumberFormat="1" applyFont="1" applyFill="1" applyBorder="1"/>
    <xf numFmtId="0" fontId="10" fillId="0" borderId="0" xfId="0" applyFont="1"/>
    <xf numFmtId="0" fontId="13" fillId="0" borderId="0" xfId="0" applyFont="1"/>
    <xf numFmtId="0" fontId="12" fillId="0" borderId="0" xfId="0" applyFont="1" applyBorder="1" applyAlignment="1">
      <alignment horizontal="right"/>
    </xf>
    <xf numFmtId="0" fontId="3" fillId="0" borderId="0" xfId="0" applyFont="1" applyFill="1" applyBorder="1"/>
    <xf numFmtId="179" fontId="3" fillId="0" borderId="1" xfId="1" applyFont="1" applyBorder="1"/>
    <xf numFmtId="179" fontId="3" fillId="0" borderId="2" xfId="1" applyFont="1" applyBorder="1"/>
    <xf numFmtId="0" fontId="3" fillId="0" borderId="8" xfId="0" applyFont="1" applyBorder="1"/>
    <xf numFmtId="179" fontId="3" fillId="0" borderId="1" xfId="1" applyFont="1" applyFill="1" applyBorder="1"/>
    <xf numFmtId="0" fontId="3" fillId="0" borderId="8" xfId="0" applyFont="1" applyBorder="1" applyAlignment="1">
      <alignment horizontal="justify"/>
    </xf>
    <xf numFmtId="0" fontId="3" fillId="0" borderId="9" xfId="0" applyFont="1" applyBorder="1"/>
    <xf numFmtId="179" fontId="3" fillId="0" borderId="10" xfId="1" applyFont="1" applyBorder="1"/>
    <xf numFmtId="179" fontId="3" fillId="0" borderId="11" xfId="1" applyFont="1" applyBorder="1"/>
    <xf numFmtId="0" fontId="12" fillId="2" borderId="8" xfId="0" applyFont="1" applyFill="1" applyBorder="1" applyAlignment="1">
      <alignment horizontal="right"/>
    </xf>
    <xf numFmtId="179" fontId="3" fillId="2" borderId="1" xfId="1" applyFont="1" applyFill="1" applyBorder="1"/>
    <xf numFmtId="179" fontId="3" fillId="2" borderId="2" xfId="1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6" fillId="3" borderId="14" xfId="0" applyFont="1" applyFill="1" applyBorder="1"/>
    <xf numFmtId="0" fontId="12" fillId="0" borderId="15" xfId="0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Fill="1" applyBorder="1"/>
    <xf numFmtId="0" fontId="11" fillId="2" borderId="5" xfId="0" applyFont="1" applyFill="1" applyBorder="1" applyAlignment="1">
      <alignment horizontal="right"/>
    </xf>
    <xf numFmtId="0" fontId="7" fillId="2" borderId="6" xfId="0" applyFont="1" applyFill="1" applyBorder="1"/>
    <xf numFmtId="179" fontId="7" fillId="2" borderId="7" xfId="1" applyFont="1" applyFill="1" applyBorder="1"/>
    <xf numFmtId="0" fontId="2" fillId="0" borderId="8" xfId="0" applyFont="1" applyBorder="1" applyAlignment="1">
      <alignment horizontal="justify"/>
    </xf>
    <xf numFmtId="179" fontId="2" fillId="0" borderId="1" xfId="1" applyFont="1" applyBorder="1" applyAlignment="1">
      <alignment horizontal="justify"/>
    </xf>
    <xf numFmtId="179" fontId="2" fillId="0" borderId="2" xfId="1" applyFont="1" applyBorder="1"/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189" fontId="2" fillId="0" borderId="1" xfId="1" applyNumberFormat="1" applyFont="1" applyBorder="1" applyAlignment="1">
      <alignment horizontal="justify"/>
    </xf>
    <xf numFmtId="179" fontId="2" fillId="0" borderId="0" xfId="0" applyNumberFormat="1" applyFont="1"/>
    <xf numFmtId="0" fontId="2" fillId="0" borderId="0" xfId="0" applyFont="1" applyFill="1" applyBorder="1" applyAlignment="1">
      <alignment horizontal="justify"/>
    </xf>
    <xf numFmtId="171" fontId="2" fillId="0" borderId="0" xfId="0" applyNumberFormat="1" applyFont="1"/>
    <xf numFmtId="179" fontId="2" fillId="0" borderId="0" xfId="1" applyFont="1" applyBorder="1" applyAlignment="1">
      <alignment horizontal="justify"/>
    </xf>
    <xf numFmtId="171" fontId="2" fillId="2" borderId="19" xfId="0" applyNumberFormat="1" applyFont="1" applyFill="1" applyBorder="1"/>
    <xf numFmtId="171" fontId="2" fillId="0" borderId="19" xfId="0" applyNumberFormat="1" applyFont="1" applyBorder="1"/>
    <xf numFmtId="179" fontId="2" fillId="0" borderId="0" xfId="1" applyFont="1"/>
    <xf numFmtId="0" fontId="14" fillId="0" borderId="0" xfId="0" applyFont="1"/>
    <xf numFmtId="189" fontId="2" fillId="0" borderId="0" xfId="1" applyNumberFormat="1" applyFont="1" applyBorder="1"/>
    <xf numFmtId="179" fontId="2" fillId="0" borderId="0" xfId="1" applyFont="1" applyBorder="1"/>
    <xf numFmtId="179" fontId="2" fillId="0" borderId="1" xfId="1" applyFont="1" applyBorder="1"/>
    <xf numFmtId="179" fontId="2" fillId="0" borderId="20" xfId="1" applyFont="1" applyBorder="1"/>
    <xf numFmtId="179" fontId="2" fillId="0" borderId="21" xfId="1" applyFont="1" applyBorder="1"/>
    <xf numFmtId="179" fontId="2" fillId="0" borderId="17" xfId="1" applyFont="1" applyBorder="1"/>
    <xf numFmtId="179" fontId="2" fillId="0" borderId="18" xfId="1" applyFont="1" applyBorder="1" applyAlignment="1">
      <alignment vertical="center" wrapText="1"/>
    </xf>
    <xf numFmtId="179" fontId="2" fillId="0" borderId="2" xfId="1" applyNumberFormat="1" applyFont="1" applyBorder="1"/>
    <xf numFmtId="0" fontId="2" fillId="0" borderId="1" xfId="0" applyFont="1" applyBorder="1" applyAlignment="1">
      <alignment vertical="center" wrapText="1"/>
    </xf>
    <xf numFmtId="179" fontId="2" fillId="0" borderId="1" xfId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79" fontId="2" fillId="0" borderId="2" xfId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10" fontId="2" fillId="0" borderId="20" xfId="0" applyNumberFormat="1" applyFont="1" applyBorder="1" applyAlignment="1">
      <alignment vertical="center" wrapText="1"/>
    </xf>
    <xf numFmtId="179" fontId="2" fillId="0" borderId="20" xfId="1" applyFont="1" applyBorder="1" applyAlignment="1">
      <alignment vertical="center" wrapText="1"/>
    </xf>
    <xf numFmtId="179" fontId="2" fillId="0" borderId="21" xfId="1" applyFont="1" applyBorder="1" applyAlignment="1">
      <alignment vertical="center" wrapText="1"/>
    </xf>
    <xf numFmtId="0" fontId="2" fillId="0" borderId="8" xfId="0" applyFont="1" applyBorder="1" applyAlignment="1">
      <alignment horizontal="justify" vertical="center" wrapText="1"/>
    </xf>
    <xf numFmtId="179" fontId="2" fillId="0" borderId="1" xfId="1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2" borderId="22" xfId="0" applyFont="1" applyFill="1" applyBorder="1" applyAlignment="1">
      <alignment horizontal="justify"/>
    </xf>
    <xf numFmtId="0" fontId="2" fillId="0" borderId="1" xfId="0" applyFont="1" applyBorder="1"/>
    <xf numFmtId="0" fontId="7" fillId="2" borderId="6" xfId="0" applyFont="1" applyFill="1" applyBorder="1" applyAlignment="1">
      <alignment horizontal="left"/>
    </xf>
    <xf numFmtId="179" fontId="7" fillId="2" borderId="7" xfId="1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179" fontId="2" fillId="0" borderId="0" xfId="1" applyFont="1" applyFill="1" applyBorder="1"/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179" fontId="7" fillId="2" borderId="25" xfId="1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189" fontId="2" fillId="0" borderId="2" xfId="1" applyNumberFormat="1" applyFont="1" applyBorder="1"/>
    <xf numFmtId="179" fontId="2" fillId="0" borderId="0" xfId="1" applyFont="1" applyFill="1" applyBorder="1" applyAlignment="1">
      <alignment horizontal="justify"/>
    </xf>
    <xf numFmtId="0" fontId="2" fillId="0" borderId="0" xfId="0" applyFont="1" applyFill="1"/>
    <xf numFmtId="10" fontId="2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179" fontId="2" fillId="0" borderId="0" xfId="1" applyNumberFormat="1" applyFont="1"/>
    <xf numFmtId="179" fontId="2" fillId="0" borderId="0" xfId="1" applyNumberFormat="1" applyFont="1" applyFill="1" applyBorder="1"/>
    <xf numFmtId="179" fontId="14" fillId="0" borderId="0" xfId="1" applyFont="1" applyBorder="1" applyAlignment="1">
      <alignment horizontal="center"/>
    </xf>
    <xf numFmtId="0" fontId="14" fillId="0" borderId="0" xfId="0" applyFont="1" applyBorder="1"/>
    <xf numFmtId="189" fontId="2" fillId="0" borderId="11" xfId="1" applyNumberFormat="1" applyFont="1" applyBorder="1"/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0" fontId="2" fillId="0" borderId="0" xfId="0" applyNumberFormat="1" applyFont="1" applyBorder="1" applyAlignment="1">
      <alignment vertical="center" wrapText="1"/>
    </xf>
    <xf numFmtId="179" fontId="2" fillId="0" borderId="0" xfId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0" fontId="2" fillId="0" borderId="3" xfId="0" applyNumberFormat="1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79" fontId="2" fillId="0" borderId="17" xfId="1" applyFont="1" applyBorder="1" applyAlignment="1">
      <alignment vertical="center" wrapText="1"/>
    </xf>
    <xf numFmtId="10" fontId="2" fillId="0" borderId="17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9" fontId="2" fillId="0" borderId="10" xfId="1" applyFont="1" applyBorder="1" applyAlignment="1">
      <alignment vertical="center" wrapText="1"/>
    </xf>
    <xf numFmtId="10" fontId="2" fillId="0" borderId="10" xfId="0" applyNumberFormat="1" applyFont="1" applyBorder="1" applyAlignment="1">
      <alignment vertical="center" wrapText="1"/>
    </xf>
    <xf numFmtId="179" fontId="2" fillId="0" borderId="11" xfId="1" applyFont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vertical="center" wrapText="1"/>
    </xf>
    <xf numFmtId="179" fontId="2" fillId="0" borderId="18" xfId="1" applyFont="1" applyBorder="1"/>
    <xf numFmtId="179" fontId="2" fillId="0" borderId="26" xfId="1" applyFont="1" applyBorder="1"/>
    <xf numFmtId="179" fontId="2" fillId="0" borderId="1" xfId="0" applyNumberFormat="1" applyFont="1" applyBorder="1" applyAlignment="1">
      <alignment horizontal="justify"/>
    </xf>
    <xf numFmtId="179" fontId="2" fillId="0" borderId="1" xfId="1" applyNumberFormat="1" applyFont="1" applyBorder="1" applyAlignment="1">
      <alignment horizontal="justify"/>
    </xf>
    <xf numFmtId="189" fontId="2" fillId="0" borderId="1" xfId="0" applyNumberFormat="1" applyFont="1" applyBorder="1" applyAlignment="1">
      <alignment horizontal="justify"/>
    </xf>
    <xf numFmtId="189" fontId="2" fillId="0" borderId="0" xfId="0" applyNumberFormat="1" applyFont="1"/>
    <xf numFmtId="189" fontId="2" fillId="0" borderId="0" xfId="1" applyNumberFormat="1" applyFont="1"/>
    <xf numFmtId="0" fontId="5" fillId="0" borderId="0" xfId="0" applyFont="1" applyBorder="1"/>
    <xf numFmtId="0" fontId="19" fillId="0" borderId="0" xfId="0" applyFont="1"/>
    <xf numFmtId="179" fontId="2" fillId="0" borderId="3" xfId="1" applyFont="1" applyBorder="1" applyAlignment="1">
      <alignment vertical="center" wrapText="1"/>
    </xf>
    <xf numFmtId="0" fontId="14" fillId="0" borderId="27" xfId="0" applyFont="1" applyBorder="1" applyAlignment="1">
      <alignment horizontal="center" wrapText="1"/>
    </xf>
    <xf numFmtId="179" fontId="2" fillId="2" borderId="28" xfId="1" applyFont="1" applyFill="1" applyBorder="1" applyAlignment="1">
      <alignment horizontal="justify"/>
    </xf>
    <xf numFmtId="179" fontId="2" fillId="0" borderId="26" xfId="1" applyFont="1" applyBorder="1" applyAlignment="1">
      <alignment horizontal="justify" vertical="center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179" fontId="21" fillId="0" borderId="1" xfId="1" applyFont="1" applyBorder="1" applyAlignment="1">
      <alignment horizontal="justify"/>
    </xf>
    <xf numFmtId="0" fontId="2" fillId="0" borderId="0" xfId="0" applyFont="1" applyBorder="1" applyAlignment="1"/>
    <xf numFmtId="0" fontId="4" fillId="0" borderId="0" xfId="0" applyFont="1" applyBorder="1" applyAlignment="1"/>
    <xf numFmtId="0" fontId="14" fillId="2" borderId="12" xfId="0" applyFont="1" applyFill="1" applyBorder="1"/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190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0" xfId="0" applyFont="1" applyFill="1" applyBorder="1"/>
    <xf numFmtId="190" fontId="2" fillId="2" borderId="0" xfId="0" applyNumberFormat="1" applyFont="1" applyFill="1" applyBorder="1"/>
    <xf numFmtId="0" fontId="2" fillId="0" borderId="33" xfId="0" applyFont="1" applyBorder="1" applyAlignment="1">
      <alignment horizontal="center"/>
    </xf>
    <xf numFmtId="190" fontId="2" fillId="0" borderId="0" xfId="0" applyNumberFormat="1" applyFont="1" applyBorder="1"/>
    <xf numFmtId="0" fontId="2" fillId="0" borderId="34" xfId="0" applyFont="1" applyBorder="1"/>
    <xf numFmtId="190" fontId="14" fillId="0" borderId="6" xfId="0" applyNumberFormat="1" applyFont="1" applyBorder="1"/>
    <xf numFmtId="0" fontId="2" fillId="0" borderId="0" xfId="0" applyFont="1" applyBorder="1" applyAlignment="1">
      <alignment horizontal="left"/>
    </xf>
    <xf numFmtId="0" fontId="12" fillId="0" borderId="15" xfId="0" applyFont="1" applyFill="1" applyBorder="1" applyAlignment="1">
      <alignment horizontal="right"/>
    </xf>
    <xf numFmtId="179" fontId="3" fillId="0" borderId="3" xfId="1" applyFont="1" applyFill="1" applyBorder="1"/>
    <xf numFmtId="179" fontId="3" fillId="0" borderId="4" xfId="1" applyFont="1" applyFill="1" applyBorder="1"/>
    <xf numFmtId="0" fontId="3" fillId="0" borderId="0" xfId="0" applyFont="1" applyFill="1"/>
    <xf numFmtId="0" fontId="3" fillId="0" borderId="35" xfId="0" applyFont="1" applyBorder="1"/>
    <xf numFmtId="0" fontId="3" fillId="0" borderId="36" xfId="0" applyFont="1" applyBorder="1"/>
    <xf numFmtId="0" fontId="5" fillId="2" borderId="73" xfId="0" applyFont="1" applyFill="1" applyBorder="1" applyAlignment="1">
      <alignment horizontal="center"/>
    </xf>
    <xf numFmtId="0" fontId="5" fillId="2" borderId="74" xfId="0" applyFont="1" applyFill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3" fillId="0" borderId="76" xfId="0" applyFont="1" applyBorder="1"/>
    <xf numFmtId="0" fontId="3" fillId="0" borderId="36" xfId="0" applyFont="1" applyFill="1" applyBorder="1"/>
    <xf numFmtId="0" fontId="5" fillId="0" borderId="35" xfId="0" applyFont="1" applyBorder="1"/>
    <xf numFmtId="179" fontId="3" fillId="0" borderId="35" xfId="1" applyFont="1" applyBorder="1"/>
    <xf numFmtId="0" fontId="5" fillId="2" borderId="77" xfId="0" applyFont="1" applyFill="1" applyBorder="1" applyAlignment="1">
      <alignment horizontal="center"/>
    </xf>
    <xf numFmtId="0" fontId="5" fillId="0" borderId="78" xfId="0" applyFont="1" applyBorder="1"/>
    <xf numFmtId="179" fontId="3" fillId="0" borderId="78" xfId="1" applyFont="1" applyBorder="1"/>
    <xf numFmtId="0" fontId="3" fillId="0" borderId="79" xfId="0" applyFont="1" applyBorder="1"/>
    <xf numFmtId="0" fontId="3" fillId="0" borderId="80" xfId="0" applyFont="1" applyBorder="1"/>
    <xf numFmtId="0" fontId="5" fillId="2" borderId="81" xfId="0" applyFont="1" applyFill="1" applyBorder="1" applyAlignment="1">
      <alignment horizontal="left"/>
    </xf>
    <xf numFmtId="0" fontId="5" fillId="2" borderId="82" xfId="0" applyFont="1" applyFill="1" applyBorder="1" applyAlignment="1">
      <alignment horizontal="center"/>
    </xf>
    <xf numFmtId="0" fontId="5" fillId="2" borderId="83" xfId="0" applyFont="1" applyFill="1" applyBorder="1" applyAlignment="1">
      <alignment horizontal="center"/>
    </xf>
    <xf numFmtId="0" fontId="3" fillId="0" borderId="84" xfId="0" applyFont="1" applyBorder="1"/>
    <xf numFmtId="0" fontId="5" fillId="2" borderId="85" xfId="0" applyFont="1" applyFill="1" applyBorder="1" applyAlignment="1">
      <alignment horizontal="center"/>
    </xf>
    <xf numFmtId="0" fontId="5" fillId="2" borderId="86" xfId="0" applyFont="1" applyFill="1" applyBorder="1" applyAlignment="1">
      <alignment horizontal="center"/>
    </xf>
    <xf numFmtId="0" fontId="5" fillId="2" borderId="87" xfId="0" applyFont="1" applyFill="1" applyBorder="1" applyAlignment="1">
      <alignment horizontal="center"/>
    </xf>
    <xf numFmtId="169" fontId="3" fillId="0" borderId="88" xfId="0" applyNumberFormat="1" applyFont="1" applyBorder="1"/>
    <xf numFmtId="169" fontId="3" fillId="0" borderId="1" xfId="0" applyNumberFormat="1" applyFont="1" applyBorder="1"/>
    <xf numFmtId="169" fontId="3" fillId="0" borderId="35" xfId="0" applyNumberFormat="1" applyFont="1" applyBorder="1"/>
    <xf numFmtId="169" fontId="3" fillId="0" borderId="89" xfId="0" applyNumberFormat="1" applyFont="1" applyBorder="1"/>
    <xf numFmtId="169" fontId="3" fillId="0" borderId="3" xfId="0" applyNumberFormat="1" applyFont="1" applyBorder="1"/>
    <xf numFmtId="169" fontId="3" fillId="0" borderId="36" xfId="0" applyNumberFormat="1" applyFont="1" applyBorder="1"/>
    <xf numFmtId="200" fontId="3" fillId="0" borderId="78" xfId="0" applyNumberFormat="1" applyFont="1" applyBorder="1"/>
    <xf numFmtId="0" fontId="3" fillId="0" borderId="90" xfId="0" applyFont="1" applyBorder="1"/>
    <xf numFmtId="200" fontId="3" fillId="0" borderId="91" xfId="0" applyNumberFormat="1" applyFont="1" applyBorder="1"/>
    <xf numFmtId="200" fontId="3" fillId="0" borderId="92" xfId="0" applyNumberFormat="1" applyFont="1" applyBorder="1"/>
    <xf numFmtId="0" fontId="3" fillId="0" borderId="85" xfId="0" applyFont="1" applyBorder="1"/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9" fontId="3" fillId="0" borderId="86" xfId="3" applyFont="1" applyBorder="1"/>
    <xf numFmtId="0" fontId="14" fillId="0" borderId="0" xfId="0" applyFont="1" applyFill="1" applyBorder="1" applyAlignment="1">
      <alignment horizontal="right"/>
    </xf>
    <xf numFmtId="189" fontId="14" fillId="0" borderId="0" xfId="1" applyNumberFormat="1" applyFont="1" applyFill="1" applyBorder="1"/>
    <xf numFmtId="179" fontId="14" fillId="0" borderId="0" xfId="1" applyNumberFormat="1" applyFont="1" applyFill="1" applyBorder="1"/>
    <xf numFmtId="0" fontId="14" fillId="0" borderId="0" xfId="0" applyFont="1" applyFill="1" applyBorder="1"/>
    <xf numFmtId="0" fontId="14" fillId="0" borderId="0" xfId="0" applyFont="1" applyFill="1"/>
    <xf numFmtId="179" fontId="5" fillId="2" borderId="83" xfId="0" applyNumberFormat="1" applyFont="1" applyFill="1" applyBorder="1" applyAlignment="1">
      <alignment horizontal="center"/>
    </xf>
    <xf numFmtId="0" fontId="5" fillId="0" borderId="88" xfId="0" applyFont="1" applyBorder="1"/>
    <xf numFmtId="0" fontId="3" fillId="0" borderId="93" xfId="0" applyFont="1" applyFill="1" applyBorder="1"/>
    <xf numFmtId="0" fontId="5" fillId="2" borderId="81" xfId="0" applyFont="1" applyFill="1" applyBorder="1" applyAlignment="1"/>
    <xf numFmtId="0" fontId="5" fillId="2" borderId="82" xfId="0" applyFont="1" applyFill="1" applyBorder="1" applyAlignment="1"/>
    <xf numFmtId="200" fontId="3" fillId="0" borderId="89" xfId="1" applyNumberFormat="1" applyFont="1" applyBorder="1"/>
    <xf numFmtId="200" fontId="3" fillId="0" borderId="89" xfId="2" applyNumberFormat="1" applyFont="1" applyBorder="1"/>
    <xf numFmtId="200" fontId="5" fillId="2" borderId="83" xfId="0" applyNumberFormat="1" applyFont="1" applyFill="1" applyBorder="1" applyAlignment="1">
      <alignment horizontal="center"/>
    </xf>
    <xf numFmtId="0" fontId="3" fillId="0" borderId="94" xfId="0" applyFont="1" applyBorder="1"/>
    <xf numFmtId="0" fontId="3" fillId="0" borderId="95" xfId="0" applyFont="1" applyBorder="1"/>
    <xf numFmtId="200" fontId="3" fillId="0" borderId="88" xfId="0" applyNumberFormat="1" applyFont="1" applyBorder="1"/>
    <xf numFmtId="9" fontId="5" fillId="2" borderId="83" xfId="3" applyFont="1" applyFill="1" applyBorder="1" applyAlignment="1">
      <alignment horizontal="right"/>
    </xf>
    <xf numFmtId="200" fontId="3" fillId="0" borderId="39" xfId="0" applyNumberFormat="1" applyFont="1" applyBorder="1"/>
    <xf numFmtId="200" fontId="3" fillId="0" borderId="40" xfId="0" applyNumberFormat="1" applyFont="1" applyBorder="1"/>
    <xf numFmtId="0" fontId="25" fillId="0" borderId="94" xfId="0" applyFont="1" applyBorder="1"/>
    <xf numFmtId="0" fontId="5" fillId="0" borderId="41" xfId="0" applyFont="1" applyBorder="1" applyAlignment="1"/>
    <xf numFmtId="0" fontId="0" fillId="0" borderId="42" xfId="0" applyBorder="1" applyAlignment="1"/>
    <xf numFmtId="0" fontId="0" fillId="0" borderId="43" xfId="0" applyBorder="1" applyAlignment="1"/>
    <xf numFmtId="0" fontId="2" fillId="0" borderId="3" xfId="0" applyFont="1" applyBorder="1" applyAlignment="1">
      <alignment horizontal="justify"/>
    </xf>
    <xf numFmtId="179" fontId="2" fillId="0" borderId="3" xfId="1" applyFont="1" applyBorder="1" applyAlignment="1">
      <alignment horizontal="justify"/>
    </xf>
    <xf numFmtId="179" fontId="2" fillId="0" borderId="4" xfId="1" applyFont="1" applyBorder="1" applyAlignment="1">
      <alignment horizontal="justify"/>
    </xf>
    <xf numFmtId="189" fontId="2" fillId="0" borderId="10" xfId="0" applyNumberFormat="1" applyFont="1" applyBorder="1" applyAlignment="1">
      <alignment horizontal="justify"/>
    </xf>
    <xf numFmtId="0" fontId="2" fillId="5" borderId="41" xfId="0" applyFont="1" applyFill="1" applyBorder="1" applyAlignment="1"/>
    <xf numFmtId="0" fontId="2" fillId="0" borderId="41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89" fontId="2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/>
    <xf numFmtId="189" fontId="2" fillId="0" borderId="0" xfId="1" applyNumberFormat="1" applyFont="1" applyFill="1" applyBorder="1"/>
    <xf numFmtId="0" fontId="2" fillId="0" borderId="96" xfId="0" applyFont="1" applyFill="1" applyBorder="1"/>
    <xf numFmtId="0" fontId="10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0" fontId="2" fillId="2" borderId="97" xfId="0" applyFont="1" applyFill="1" applyBorder="1" applyAlignment="1">
      <alignment horizontal="center"/>
    </xf>
    <xf numFmtId="0" fontId="2" fillId="2" borderId="98" xfId="0" applyFont="1" applyFill="1" applyBorder="1" applyAlignment="1">
      <alignment horizontal="center"/>
    </xf>
    <xf numFmtId="0" fontId="2" fillId="2" borderId="99" xfId="0" applyFont="1" applyFill="1" applyBorder="1" applyAlignment="1">
      <alignment horizontal="center"/>
    </xf>
    <xf numFmtId="0" fontId="2" fillId="0" borderId="100" xfId="0" applyFont="1" applyBorder="1" applyAlignment="1">
      <alignment horizontal="left"/>
    </xf>
    <xf numFmtId="0" fontId="3" fillId="0" borderId="101" xfId="0" applyFont="1" applyBorder="1"/>
    <xf numFmtId="0" fontId="24" fillId="0" borderId="102" xfId="0" applyFont="1" applyBorder="1" applyAlignment="1">
      <alignment horizontal="left" vertical="center"/>
    </xf>
    <xf numFmtId="0" fontId="3" fillId="0" borderId="103" xfId="0" applyFont="1" applyBorder="1"/>
    <xf numFmtId="200" fontId="3" fillId="0" borderId="104" xfId="1" applyNumberFormat="1" applyFont="1" applyBorder="1"/>
    <xf numFmtId="200" fontId="3" fillId="0" borderId="105" xfId="1" applyNumberFormat="1" applyFont="1" applyBorder="1"/>
    <xf numFmtId="200" fontId="3" fillId="0" borderId="106" xfId="1" applyNumberFormat="1" applyFont="1" applyBorder="1"/>
    <xf numFmtId="0" fontId="5" fillId="0" borderId="107" xfId="0" applyFont="1" applyBorder="1"/>
    <xf numFmtId="200" fontId="3" fillId="0" borderId="108" xfId="1" applyNumberFormat="1" applyFont="1" applyBorder="1"/>
    <xf numFmtId="0" fontId="5" fillId="2" borderId="81" xfId="0" applyFont="1" applyFill="1" applyBorder="1" applyAlignment="1">
      <alignment horizontal="center"/>
    </xf>
    <xf numFmtId="0" fontId="5" fillId="2" borderId="82" xfId="0" applyFont="1" applyFill="1" applyBorder="1" applyAlignment="1">
      <alignment horizontal="center"/>
    </xf>
    <xf numFmtId="0" fontId="5" fillId="2" borderId="83" xfId="0" applyFont="1" applyFill="1" applyBorder="1" applyAlignment="1">
      <alignment horizontal="center"/>
    </xf>
    <xf numFmtId="0" fontId="5" fillId="2" borderId="81" xfId="0" applyFont="1" applyFill="1" applyBorder="1" applyAlignment="1">
      <alignment horizontal="center" vertical="center"/>
    </xf>
    <xf numFmtId="201" fontId="19" fillId="0" borderId="42" xfId="0" applyNumberFormat="1" applyFont="1" applyBorder="1" applyAlignment="1"/>
    <xf numFmtId="4" fontId="2" fillId="0" borderId="40" xfId="1" applyNumberFormat="1" applyFont="1" applyBorder="1" applyAlignment="1">
      <alignment horizontal="right"/>
    </xf>
    <xf numFmtId="179" fontId="2" fillId="0" borderId="109" xfId="1" applyFont="1" applyBorder="1" applyAlignment="1">
      <alignment horizontal="justify"/>
    </xf>
    <xf numFmtId="4" fontId="2" fillId="0" borderId="95" xfId="1" applyNumberFormat="1" applyFont="1" applyBorder="1" applyAlignment="1">
      <alignment horizontal="right"/>
    </xf>
    <xf numFmtId="179" fontId="21" fillId="0" borderId="95" xfId="1" applyFont="1" applyBorder="1" applyAlignment="1">
      <alignment horizontal="justify"/>
    </xf>
    <xf numFmtId="179" fontId="20" fillId="0" borderId="95" xfId="0" applyNumberFormat="1" applyFont="1" applyBorder="1"/>
    <xf numFmtId="4" fontId="2" fillId="0" borderId="95" xfId="0" applyNumberFormat="1" applyFont="1" applyBorder="1" applyAlignment="1">
      <alignment horizontal="right"/>
    </xf>
    <xf numFmtId="179" fontId="2" fillId="0" borderId="77" xfId="1" applyFont="1" applyBorder="1" applyAlignment="1">
      <alignment horizontal="justify"/>
    </xf>
    <xf numFmtId="4" fontId="2" fillId="0" borderId="78" xfId="1" applyNumberFormat="1" applyFont="1" applyBorder="1" applyAlignment="1">
      <alignment horizontal="right"/>
    </xf>
    <xf numFmtId="179" fontId="21" fillId="0" borderId="78" xfId="1" applyFont="1" applyBorder="1"/>
    <xf numFmtId="179" fontId="21" fillId="0" borderId="78" xfId="1" applyFont="1" applyBorder="1" applyAlignment="1">
      <alignment horizontal="justify"/>
    </xf>
    <xf numFmtId="179" fontId="20" fillId="0" borderId="78" xfId="0" applyNumberFormat="1" applyFont="1" applyBorder="1"/>
    <xf numFmtId="4" fontId="2" fillId="0" borderId="78" xfId="0" applyNumberFormat="1" applyFont="1" applyBorder="1" applyAlignment="1">
      <alignment horizontal="right"/>
    </xf>
    <xf numFmtId="4" fontId="2" fillId="0" borderId="91" xfId="0" applyNumberFormat="1" applyFont="1" applyBorder="1" applyAlignment="1">
      <alignment horizontal="right"/>
    </xf>
    <xf numFmtId="4" fontId="14" fillId="2" borderId="110" xfId="0" applyNumberFormat="1" applyFont="1" applyFill="1" applyBorder="1" applyAlignment="1">
      <alignment horizontal="right"/>
    </xf>
    <xf numFmtId="179" fontId="2" fillId="0" borderId="111" xfId="1" applyFont="1" applyBorder="1" applyAlignment="1">
      <alignment horizontal="justify"/>
    </xf>
    <xf numFmtId="179" fontId="21" fillId="0" borderId="40" xfId="1" applyFont="1" applyBorder="1" applyAlignment="1">
      <alignment horizontal="justify"/>
    </xf>
    <xf numFmtId="179" fontId="21" fillId="0" borderId="40" xfId="1" applyFont="1" applyBorder="1"/>
    <xf numFmtId="179" fontId="20" fillId="0" borderId="40" xfId="0" applyNumberFormat="1" applyFont="1" applyBorder="1"/>
    <xf numFmtId="4" fontId="2" fillId="0" borderId="40" xfId="0" applyNumberFormat="1" applyFont="1" applyBorder="1" applyAlignment="1">
      <alignment horizontal="right"/>
    </xf>
    <xf numFmtId="4" fontId="14" fillId="2" borderId="47" xfId="0" applyNumberFormat="1" applyFont="1" applyFill="1" applyBorder="1" applyAlignment="1">
      <alignment horizontal="right"/>
    </xf>
    <xf numFmtId="0" fontId="14" fillId="2" borderId="112" xfId="0" applyFont="1" applyFill="1" applyBorder="1" applyAlignment="1">
      <alignment horizontal="center"/>
    </xf>
    <xf numFmtId="0" fontId="14" fillId="2" borderId="86" xfId="0" applyFont="1" applyFill="1" applyBorder="1" applyAlignment="1">
      <alignment horizontal="center"/>
    </xf>
    <xf numFmtId="4" fontId="14" fillId="2" borderId="86" xfId="0" applyNumberFormat="1" applyFont="1" applyFill="1" applyBorder="1" applyAlignment="1">
      <alignment horizontal="right"/>
    </xf>
    <xf numFmtId="0" fontId="14" fillId="2" borderId="86" xfId="0" quotePrefix="1" applyFont="1" applyFill="1" applyBorder="1"/>
    <xf numFmtId="0" fontId="5" fillId="2" borderId="82" xfId="0" applyFont="1" applyFill="1" applyBorder="1" applyAlignment="1">
      <alignment horizontal="center"/>
    </xf>
    <xf numFmtId="0" fontId="5" fillId="2" borderId="81" xfId="0" applyFont="1" applyFill="1" applyBorder="1" applyAlignment="1">
      <alignment horizontal="center" vertical="center"/>
    </xf>
    <xf numFmtId="0" fontId="3" fillId="0" borderId="113" xfId="0" applyFont="1" applyFill="1" applyBorder="1"/>
    <xf numFmtId="179" fontId="3" fillId="0" borderId="113" xfId="1" applyFont="1" applyBorder="1"/>
    <xf numFmtId="0" fontId="3" fillId="0" borderId="113" xfId="0" applyFont="1" applyBorder="1" applyAlignment="1">
      <alignment horizontal="justify"/>
    </xf>
    <xf numFmtId="0" fontId="3" fillId="0" borderId="113" xfId="0" applyFont="1" applyBorder="1"/>
    <xf numFmtId="0" fontId="12" fillId="2" borderId="113" xfId="0" applyFont="1" applyFill="1" applyBorder="1" applyAlignment="1">
      <alignment horizontal="right"/>
    </xf>
    <xf numFmtId="179" fontId="3" fillId="2" borderId="113" xfId="1" applyFont="1" applyFill="1" applyBorder="1"/>
    <xf numFmtId="179" fontId="7" fillId="2" borderId="49" xfId="1" applyFont="1" applyFill="1" applyBorder="1"/>
    <xf numFmtId="0" fontId="12" fillId="0" borderId="113" xfId="0" applyFont="1" applyBorder="1" applyAlignment="1">
      <alignment horizontal="right"/>
    </xf>
    <xf numFmtId="0" fontId="14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114" xfId="0" applyFont="1" applyBorder="1" applyAlignment="1">
      <alignment horizontal="center"/>
    </xf>
    <xf numFmtId="0" fontId="14" fillId="0" borderId="115" xfId="0" applyFont="1" applyBorder="1" applyAlignment="1">
      <alignment horizontal="center"/>
    </xf>
    <xf numFmtId="189" fontId="2" fillId="0" borderId="89" xfId="1" applyNumberFormat="1" applyFont="1" applyBorder="1"/>
    <xf numFmtId="179" fontId="2" fillId="0" borderId="89" xfId="1" applyNumberFormat="1" applyFont="1" applyBorder="1"/>
    <xf numFmtId="179" fontId="2" fillId="0" borderId="116" xfId="1" applyFont="1" applyBorder="1" applyAlignment="1">
      <alignment horizontal="justify"/>
    </xf>
    <xf numFmtId="0" fontId="14" fillId="0" borderId="117" xfId="0" applyFont="1" applyBorder="1" applyAlignment="1">
      <alignment horizontal="center"/>
    </xf>
    <xf numFmtId="0" fontId="14" fillId="0" borderId="118" xfId="0" applyFont="1" applyBorder="1" applyAlignment="1">
      <alignment horizontal="center"/>
    </xf>
    <xf numFmtId="179" fontId="2" fillId="0" borderId="119" xfId="1" applyNumberFormat="1" applyFont="1" applyBorder="1"/>
    <xf numFmtId="189" fontId="2" fillId="0" borderId="88" xfId="1" applyNumberFormat="1" applyFont="1" applyBorder="1"/>
    <xf numFmtId="0" fontId="2" fillId="0" borderId="120" xfId="0" applyFont="1" applyBorder="1" applyAlignment="1">
      <alignment horizontal="justify"/>
    </xf>
    <xf numFmtId="179" fontId="2" fillId="0" borderId="120" xfId="1" applyFont="1" applyBorder="1" applyAlignment="1">
      <alignment horizontal="justify"/>
    </xf>
    <xf numFmtId="179" fontId="2" fillId="0" borderId="121" xfId="1" applyFont="1" applyBorder="1" applyAlignment="1">
      <alignment horizontal="justify"/>
    </xf>
    <xf numFmtId="179" fontId="2" fillId="0" borderId="122" xfId="1" applyFont="1" applyBorder="1" applyAlignment="1">
      <alignment horizontal="justify"/>
    </xf>
    <xf numFmtId="0" fontId="14" fillId="0" borderId="123" xfId="0" applyFont="1" applyBorder="1" applyAlignment="1">
      <alignment horizontal="center"/>
    </xf>
    <xf numFmtId="0" fontId="2" fillId="0" borderId="76" xfId="0" applyFont="1" applyBorder="1" applyAlignment="1">
      <alignment horizontal="justify"/>
    </xf>
    <xf numFmtId="179" fontId="2" fillId="0" borderId="89" xfId="1" applyFont="1" applyBorder="1" applyAlignment="1">
      <alignment horizontal="justify"/>
    </xf>
    <xf numFmtId="179" fontId="2" fillId="0" borderId="89" xfId="1" applyFont="1" applyBorder="1" applyAlignment="1">
      <alignment horizontal="justify" vertical="center"/>
    </xf>
    <xf numFmtId="0" fontId="2" fillId="2" borderId="90" xfId="0" applyFont="1" applyFill="1" applyBorder="1" applyAlignment="1">
      <alignment horizontal="justify"/>
    </xf>
    <xf numFmtId="179" fontId="2" fillId="2" borderId="120" xfId="1" applyFont="1" applyFill="1" applyBorder="1" applyAlignment="1">
      <alignment horizontal="justify"/>
    </xf>
    <xf numFmtId="179" fontId="2" fillId="2" borderId="93" xfId="1" applyFont="1" applyFill="1" applyBorder="1" applyAlignment="1">
      <alignment horizontal="justify"/>
    </xf>
    <xf numFmtId="0" fontId="5" fillId="2" borderId="83" xfId="0" applyFont="1" applyFill="1" applyBorder="1" applyAlignment="1"/>
    <xf numFmtId="10" fontId="3" fillId="0" borderId="124" xfId="3" applyNumberFormat="1" applyFont="1" applyBorder="1"/>
    <xf numFmtId="9" fontId="3" fillId="0" borderId="125" xfId="3" applyFont="1" applyFill="1" applyBorder="1"/>
    <xf numFmtId="0" fontId="5" fillId="2" borderId="86" xfId="0" applyFont="1" applyFill="1" applyBorder="1" applyAlignment="1"/>
    <xf numFmtId="200" fontId="3" fillId="0" borderId="78" xfId="2" applyNumberFormat="1" applyFont="1" applyBorder="1"/>
    <xf numFmtId="0" fontId="3" fillId="0" borderId="91" xfId="0" applyFont="1" applyFill="1" applyBorder="1"/>
    <xf numFmtId="170" fontId="3" fillId="0" borderId="92" xfId="0" applyNumberFormat="1" applyFont="1" applyBorder="1"/>
    <xf numFmtId="170" fontId="5" fillId="2" borderId="86" xfId="0" applyNumberFormat="1" applyFont="1" applyFill="1" applyBorder="1" applyAlignment="1">
      <alignment horizontal="center"/>
    </xf>
    <xf numFmtId="0" fontId="5" fillId="2" borderId="104" xfId="0" applyFont="1" applyFill="1" applyBorder="1" applyAlignment="1">
      <alignment horizontal="center"/>
    </xf>
    <xf numFmtId="0" fontId="3" fillId="0" borderId="126" xfId="0" applyFont="1" applyBorder="1"/>
    <xf numFmtId="0" fontId="5" fillId="2" borderId="127" xfId="0" applyFont="1" applyFill="1" applyBorder="1" applyAlignment="1">
      <alignment horizontal="center"/>
    </xf>
    <xf numFmtId="0" fontId="5" fillId="2" borderId="128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74" xfId="0" applyFont="1" applyBorder="1"/>
    <xf numFmtId="190" fontId="2" fillId="0" borderId="89" xfId="0" applyNumberFormat="1" applyFont="1" applyBorder="1"/>
    <xf numFmtId="190" fontId="2" fillId="0" borderId="120" xfId="0" applyNumberFormat="1" applyFont="1" applyBorder="1"/>
    <xf numFmtId="0" fontId="2" fillId="0" borderId="120" xfId="0" applyFont="1" applyBorder="1" applyAlignment="1"/>
    <xf numFmtId="190" fontId="2" fillId="0" borderId="93" xfId="0" applyNumberFormat="1" applyFont="1" applyBorder="1"/>
    <xf numFmtId="0" fontId="2" fillId="0" borderId="95" xfId="0" applyFont="1" applyBorder="1" applyAlignment="1">
      <alignment horizontal="left"/>
    </xf>
    <xf numFmtId="0" fontId="14" fillId="2" borderId="129" xfId="0" applyFont="1" applyFill="1" applyBorder="1" applyAlignment="1">
      <alignment horizontal="right"/>
    </xf>
    <xf numFmtId="179" fontId="2" fillId="0" borderId="51" xfId="1" applyNumberFormat="1" applyFont="1" applyBorder="1"/>
    <xf numFmtId="179" fontId="2" fillId="0" borderId="50" xfId="1" applyNumberFormat="1" applyFont="1" applyBorder="1"/>
    <xf numFmtId="179" fontId="14" fillId="2" borderId="130" xfId="1" applyNumberFormat="1" applyFont="1" applyFill="1" applyBorder="1"/>
    <xf numFmtId="179" fontId="2" fillId="0" borderId="92" xfId="1" applyNumberFormat="1" applyFont="1" applyBorder="1"/>
    <xf numFmtId="179" fontId="2" fillId="0" borderId="78" xfId="1" applyNumberFormat="1" applyFont="1" applyBorder="1"/>
    <xf numFmtId="179" fontId="14" fillId="2" borderId="91" xfId="1" applyNumberFormat="1" applyFont="1" applyFill="1" applyBorder="1"/>
    <xf numFmtId="179" fontId="2" fillId="0" borderId="78" xfId="2" applyNumberFormat="1" applyFont="1" applyBorder="1"/>
    <xf numFmtId="179" fontId="2" fillId="0" borderId="52" xfId="2" applyNumberFormat="1" applyFont="1" applyBorder="1"/>
    <xf numFmtId="179" fontId="2" fillId="0" borderId="35" xfId="2" applyNumberFormat="1" applyFont="1" applyBorder="1"/>
    <xf numFmtId="179" fontId="14" fillId="2" borderId="131" xfId="1" applyNumberFormat="1" applyFont="1" applyFill="1" applyBorder="1"/>
    <xf numFmtId="179" fontId="2" fillId="0" borderId="132" xfId="2" applyNumberFormat="1" applyFont="1" applyBorder="1"/>
    <xf numFmtId="179" fontId="2" fillId="0" borderId="124" xfId="2" applyNumberFormat="1" applyFont="1" applyBorder="1"/>
    <xf numFmtId="179" fontId="14" fillId="2" borderId="125" xfId="1" applyNumberFormat="1" applyFont="1" applyFill="1" applyBorder="1"/>
    <xf numFmtId="179" fontId="2" fillId="0" borderId="92" xfId="2" applyNumberFormat="1" applyFont="1" applyBorder="1"/>
    <xf numFmtId="179" fontId="2" fillId="0" borderId="80" xfId="1" applyNumberFormat="1" applyFont="1" applyBorder="1"/>
    <xf numFmtId="179" fontId="2" fillId="0" borderId="34" xfId="1" applyNumberFormat="1" applyFont="1" applyBorder="1"/>
    <xf numFmtId="179" fontId="2" fillId="0" borderId="53" xfId="2" applyNumberFormat="1" applyFont="1" applyBorder="1"/>
    <xf numFmtId="179" fontId="2" fillId="0" borderId="80" xfId="2" applyNumberFormat="1" applyFont="1" applyBorder="1"/>
    <xf numFmtId="179" fontId="2" fillId="0" borderId="133" xfId="2" applyNumberFormat="1" applyFont="1" applyBorder="1"/>
    <xf numFmtId="179" fontId="14" fillId="2" borderId="86" xfId="1" applyNumberFormat="1" applyFont="1" applyFill="1" applyBorder="1"/>
    <xf numFmtId="0" fontId="14" fillId="2" borderId="81" xfId="0" applyFont="1" applyFill="1" applyBorder="1" applyAlignment="1">
      <alignment horizontal="right"/>
    </xf>
    <xf numFmtId="179" fontId="14" fillId="2" borderId="82" xfId="1" applyNumberFormat="1" applyFont="1" applyFill="1" applyBorder="1"/>
    <xf numFmtId="179" fontId="14" fillId="2" borderId="83" xfId="1" applyNumberFormat="1" applyFont="1" applyFill="1" applyBorder="1"/>
    <xf numFmtId="0" fontId="14" fillId="0" borderId="48" xfId="0" applyFont="1" applyBorder="1" applyAlignment="1">
      <alignment horizontal="left"/>
    </xf>
    <xf numFmtId="0" fontId="3" fillId="0" borderId="78" xfId="0" applyFont="1" applyBorder="1"/>
    <xf numFmtId="0" fontId="2" fillId="0" borderId="78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0" fontId="3" fillId="0" borderId="92" xfId="0" applyFont="1" applyBorder="1"/>
    <xf numFmtId="179" fontId="18" fillId="0" borderId="86" xfId="1" applyFont="1" applyBorder="1" applyAlignment="1">
      <alignment wrapText="1"/>
    </xf>
    <xf numFmtId="179" fontId="14" fillId="0" borderId="86" xfId="1" applyFont="1" applyBorder="1" applyAlignment="1">
      <alignment horizontal="center"/>
    </xf>
    <xf numFmtId="179" fontId="14" fillId="0" borderId="134" xfId="1" applyFont="1" applyBorder="1" applyAlignment="1">
      <alignment horizontal="center"/>
    </xf>
    <xf numFmtId="179" fontId="14" fillId="0" borderId="135" xfId="1" applyFont="1" applyBorder="1" applyAlignment="1">
      <alignment horizontal="center"/>
    </xf>
    <xf numFmtId="179" fontId="14" fillId="0" borderId="83" xfId="1" applyFont="1" applyBorder="1" applyAlignment="1">
      <alignment horizontal="center"/>
    </xf>
    <xf numFmtId="0" fontId="14" fillId="0" borderId="136" xfId="0" applyFont="1" applyBorder="1"/>
    <xf numFmtId="179" fontId="18" fillId="0" borderId="81" xfId="1" applyFont="1" applyBorder="1" applyAlignment="1">
      <alignment wrapText="1"/>
    </xf>
    <xf numFmtId="189" fontId="14" fillId="0" borderId="136" xfId="1" applyNumberFormat="1" applyFont="1" applyBorder="1" applyAlignment="1">
      <alignment horizontal="center" wrapText="1"/>
    </xf>
    <xf numFmtId="189" fontId="14" fillId="0" borderId="137" xfId="1" applyNumberFormat="1" applyFont="1" applyBorder="1" applyAlignment="1">
      <alignment horizontal="center" wrapText="1"/>
    </xf>
    <xf numFmtId="189" fontId="14" fillId="0" borderId="138" xfId="1" applyNumberFormat="1" applyFont="1" applyBorder="1" applyAlignment="1">
      <alignment horizontal="center" wrapText="1"/>
    </xf>
    <xf numFmtId="179" fontId="2" fillId="0" borderId="109" xfId="1" applyFont="1" applyBorder="1"/>
    <xf numFmtId="179" fontId="2" fillId="0" borderId="95" xfId="1" applyFont="1" applyBorder="1"/>
    <xf numFmtId="0" fontId="14" fillId="0" borderId="112" xfId="0" applyFont="1" applyBorder="1" applyAlignment="1">
      <alignment horizontal="center"/>
    </xf>
    <xf numFmtId="0" fontId="2" fillId="0" borderId="77" xfId="0" applyFont="1" applyFill="1" applyBorder="1" applyAlignment="1">
      <alignment horizontal="justify"/>
    </xf>
    <xf numFmtId="0" fontId="2" fillId="0" borderId="78" xfId="0" applyFont="1" applyFill="1" applyBorder="1" applyAlignment="1">
      <alignment horizontal="justify"/>
    </xf>
    <xf numFmtId="0" fontId="2" fillId="0" borderId="78" xfId="0" applyFont="1" applyBorder="1"/>
    <xf numFmtId="0" fontId="2" fillId="0" borderId="78" xfId="0" applyFont="1" applyFill="1" applyBorder="1"/>
    <xf numFmtId="0" fontId="2" fillId="0" borderId="91" xfId="0" applyFont="1" applyFill="1" applyBorder="1"/>
    <xf numFmtId="0" fontId="2" fillId="2" borderId="86" xfId="0" applyFont="1" applyFill="1" applyBorder="1"/>
    <xf numFmtId="179" fontId="2" fillId="2" borderId="139" xfId="1" applyFont="1" applyFill="1" applyBorder="1"/>
    <xf numFmtId="179" fontId="2" fillId="2" borderId="140" xfId="1" applyFont="1" applyFill="1" applyBorder="1"/>
    <xf numFmtId="179" fontId="2" fillId="2" borderId="141" xfId="1" applyFont="1" applyFill="1" applyBorder="1"/>
    <xf numFmtId="179" fontId="2" fillId="2" borderId="142" xfId="1" applyFont="1" applyFill="1" applyBorder="1"/>
    <xf numFmtId="179" fontId="2" fillId="0" borderId="77" xfId="1" applyFont="1" applyBorder="1"/>
    <xf numFmtId="179" fontId="2" fillId="0" borderId="78" xfId="1" applyFont="1" applyBorder="1"/>
    <xf numFmtId="179" fontId="2" fillId="0" borderId="119" xfId="1" applyFont="1" applyBorder="1"/>
    <xf numFmtId="179" fontId="2" fillId="0" borderId="129" xfId="1" applyFont="1" applyBorder="1"/>
    <xf numFmtId="179" fontId="2" fillId="0" borderId="143" xfId="1" applyFont="1" applyBorder="1"/>
    <xf numFmtId="179" fontId="2" fillId="0" borderId="122" xfId="1" applyFont="1" applyBorder="1"/>
    <xf numFmtId="0" fontId="3" fillId="0" borderId="109" xfId="0" applyFont="1" applyBorder="1"/>
    <xf numFmtId="0" fontId="3" fillId="0" borderId="144" xfId="0" applyFont="1" applyBorder="1"/>
    <xf numFmtId="0" fontId="3" fillId="0" borderId="145" xfId="0" applyFont="1" applyBorder="1"/>
    <xf numFmtId="0" fontId="2" fillId="0" borderId="74" xfId="0" applyFont="1" applyBorder="1" applyAlignment="1">
      <alignment vertical="center" wrapText="1"/>
    </xf>
    <xf numFmtId="179" fontId="2" fillId="0" borderId="74" xfId="1" applyFont="1" applyBorder="1" applyAlignment="1">
      <alignment vertical="center" wrapText="1"/>
    </xf>
    <xf numFmtId="10" fontId="2" fillId="0" borderId="74" xfId="0" applyNumberFormat="1" applyFont="1" applyBorder="1" applyAlignment="1">
      <alignment vertical="center" wrapText="1"/>
    </xf>
    <xf numFmtId="179" fontId="2" fillId="0" borderId="123" xfId="1" applyFont="1" applyBorder="1" applyAlignment="1">
      <alignment vertical="center" wrapText="1"/>
    </xf>
    <xf numFmtId="179" fontId="2" fillId="0" borderId="89" xfId="1" applyFont="1" applyBorder="1" applyAlignment="1">
      <alignment vertical="center" wrapText="1"/>
    </xf>
    <xf numFmtId="0" fontId="2" fillId="0" borderId="120" xfId="0" applyFont="1" applyBorder="1" applyAlignment="1">
      <alignment vertical="center" wrapText="1"/>
    </xf>
    <xf numFmtId="10" fontId="2" fillId="0" borderId="120" xfId="0" applyNumberFormat="1" applyFont="1" applyBorder="1" applyAlignment="1">
      <alignment vertical="center" wrapText="1"/>
    </xf>
    <xf numFmtId="10" fontId="2" fillId="0" borderId="93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3" borderId="146" xfId="0" applyFont="1" applyFill="1" applyBorder="1"/>
    <xf numFmtId="0" fontId="6" fillId="3" borderId="147" xfId="0" applyFont="1" applyFill="1" applyBorder="1" applyAlignment="1">
      <alignment horizontal="center"/>
    </xf>
    <xf numFmtId="0" fontId="6" fillId="3" borderId="148" xfId="0" applyFont="1" applyFill="1" applyBorder="1" applyAlignment="1">
      <alignment horizontal="center"/>
    </xf>
    <xf numFmtId="0" fontId="6" fillId="3" borderId="149" xfId="0" applyFont="1" applyFill="1" applyBorder="1" applyAlignment="1">
      <alignment horizontal="center"/>
    </xf>
    <xf numFmtId="0" fontId="6" fillId="3" borderId="150" xfId="0" applyFont="1" applyFill="1" applyBorder="1" applyAlignment="1">
      <alignment horizontal="center"/>
    </xf>
    <xf numFmtId="0" fontId="3" fillId="0" borderId="133" xfId="0" applyFont="1" applyBorder="1"/>
    <xf numFmtId="179" fontId="3" fillId="0" borderId="89" xfId="1" applyFont="1" applyBorder="1"/>
    <xf numFmtId="0" fontId="12" fillId="0" borderId="79" xfId="0" applyFont="1" applyBorder="1" applyAlignment="1">
      <alignment horizontal="right"/>
    </xf>
    <xf numFmtId="0" fontId="3" fillId="0" borderId="151" xfId="0" applyFont="1" applyFill="1" applyBorder="1"/>
    <xf numFmtId="0" fontId="11" fillId="2" borderId="152" xfId="0" applyFont="1" applyFill="1" applyBorder="1" applyAlignment="1">
      <alignment horizontal="right"/>
    </xf>
    <xf numFmtId="0" fontId="7" fillId="2" borderId="153" xfId="0" applyFont="1" applyFill="1" applyBorder="1"/>
    <xf numFmtId="0" fontId="7" fillId="2" borderId="154" xfId="0" applyFont="1" applyFill="1" applyBorder="1"/>
    <xf numFmtId="179" fontId="7" fillId="2" borderId="155" xfId="1" applyFont="1" applyFill="1" applyBorder="1"/>
    <xf numFmtId="179" fontId="7" fillId="2" borderId="156" xfId="1" applyFont="1" applyFill="1" applyBorder="1"/>
    <xf numFmtId="0" fontId="2" fillId="0" borderId="147" xfId="0" applyFont="1" applyBorder="1"/>
    <xf numFmtId="0" fontId="2" fillId="0" borderId="150" xfId="0" applyFont="1" applyBorder="1"/>
    <xf numFmtId="190" fontId="2" fillId="0" borderId="157" xfId="0" applyNumberFormat="1" applyFont="1" applyBorder="1"/>
    <xf numFmtId="190" fontId="2" fillId="0" borderId="158" xfId="0" applyNumberFormat="1" applyFont="1" applyBorder="1"/>
    <xf numFmtId="0" fontId="2" fillId="0" borderId="158" xfId="0" applyFont="1" applyBorder="1" applyAlignment="1"/>
    <xf numFmtId="190" fontId="2" fillId="0" borderId="142" xfId="0" applyNumberFormat="1" applyFont="1" applyBorder="1"/>
    <xf numFmtId="190" fontId="2" fillId="0" borderId="74" xfId="0" applyNumberFormat="1" applyFont="1" applyBorder="1"/>
    <xf numFmtId="0" fontId="2" fillId="0" borderId="74" xfId="0" applyFont="1" applyBorder="1" applyAlignment="1">
      <alignment horizontal="center"/>
    </xf>
    <xf numFmtId="0" fontId="2" fillId="0" borderId="74" xfId="0" applyFont="1" applyBorder="1" applyAlignment="1"/>
    <xf numFmtId="190" fontId="2" fillId="0" borderId="123" xfId="0" applyNumberFormat="1" applyFont="1" applyBorder="1"/>
    <xf numFmtId="0" fontId="2" fillId="2" borderId="136" xfId="0" applyFont="1" applyFill="1" applyBorder="1" applyAlignment="1">
      <alignment horizontal="center"/>
    </xf>
    <xf numFmtId="0" fontId="2" fillId="2" borderId="104" xfId="0" applyFont="1" applyFill="1" applyBorder="1"/>
    <xf numFmtId="190" fontId="2" fillId="2" borderId="104" xfId="0" applyNumberFormat="1" applyFont="1" applyFill="1" applyBorder="1"/>
    <xf numFmtId="0" fontId="9" fillId="2" borderId="104" xfId="0" applyFont="1" applyFill="1" applyBorder="1" applyAlignment="1">
      <alignment horizontal="center"/>
    </xf>
    <xf numFmtId="0" fontId="2" fillId="0" borderId="139" xfId="0" applyFont="1" applyBorder="1" applyAlignment="1"/>
    <xf numFmtId="0" fontId="4" fillId="0" borderId="102" xfId="0" applyFont="1" applyBorder="1" applyAlignment="1"/>
    <xf numFmtId="190" fontId="2" fillId="2" borderId="102" xfId="0" applyNumberFormat="1" applyFont="1" applyFill="1" applyBorder="1"/>
    <xf numFmtId="190" fontId="2" fillId="2" borderId="159" xfId="0" applyNumberFormat="1" applyFont="1" applyFill="1" applyBorder="1"/>
    <xf numFmtId="190" fontId="2" fillId="2" borderId="145" xfId="0" applyNumberFormat="1" applyFont="1" applyFill="1" applyBorder="1"/>
    <xf numFmtId="190" fontId="2" fillId="0" borderId="160" xfId="0" applyNumberFormat="1" applyFont="1" applyBorder="1"/>
    <xf numFmtId="190" fontId="2" fillId="0" borderId="50" xfId="0" applyNumberFormat="1" applyFont="1" applyBorder="1"/>
    <xf numFmtId="190" fontId="2" fillId="0" borderId="130" xfId="0" applyNumberFormat="1" applyFont="1" applyBorder="1"/>
    <xf numFmtId="190" fontId="2" fillId="0" borderId="77" xfId="0" applyNumberFormat="1" applyFont="1" applyBorder="1"/>
    <xf numFmtId="190" fontId="2" fillId="0" borderId="78" xfId="0" applyNumberFormat="1" applyFont="1" applyBorder="1"/>
    <xf numFmtId="190" fontId="2" fillId="0" borderId="91" xfId="0" applyNumberFormat="1" applyFont="1" applyBorder="1"/>
    <xf numFmtId="190" fontId="2" fillId="2" borderId="110" xfId="0" applyNumberFormat="1" applyFont="1" applyFill="1" applyBorder="1"/>
    <xf numFmtId="190" fontId="2" fillId="0" borderId="111" xfId="0" applyNumberFormat="1" applyFont="1" applyBorder="1"/>
    <xf numFmtId="190" fontId="2" fillId="0" borderId="40" xfId="0" applyNumberFormat="1" applyFont="1" applyBorder="1"/>
    <xf numFmtId="190" fontId="2" fillId="0" borderId="131" xfId="0" applyNumberFormat="1" applyFont="1" applyBorder="1"/>
    <xf numFmtId="0" fontId="2" fillId="0" borderId="75" xfId="0" applyFont="1" applyBorder="1" applyAlignment="1"/>
    <xf numFmtId="0" fontId="2" fillId="0" borderId="35" xfId="0" applyFont="1" applyBorder="1" applyAlignment="1"/>
    <xf numFmtId="0" fontId="2" fillId="0" borderId="161" xfId="0" applyFont="1" applyBorder="1" applyAlignment="1"/>
    <xf numFmtId="0" fontId="9" fillId="2" borderId="57" xfId="0" applyFont="1" applyFill="1" applyBorder="1" applyAlignment="1">
      <alignment horizontal="center" vertical="center" wrapText="1"/>
    </xf>
    <xf numFmtId="0" fontId="9" fillId="2" borderId="86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26" fillId="2" borderId="162" xfId="0" applyFont="1" applyFill="1" applyBorder="1" applyAlignment="1">
      <alignment horizontal="center"/>
    </xf>
    <xf numFmtId="0" fontId="14" fillId="0" borderId="109" xfId="0" applyFont="1" applyBorder="1" applyAlignment="1">
      <alignment horizontal="center"/>
    </xf>
    <xf numFmtId="0" fontId="2" fillId="0" borderId="95" xfId="0" applyFont="1" applyBorder="1" applyAlignment="1">
      <alignment horizontal="justify"/>
    </xf>
    <xf numFmtId="0" fontId="2" fillId="0" borderId="95" xfId="0" applyFont="1" applyBorder="1" applyAlignment="1">
      <alignment horizontal="justify" vertical="center" wrapText="1"/>
    </xf>
    <xf numFmtId="0" fontId="2" fillId="2" borderId="129" xfId="0" applyFont="1" applyFill="1" applyBorder="1" applyAlignment="1">
      <alignment horizontal="justify"/>
    </xf>
    <xf numFmtId="179" fontId="2" fillId="0" borderId="76" xfId="1" applyFont="1" applyBorder="1" applyAlignment="1">
      <alignment horizontal="justify"/>
    </xf>
    <xf numFmtId="179" fontId="2" fillId="0" borderId="76" xfId="1" applyFont="1" applyBorder="1" applyAlignment="1">
      <alignment horizontal="justify" vertical="center"/>
    </xf>
    <xf numFmtId="179" fontId="2" fillId="2" borderId="90" xfId="1" applyFont="1" applyFill="1" applyBorder="1" applyAlignment="1">
      <alignment horizontal="justify"/>
    </xf>
    <xf numFmtId="4" fontId="2" fillId="0" borderId="163" xfId="0" applyNumberFormat="1" applyFont="1" applyBorder="1" applyAlignment="1">
      <alignment horizontal="right"/>
    </xf>
    <xf numFmtId="4" fontId="2" fillId="0" borderId="164" xfId="0" applyNumberFormat="1" applyFont="1" applyBorder="1" applyAlignment="1">
      <alignment horizontal="right"/>
    </xf>
    <xf numFmtId="4" fontId="2" fillId="0" borderId="60" xfId="0" applyNumberFormat="1" applyFont="1" applyBorder="1" applyAlignment="1">
      <alignment horizontal="right"/>
    </xf>
    <xf numFmtId="0" fontId="20" fillId="2" borderId="86" xfId="0" applyFont="1" applyFill="1" applyBorder="1" applyAlignment="1">
      <alignment horizontal="center"/>
    </xf>
    <xf numFmtId="179" fontId="21" fillId="0" borderId="92" xfId="1" applyFont="1" applyBorder="1" applyAlignment="1">
      <alignment horizontal="justify"/>
    </xf>
    <xf numFmtId="179" fontId="20" fillId="0" borderId="86" xfId="1" applyFont="1" applyBorder="1"/>
    <xf numFmtId="0" fontId="20" fillId="2" borderId="81" xfId="0" applyFont="1" applyFill="1" applyBorder="1" applyAlignment="1">
      <alignment horizontal="center"/>
    </xf>
    <xf numFmtId="0" fontId="4" fillId="0" borderId="94" xfId="0" applyFont="1" applyBorder="1" applyAlignment="1">
      <alignment horizontal="left"/>
    </xf>
    <xf numFmtId="0" fontId="4" fillId="0" borderId="163" xfId="0" applyFont="1" applyBorder="1" applyAlignment="1">
      <alignment horizontal="justify"/>
    </xf>
    <xf numFmtId="0" fontId="20" fillId="0" borderId="81" xfId="0" applyFont="1" applyBorder="1" applyAlignment="1">
      <alignment horizontal="justify"/>
    </xf>
    <xf numFmtId="179" fontId="20" fillId="0" borderId="86" xfId="1" applyFont="1" applyBorder="1" applyAlignment="1">
      <alignment horizontal="justify"/>
    </xf>
    <xf numFmtId="0" fontId="20" fillId="2" borderId="82" xfId="0" applyFont="1" applyFill="1" applyBorder="1" applyAlignment="1">
      <alignment horizontal="center"/>
    </xf>
    <xf numFmtId="179" fontId="21" fillId="0" borderId="39" xfId="1" applyFont="1" applyBorder="1" applyAlignment="1">
      <alignment horizontal="justify"/>
    </xf>
    <xf numFmtId="179" fontId="20" fillId="0" borderId="82" xfId="1" applyFont="1" applyBorder="1"/>
    <xf numFmtId="0" fontId="20" fillId="2" borderId="83" xfId="0" applyFont="1" applyFill="1" applyBorder="1" applyAlignment="1">
      <alignment horizontal="center"/>
    </xf>
    <xf numFmtId="179" fontId="21" fillId="0" borderId="132" xfId="1" applyFont="1" applyBorder="1" applyAlignment="1">
      <alignment horizontal="justify"/>
    </xf>
    <xf numFmtId="179" fontId="20" fillId="0" borderId="83" xfId="1" applyFont="1" applyBorder="1"/>
    <xf numFmtId="0" fontId="14" fillId="2" borderId="165" xfId="0" applyFont="1" applyFill="1" applyBorder="1" applyAlignment="1">
      <alignment horizontal="center"/>
    </xf>
    <xf numFmtId="0" fontId="14" fillId="2" borderId="104" xfId="0" applyFont="1" applyFill="1" applyBorder="1" applyAlignment="1">
      <alignment horizontal="center"/>
    </xf>
    <xf numFmtId="0" fontId="14" fillId="0" borderId="166" xfId="0" applyFont="1" applyBorder="1" applyAlignment="1">
      <alignment horizontal="justify"/>
    </xf>
    <xf numFmtId="0" fontId="14" fillId="0" borderId="95" xfId="0" quotePrefix="1" applyFont="1" applyBorder="1" applyAlignment="1">
      <alignment horizontal="justify"/>
    </xf>
    <xf numFmtId="0" fontId="14" fillId="0" borderId="95" xfId="0" applyFont="1" applyBorder="1" applyAlignment="1">
      <alignment horizontal="justify"/>
    </xf>
    <xf numFmtId="0" fontId="21" fillId="0" borderId="95" xfId="0" quotePrefix="1" applyFont="1" applyBorder="1" applyAlignment="1">
      <alignment horizontal="justify"/>
    </xf>
    <xf numFmtId="0" fontId="4" fillId="0" borderId="95" xfId="0" quotePrefix="1" applyFont="1" applyBorder="1" applyAlignment="1">
      <alignment horizontal="justify"/>
    </xf>
    <xf numFmtId="0" fontId="20" fillId="0" borderId="95" xfId="0" applyFont="1" applyFill="1" applyBorder="1" applyAlignment="1">
      <alignment horizontal="justify"/>
    </xf>
    <xf numFmtId="0" fontId="14" fillId="0" borderId="95" xfId="0" quotePrefix="1" applyFont="1" applyFill="1" applyBorder="1" applyAlignment="1">
      <alignment horizontal="justify"/>
    </xf>
    <xf numFmtId="0" fontId="14" fillId="0" borderId="163" xfId="0" quotePrefix="1" applyFont="1" applyBorder="1"/>
    <xf numFmtId="0" fontId="14" fillId="0" borderId="95" xfId="0" applyFont="1" applyFill="1" applyBorder="1" applyAlignment="1">
      <alignment horizontal="justify"/>
    </xf>
    <xf numFmtId="0" fontId="14" fillId="2" borderId="81" xfId="0" quotePrefix="1" applyFont="1" applyFill="1" applyBorder="1"/>
    <xf numFmtId="0" fontId="2" fillId="0" borderId="80" xfId="0" applyFont="1" applyBorder="1"/>
    <xf numFmtId="0" fontId="14" fillId="2" borderId="81" xfId="0" applyFont="1" applyFill="1" applyBorder="1" applyAlignment="1">
      <alignment horizontal="center"/>
    </xf>
    <xf numFmtId="4" fontId="2" fillId="0" borderId="95" xfId="1" applyNumberFormat="1" applyFont="1" applyFill="1" applyBorder="1" applyAlignment="1">
      <alignment horizontal="right"/>
    </xf>
    <xf numFmtId="179" fontId="21" fillId="0" borderId="95" xfId="1" applyFont="1" applyBorder="1"/>
    <xf numFmtId="4" fontId="14" fillId="0" borderId="0" xfId="0" applyNumberFormat="1" applyFont="1" applyFill="1" applyBorder="1" applyAlignment="1">
      <alignment horizontal="right"/>
    </xf>
    <xf numFmtId="0" fontId="14" fillId="0" borderId="77" xfId="0" applyFont="1" applyFill="1" applyBorder="1" applyAlignment="1">
      <alignment horizontal="justify"/>
    </xf>
    <xf numFmtId="0" fontId="14" fillId="0" borderId="164" xfId="0" applyFont="1" applyBorder="1"/>
    <xf numFmtId="0" fontId="14" fillId="0" borderId="91" xfId="0" applyFont="1" applyFill="1" applyBorder="1" applyAlignment="1">
      <alignment horizontal="justify"/>
    </xf>
    <xf numFmtId="0" fontId="14" fillId="0" borderId="91" xfId="0" applyFont="1" applyBorder="1"/>
    <xf numFmtId="0" fontId="2" fillId="0" borderId="164" xfId="0" applyFont="1" applyBorder="1"/>
    <xf numFmtId="0" fontId="2" fillId="0" borderId="91" xfId="0" applyFont="1" applyBorder="1"/>
    <xf numFmtId="0" fontId="2" fillId="0" borderId="112" xfId="0" applyFont="1" applyBorder="1"/>
    <xf numFmtId="4" fontId="14" fillId="0" borderId="86" xfId="0" applyNumberFormat="1" applyFont="1" applyBorder="1" applyAlignment="1">
      <alignment horizontal="center" vertical="center" wrapText="1"/>
    </xf>
    <xf numFmtId="4" fontId="14" fillId="0" borderId="81" xfId="0" applyNumberFormat="1" applyFont="1" applyBorder="1" applyAlignment="1">
      <alignment horizontal="center" vertical="center" wrapText="1"/>
    </xf>
    <xf numFmtId="4" fontId="14" fillId="0" borderId="83" xfId="0" applyNumberFormat="1" applyFont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/>
    </xf>
    <xf numFmtId="4" fontId="2" fillId="0" borderId="112" xfId="0" applyNumberFormat="1" applyFont="1" applyBorder="1"/>
    <xf numFmtId="4" fontId="2" fillId="0" borderId="164" xfId="0" applyNumberFormat="1" applyFont="1" applyBorder="1"/>
    <xf numFmtId="4" fontId="2" fillId="0" borderId="91" xfId="0" applyNumberFormat="1" applyFont="1" applyBorder="1"/>
    <xf numFmtId="10" fontId="2" fillId="0" borderId="78" xfId="0" quotePrefix="1" applyNumberFormat="1" applyFont="1" applyBorder="1"/>
    <xf numFmtId="10" fontId="2" fillId="0" borderId="91" xfId="0" quotePrefix="1" applyNumberFormat="1" applyFont="1" applyBorder="1"/>
    <xf numFmtId="205" fontId="2" fillId="0" borderId="112" xfId="0" applyNumberFormat="1" applyFont="1" applyBorder="1"/>
    <xf numFmtId="2" fontId="2" fillId="0" borderId="112" xfId="0" applyNumberFormat="1" applyFont="1" applyBorder="1"/>
    <xf numFmtId="2" fontId="2" fillId="0" borderId="164" xfId="0" applyNumberFormat="1" applyFont="1" applyBorder="1"/>
    <xf numFmtId="2" fontId="2" fillId="0" borderId="91" xfId="0" applyNumberFormat="1" applyFont="1" applyBorder="1"/>
    <xf numFmtId="0" fontId="2" fillId="5" borderId="164" xfId="0" applyFont="1" applyFill="1" applyBorder="1"/>
    <xf numFmtId="4" fontId="2" fillId="5" borderId="164" xfId="0" applyNumberFormat="1" applyFont="1" applyFill="1" applyBorder="1"/>
    <xf numFmtId="2" fontId="2" fillId="5" borderId="164" xfId="0" applyNumberFormat="1" applyFont="1" applyFill="1" applyBorder="1"/>
    <xf numFmtId="190" fontId="2" fillId="5" borderId="77" xfId="0" quotePrefix="1" applyNumberFormat="1" applyFont="1" applyFill="1" applyBorder="1"/>
    <xf numFmtId="0" fontId="14" fillId="0" borderId="86" xfId="0" applyFont="1" applyBorder="1" applyAlignment="1">
      <alignment horizontal="left"/>
    </xf>
    <xf numFmtId="0" fontId="14" fillId="0" borderId="81" xfId="0" applyFont="1" applyBorder="1" applyAlignment="1"/>
    <xf numFmtId="0" fontId="14" fillId="0" borderId="86" xfId="0" applyFont="1" applyBorder="1" applyAlignment="1"/>
    <xf numFmtId="0" fontId="29" fillId="0" borderId="0" xfId="0" applyFont="1"/>
    <xf numFmtId="9" fontId="2" fillId="0" borderId="0" xfId="3" applyFont="1" applyBorder="1" applyAlignment="1">
      <alignment horizontal="right"/>
    </xf>
    <xf numFmtId="10" fontId="2" fillId="0" borderId="112" xfId="3" applyNumberFormat="1" applyFont="1" applyBorder="1" applyAlignment="1">
      <alignment horizontal="right"/>
    </xf>
    <xf numFmtId="10" fontId="2" fillId="0" borderId="78" xfId="3" applyNumberFormat="1" applyFont="1" applyBorder="1" applyAlignment="1">
      <alignment horizontal="right"/>
    </xf>
    <xf numFmtId="10" fontId="0" fillId="0" borderId="0" xfId="3" applyNumberFormat="1" applyFont="1"/>
    <xf numFmtId="10" fontId="2" fillId="0" borderId="91" xfId="3" applyNumberFormat="1" applyFont="1" applyBorder="1" applyAlignment="1">
      <alignment horizontal="right"/>
    </xf>
    <xf numFmtId="0" fontId="5" fillId="2" borderId="146" xfId="0" applyFont="1" applyFill="1" applyBorder="1" applyAlignment="1">
      <alignment horizontal="center" vertical="center"/>
    </xf>
    <xf numFmtId="0" fontId="5" fillId="2" borderId="147" xfId="0" applyFont="1" applyFill="1" applyBorder="1" applyAlignment="1">
      <alignment horizontal="center" vertical="center"/>
    </xf>
    <xf numFmtId="0" fontId="5" fillId="2" borderId="148" xfId="0" applyFont="1" applyFill="1" applyBorder="1" applyAlignment="1">
      <alignment horizontal="center" vertical="center"/>
    </xf>
    <xf numFmtId="0" fontId="5" fillId="2" borderId="150" xfId="0" applyFont="1" applyFill="1" applyBorder="1" applyAlignment="1">
      <alignment horizontal="center" vertical="center"/>
    </xf>
    <xf numFmtId="0" fontId="5" fillId="2" borderId="157" xfId="0" applyFont="1" applyFill="1" applyBorder="1" applyAlignment="1">
      <alignment horizontal="center"/>
    </xf>
    <xf numFmtId="200" fontId="5" fillId="2" borderId="158" xfId="0" applyNumberFormat="1" applyFont="1" applyFill="1" applyBorder="1" applyAlignment="1">
      <alignment horizontal="center"/>
    </xf>
    <xf numFmtId="200" fontId="5" fillId="2" borderId="142" xfId="0" applyNumberFormat="1" applyFont="1" applyFill="1" applyBorder="1" applyAlignment="1">
      <alignment horizontal="center"/>
    </xf>
    <xf numFmtId="0" fontId="3" fillId="0" borderId="73" xfId="0" applyFont="1" applyBorder="1"/>
    <xf numFmtId="169" fontId="3" fillId="0" borderId="74" xfId="0" applyNumberFormat="1" applyFont="1" applyBorder="1"/>
    <xf numFmtId="169" fontId="3" fillId="0" borderId="75" xfId="0" applyNumberFormat="1" applyFont="1" applyBorder="1"/>
    <xf numFmtId="169" fontId="3" fillId="0" borderId="123" xfId="0" applyNumberFormat="1" applyFont="1" applyBorder="1"/>
    <xf numFmtId="169" fontId="3" fillId="0" borderId="151" xfId="0" applyNumberFormat="1" applyFont="1" applyBorder="1"/>
    <xf numFmtId="169" fontId="3" fillId="0" borderId="120" xfId="0" applyNumberFormat="1" applyFont="1" applyBorder="1"/>
    <xf numFmtId="169" fontId="3" fillId="0" borderId="161" xfId="0" applyNumberFormat="1" applyFont="1" applyBorder="1"/>
    <xf numFmtId="169" fontId="3" fillId="0" borderId="93" xfId="0" applyNumberFormat="1" applyFont="1" applyBorder="1"/>
    <xf numFmtId="0" fontId="2" fillId="0" borderId="95" xfId="0" applyFont="1" applyFill="1" applyBorder="1" applyAlignment="1">
      <alignment horizontal="justify"/>
    </xf>
    <xf numFmtId="4" fontId="2" fillId="2" borderId="86" xfId="0" applyNumberFormat="1" applyFont="1" applyFill="1" applyBorder="1" applyAlignment="1">
      <alignment horizontal="right"/>
    </xf>
    <xf numFmtId="10" fontId="2" fillId="0" borderId="163" xfId="3" applyNumberFormat="1" applyFont="1" applyBorder="1" applyAlignment="1">
      <alignment horizontal="right"/>
    </xf>
    <xf numFmtId="0" fontId="2" fillId="0" borderId="109" xfId="0" applyFont="1" applyFill="1" applyBorder="1" applyAlignment="1">
      <alignment horizontal="justify"/>
    </xf>
    <xf numFmtId="4" fontId="2" fillId="0" borderId="136" xfId="0" applyNumberFormat="1" applyFont="1" applyBorder="1" applyAlignment="1">
      <alignment horizontal="right"/>
    </xf>
    <xf numFmtId="4" fontId="2" fillId="0" borderId="112" xfId="0" applyNumberFormat="1" applyFont="1" applyBorder="1" applyAlignment="1">
      <alignment horizontal="right"/>
    </xf>
    <xf numFmtId="10" fontId="2" fillId="0" borderId="164" xfId="3" applyNumberFormat="1" applyFont="1" applyBorder="1" applyAlignment="1">
      <alignment horizontal="right"/>
    </xf>
    <xf numFmtId="0" fontId="14" fillId="0" borderId="129" xfId="0" applyFont="1" applyFill="1" applyBorder="1" applyAlignment="1">
      <alignment horizontal="justify"/>
    </xf>
    <xf numFmtId="4" fontId="2" fillId="0" borderId="129" xfId="0" applyNumberFormat="1" applyFont="1" applyBorder="1" applyAlignment="1">
      <alignment horizontal="right"/>
    </xf>
    <xf numFmtId="179" fontId="21" fillId="0" borderId="91" xfId="1" applyFont="1" applyBorder="1"/>
    <xf numFmtId="0" fontId="14" fillId="0" borderId="0" xfId="0" applyFont="1" applyFill="1" applyBorder="1" applyAlignment="1">
      <alignment horizontal="justify"/>
    </xf>
    <xf numFmtId="4" fontId="2" fillId="0" borderId="0" xfId="0" applyNumberFormat="1" applyFont="1" applyBorder="1" applyAlignment="1">
      <alignment horizontal="right"/>
    </xf>
    <xf numFmtId="179" fontId="21" fillId="0" borderId="0" xfId="1" applyFont="1" applyBorder="1"/>
    <xf numFmtId="0" fontId="5" fillId="2" borderId="82" xfId="0" applyFont="1" applyFill="1" applyBorder="1" applyAlignment="1">
      <alignment horizontal="center"/>
    </xf>
    <xf numFmtId="200" fontId="5" fillId="2" borderId="82" xfId="0" applyNumberFormat="1" applyFont="1" applyFill="1" applyBorder="1" applyAlignment="1">
      <alignment horizontal="right"/>
    </xf>
    <xf numFmtId="9" fontId="3" fillId="0" borderId="89" xfId="3" applyFont="1" applyBorder="1"/>
    <xf numFmtId="170" fontId="3" fillId="0" borderId="132" xfId="0" applyNumberFormat="1" applyFont="1" applyBorder="1"/>
    <xf numFmtId="200" fontId="3" fillId="0" borderId="124" xfId="2" applyNumberFormat="1" applyFont="1" applyBorder="1"/>
    <xf numFmtId="0" fontId="3" fillId="0" borderId="125" xfId="0" applyFont="1" applyFill="1" applyBorder="1"/>
    <xf numFmtId="0" fontId="3" fillId="0" borderId="113" xfId="0" applyFont="1" applyBorder="1" applyAlignment="1">
      <alignment horizontal="center"/>
    </xf>
    <xf numFmtId="170" fontId="5" fillId="2" borderId="83" xfId="0" applyNumberFormat="1" applyFont="1" applyFill="1" applyBorder="1" applyAlignment="1">
      <alignment horizontal="center"/>
    </xf>
    <xf numFmtId="0" fontId="5" fillId="2" borderId="146" xfId="0" applyFont="1" applyFill="1" applyBorder="1" applyAlignment="1">
      <alignment horizontal="center"/>
    </xf>
    <xf numFmtId="0" fontId="5" fillId="2" borderId="104" xfId="0" applyFont="1" applyFill="1" applyBorder="1" applyAlignment="1"/>
    <xf numFmtId="0" fontId="5" fillId="2" borderId="113" xfId="0" applyFont="1" applyFill="1" applyBorder="1" applyAlignment="1">
      <alignment horizontal="center"/>
    </xf>
    <xf numFmtId="0" fontId="5" fillId="2" borderId="113" xfId="0" applyFont="1" applyFill="1" applyBorder="1" applyAlignment="1"/>
    <xf numFmtId="200" fontId="0" fillId="6" borderId="167" xfId="0" applyNumberFormat="1" applyFill="1" applyBorder="1" applyAlignment="1"/>
    <xf numFmtId="200" fontId="2" fillId="6" borderId="168" xfId="0" applyNumberFormat="1" applyFont="1" applyFill="1" applyBorder="1" applyAlignment="1"/>
    <xf numFmtId="189" fontId="2" fillId="6" borderId="2" xfId="1" applyNumberFormat="1" applyFont="1" applyFill="1" applyBorder="1"/>
    <xf numFmtId="179" fontId="2" fillId="6" borderId="2" xfId="1" applyNumberFormat="1" applyFont="1" applyFill="1" applyBorder="1"/>
    <xf numFmtId="189" fontId="2" fillId="6" borderId="11" xfId="1" applyNumberFormat="1" applyFont="1" applyFill="1" applyBorder="1"/>
    <xf numFmtId="9" fontId="3" fillId="0" borderId="0" xfId="0" applyNumberFormat="1" applyFont="1"/>
    <xf numFmtId="9" fontId="3" fillId="6" borderId="0" xfId="0" applyNumberFormat="1" applyFont="1" applyFill="1"/>
    <xf numFmtId="190" fontId="2" fillId="7" borderId="77" xfId="0" quotePrefix="1" applyNumberFormat="1" applyFont="1" applyFill="1" applyBorder="1"/>
    <xf numFmtId="190" fontId="19" fillId="4" borderId="61" xfId="0" applyNumberFormat="1" applyFont="1" applyFill="1" applyBorder="1" applyAlignment="1">
      <alignment horizontal="center"/>
    </xf>
    <xf numFmtId="0" fontId="0" fillId="0" borderId="62" xfId="0" applyBorder="1"/>
    <xf numFmtId="167" fontId="0" fillId="0" borderId="62" xfId="0" applyNumberFormat="1" applyBorder="1"/>
    <xf numFmtId="10" fontId="19" fillId="0" borderId="62" xfId="0" applyNumberFormat="1" applyFont="1" applyBorder="1"/>
    <xf numFmtId="0" fontId="19" fillId="4" borderId="62" xfId="0" applyFont="1" applyFill="1" applyBorder="1" applyAlignment="1">
      <alignment horizontal="left"/>
    </xf>
    <xf numFmtId="200" fontId="3" fillId="6" borderId="113" xfId="0" applyNumberFormat="1" applyFont="1" applyFill="1" applyBorder="1"/>
    <xf numFmtId="200" fontId="3" fillId="6" borderId="169" xfId="0" applyNumberFormat="1" applyFont="1" applyFill="1" applyBorder="1"/>
    <xf numFmtId="200" fontId="3" fillId="6" borderId="124" xfId="0" applyNumberFormat="1" applyFont="1" applyFill="1" applyBorder="1"/>
    <xf numFmtId="0" fontId="2" fillId="0" borderId="38" xfId="0" applyFont="1" applyBorder="1" applyAlignment="1">
      <alignment vertical="center" wrapText="1"/>
    </xf>
    <xf numFmtId="179" fontId="2" fillId="0" borderId="38" xfId="1" applyFont="1" applyBorder="1" applyAlignment="1">
      <alignment vertical="center" wrapText="1"/>
    </xf>
    <xf numFmtId="10" fontId="2" fillId="0" borderId="38" xfId="0" applyNumberFormat="1" applyFont="1" applyBorder="1" applyAlignment="1">
      <alignment vertical="center" wrapText="1"/>
    </xf>
    <xf numFmtId="200" fontId="3" fillId="0" borderId="88" xfId="2" applyNumberFormat="1" applyFont="1" applyBorder="1"/>
    <xf numFmtId="0" fontId="10" fillId="0" borderId="0" xfId="0" applyFont="1" applyAlignment="1">
      <alignment horizontal="center" vertical="center"/>
    </xf>
    <xf numFmtId="0" fontId="14" fillId="2" borderId="81" xfId="0" applyFont="1" applyFill="1" applyBorder="1" applyAlignment="1">
      <alignment horizontal="left"/>
    </xf>
    <xf numFmtId="0" fontId="14" fillId="2" borderId="83" xfId="0" applyFont="1" applyFill="1" applyBorder="1" applyAlignment="1">
      <alignment horizontal="left"/>
    </xf>
    <xf numFmtId="0" fontId="14" fillId="0" borderId="81" xfId="0" applyFont="1" applyBorder="1" applyAlignment="1">
      <alignment horizontal="left"/>
    </xf>
    <xf numFmtId="0" fontId="14" fillId="0" borderId="83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44" xfId="0" applyFont="1" applyBorder="1" applyAlignment="1"/>
    <xf numFmtId="0" fontId="0" fillId="0" borderId="0" xfId="0" applyBorder="1" applyAlignment="1"/>
    <xf numFmtId="0" fontId="0" fillId="0" borderId="63" xfId="0" applyBorder="1" applyAlignment="1"/>
    <xf numFmtId="0" fontId="11" fillId="2" borderId="55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1" fillId="2" borderId="56" xfId="0" applyFont="1" applyFill="1" applyBorder="1" applyAlignment="1">
      <alignment horizontal="center"/>
    </xf>
    <xf numFmtId="0" fontId="5" fillId="0" borderId="64" xfId="0" applyFont="1" applyBorder="1" applyAlignment="1"/>
    <xf numFmtId="0" fontId="0" fillId="0" borderId="65" xfId="0" applyBorder="1" applyAlignment="1"/>
    <xf numFmtId="0" fontId="0" fillId="0" borderId="66" xfId="0" applyBorder="1" applyAlignment="1"/>
    <xf numFmtId="0" fontId="27" fillId="0" borderId="0" xfId="0" applyFont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2" fillId="2" borderId="41" xfId="0" applyFont="1" applyFill="1" applyBorder="1" applyAlignment="1"/>
    <xf numFmtId="0" fontId="0" fillId="2" borderId="45" xfId="0" applyFill="1" applyBorder="1" applyAlignment="1"/>
    <xf numFmtId="0" fontId="2" fillId="0" borderId="41" xfId="0" applyFont="1" applyBorder="1" applyAlignment="1"/>
    <xf numFmtId="0" fontId="0" fillId="0" borderId="45" xfId="0" applyBorder="1" applyAlignment="1"/>
    <xf numFmtId="0" fontId="0" fillId="2" borderId="42" xfId="0" applyFill="1" applyBorder="1" applyAlignment="1"/>
    <xf numFmtId="0" fontId="2" fillId="2" borderId="41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0" fontId="15" fillId="0" borderId="9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5" fillId="2" borderId="113" xfId="0" applyFont="1" applyFill="1" applyBorder="1" applyAlignment="1">
      <alignment horizontal="center" vertical="center"/>
    </xf>
    <xf numFmtId="0" fontId="5" fillId="0" borderId="41" xfId="0" applyFont="1" applyBorder="1" applyAlignment="1"/>
    <xf numFmtId="0" fontId="0" fillId="0" borderId="42" xfId="0" applyBorder="1" applyAlignment="1"/>
    <xf numFmtId="0" fontId="0" fillId="0" borderId="43" xfId="0" applyBorder="1" applyAlignment="1"/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5" fillId="2" borderId="112" xfId="0" applyFont="1" applyFill="1" applyBorder="1" applyAlignment="1">
      <alignment horizontal="center" vertical="center"/>
    </xf>
    <xf numFmtId="0" fontId="5" fillId="2" borderId="1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4" borderId="62" xfId="0" applyFont="1" applyFill="1" applyBorder="1" applyAlignment="1"/>
    <xf numFmtId="0" fontId="5" fillId="2" borderId="81" xfId="0" applyFont="1" applyFill="1" applyBorder="1" applyAlignment="1">
      <alignment horizontal="center"/>
    </xf>
    <xf numFmtId="0" fontId="5" fillId="2" borderId="82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5" fillId="0" borderId="170" xfId="0" applyFont="1" applyBorder="1" applyAlignment="1"/>
    <xf numFmtId="0" fontId="14" fillId="0" borderId="81" xfId="0" applyFont="1" applyBorder="1" applyAlignment="1"/>
    <xf numFmtId="0" fontId="22" fillId="0" borderId="37" xfId="0" applyFont="1" applyBorder="1" applyAlignment="1"/>
    <xf numFmtId="0" fontId="22" fillId="0" borderId="54" xfId="0" applyFont="1" applyBorder="1" applyAlignment="1"/>
    <xf numFmtId="0" fontId="2" fillId="0" borderId="109" xfId="0" applyFont="1" applyBorder="1" applyAlignment="1"/>
    <xf numFmtId="0" fontId="4" fillId="0" borderId="111" xfId="0" applyFont="1" applyBorder="1" applyAlignment="1"/>
    <xf numFmtId="0" fontId="2" fillId="0" borderId="95" xfId="0" applyFont="1" applyBorder="1" applyAlignment="1"/>
    <xf numFmtId="0" fontId="4" fillId="0" borderId="40" xfId="0" applyFont="1" applyBorder="1" applyAlignment="1"/>
    <xf numFmtId="0" fontId="2" fillId="0" borderId="129" xfId="0" applyFont="1" applyBorder="1" applyAlignment="1"/>
    <xf numFmtId="0" fontId="4" fillId="0" borderId="131" xfId="0" applyFont="1" applyBorder="1" applyAlignment="1"/>
    <xf numFmtId="0" fontId="14" fillId="0" borderId="82" xfId="0" applyFont="1" applyBorder="1" applyAlignment="1">
      <alignment horizontal="left"/>
    </xf>
    <xf numFmtId="0" fontId="17" fillId="3" borderId="53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71" xfId="0" applyFont="1" applyFill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Border="1" applyAlignment="1"/>
    <xf numFmtId="0" fontId="4" fillId="0" borderId="72" xfId="0" applyFont="1" applyBorder="1" applyAlignment="1"/>
    <xf numFmtId="0" fontId="2" fillId="0" borderId="7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14" fillId="0" borderId="146" xfId="0" applyFont="1" applyBorder="1" applyAlignment="1"/>
    <xf numFmtId="0" fontId="4" fillId="0" borderId="147" xfId="0" applyFont="1" applyBorder="1" applyAlignment="1"/>
    <xf numFmtId="0" fontId="17" fillId="3" borderId="46" xfId="0" applyFont="1" applyFill="1" applyBorder="1" applyAlignment="1">
      <alignment horizontal="center"/>
    </xf>
    <xf numFmtId="0" fontId="16" fillId="3" borderId="0" xfId="0" applyFont="1" applyFill="1" applyAlignment="1">
      <alignment horizontal="center" wrapText="1"/>
    </xf>
    <xf numFmtId="0" fontId="17" fillId="3" borderId="0" xfId="0" applyFont="1" applyFill="1" applyAlignment="1">
      <alignment wrapText="1"/>
    </xf>
    <xf numFmtId="179" fontId="14" fillId="0" borderId="136" xfId="1" applyFont="1" applyBorder="1" applyAlignment="1">
      <alignment horizontal="center"/>
    </xf>
    <xf numFmtId="179" fontId="14" fillId="0" borderId="104" xfId="1" applyFont="1" applyBorder="1" applyAlignment="1">
      <alignment horizontal="center"/>
    </xf>
    <xf numFmtId="179" fontId="14" fillId="0" borderId="171" xfId="1" applyFont="1" applyBorder="1" applyAlignment="1">
      <alignment horizontal="center"/>
    </xf>
    <xf numFmtId="179" fontId="14" fillId="0" borderId="81" xfId="1" applyFont="1" applyBorder="1" applyAlignment="1">
      <alignment horizontal="center"/>
    </xf>
    <xf numFmtId="179" fontId="14" fillId="0" borderId="82" xfId="1" applyFont="1" applyBorder="1" applyAlignment="1">
      <alignment horizontal="center"/>
    </xf>
    <xf numFmtId="179" fontId="14" fillId="0" borderId="83" xfId="1" applyFont="1" applyBorder="1" applyAlignment="1">
      <alignment horizontal="center"/>
    </xf>
  </cellXfs>
  <cellStyles count="5">
    <cellStyle name="Millares" xfId="1" builtinId="3"/>
    <cellStyle name="Moneda" xfId="2" builtinId="4"/>
    <cellStyle name="Normal" xfId="0" builtinId="0"/>
    <cellStyle name="Porcentual" xfId="3" builtinId="5"/>
    <cellStyle name="Währung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 enableFormatConditionsCalculation="0">
    <tabColor theme="8" tint="0.39997558519241921"/>
  </sheetPr>
  <dimension ref="A1:J85"/>
  <sheetViews>
    <sheetView showGridLines="0" topLeftCell="A23" workbookViewId="0">
      <selection sqref="A1:G52"/>
    </sheetView>
  </sheetViews>
  <sheetFormatPr baseColWidth="10" defaultColWidth="11.42578125" defaultRowHeight="12.75"/>
  <cols>
    <col min="1" max="1" width="30.42578125" customWidth="1"/>
    <col min="2" max="2" width="10.85546875" customWidth="1"/>
    <col min="3" max="3" width="10" customWidth="1"/>
    <col min="4" max="4" width="9.85546875" customWidth="1"/>
    <col min="5" max="5" width="11.140625" customWidth="1"/>
    <col min="6" max="6" width="9.85546875" customWidth="1"/>
    <col min="7" max="7" width="11.28515625" customWidth="1"/>
  </cols>
  <sheetData>
    <row r="1" spans="1:7">
      <c r="A1" s="585" t="s">
        <v>413</v>
      </c>
      <c r="B1" s="585"/>
      <c r="C1" s="585"/>
      <c r="D1" s="585"/>
      <c r="E1" s="585"/>
      <c r="F1" s="585"/>
      <c r="G1" s="585"/>
    </row>
    <row r="2" spans="1:7" ht="28.5" customHeight="1" thickBot="1">
      <c r="A2" s="585"/>
      <c r="B2" s="585"/>
      <c r="C2" s="585"/>
      <c r="D2" s="585"/>
      <c r="E2" s="585"/>
      <c r="F2" s="585"/>
      <c r="G2" s="585"/>
    </row>
    <row r="3" spans="1:7" s="1" customFormat="1" ht="11.25" thickBot="1">
      <c r="A3" s="475" t="s">
        <v>0</v>
      </c>
      <c r="B3" s="277" t="s">
        <v>49</v>
      </c>
      <c r="C3" s="488" t="s">
        <v>50</v>
      </c>
      <c r="D3" s="276" t="s">
        <v>51</v>
      </c>
      <c r="E3" s="476" t="s">
        <v>105</v>
      </c>
      <c r="F3" s="276" t="s">
        <v>106</v>
      </c>
      <c r="G3" s="276" t="s">
        <v>325</v>
      </c>
    </row>
    <row r="4" spans="1:7" s="1" customFormat="1" ht="10.5">
      <c r="A4" s="477"/>
      <c r="B4" s="262"/>
      <c r="C4" s="257"/>
      <c r="D4" s="262"/>
      <c r="E4" s="270"/>
      <c r="F4" s="262"/>
      <c r="G4" s="262"/>
    </row>
    <row r="5" spans="1:7" s="1" customFormat="1" ht="10.5">
      <c r="A5" s="478" t="s">
        <v>365</v>
      </c>
      <c r="B5" s="263"/>
      <c r="C5" s="258"/>
      <c r="D5" s="263"/>
      <c r="E5" s="256"/>
      <c r="F5" s="263"/>
      <c r="G5" s="263"/>
    </row>
    <row r="6" spans="1:7" s="1" customFormat="1" ht="10.5">
      <c r="A6" s="452" t="s">
        <v>323</v>
      </c>
      <c r="B6" s="263">
        <f>+'Anexo 5 - Presup de Ingresos'!C24</f>
        <v>6000.4612500000003</v>
      </c>
      <c r="C6" s="258">
        <f>+'Anexo 5 - Presup de Ingresos'!D24</f>
        <v>20573.009999999998</v>
      </c>
      <c r="D6" s="263">
        <f>+'Anexo 5 - Presup de Ingresos'!E24</f>
        <v>22681.743525000002</v>
      </c>
      <c r="E6" s="256">
        <f>+'Anexo 5 - Presup de Ingresos'!F24</f>
        <v>25006.622236312505</v>
      </c>
      <c r="F6" s="263">
        <f>+'Anexo 5 - Presup de Ingresos'!G24</f>
        <v>27569.801015534544</v>
      </c>
      <c r="G6" s="263">
        <f>+'Anexo 5 - Presup de Ingresos'!H24</f>
        <v>30395.705619626842</v>
      </c>
    </row>
    <row r="7" spans="1:7" s="1" customFormat="1" ht="10.5">
      <c r="A7" s="452" t="s">
        <v>324</v>
      </c>
      <c r="B7" s="263">
        <f>+'Anexo 5 - Presup de Ingresos'!C26</f>
        <v>36284.896666666667</v>
      </c>
      <c r="C7" s="258">
        <f>+'Anexo 5 - Presup de Ingresos'!D26</f>
        <v>124405.36000000002</v>
      </c>
      <c r="D7" s="263">
        <f>+'Anexo 5 - Presup de Ingresos'!E26</f>
        <v>137156.9094</v>
      </c>
      <c r="E7" s="256">
        <f>+'Anexo 5 - Presup de Ingresos'!F26</f>
        <v>151215.49261350004</v>
      </c>
      <c r="F7" s="263">
        <f>+'Anexo 5 - Presup de Ingresos'!G26</f>
        <v>166715.0806063838</v>
      </c>
      <c r="G7" s="263">
        <f>+'Anexo 5 - Presup de Ingresos'!H26</f>
        <v>183803.37636853816</v>
      </c>
    </row>
    <row r="8" spans="1:7" s="1" customFormat="1" ht="10.5">
      <c r="A8" s="452" t="s">
        <v>343</v>
      </c>
      <c r="B8" s="263">
        <f t="shared" ref="B8:G8" si="0">+B7+B6</f>
        <v>42285.357916666668</v>
      </c>
      <c r="C8" s="258">
        <f t="shared" si="0"/>
        <v>144978.37000000002</v>
      </c>
      <c r="D8" s="263">
        <f t="shared" si="0"/>
        <v>159838.652925</v>
      </c>
      <c r="E8" s="256">
        <f t="shared" si="0"/>
        <v>176222.11484981255</v>
      </c>
      <c r="F8" s="263">
        <f t="shared" si="0"/>
        <v>194284.88162191835</v>
      </c>
      <c r="G8" s="263">
        <f t="shared" si="0"/>
        <v>214199.08198816501</v>
      </c>
    </row>
    <row r="9" spans="1:7" s="1" customFormat="1" ht="10.5">
      <c r="A9" s="479"/>
      <c r="B9" s="263"/>
      <c r="C9" s="258"/>
      <c r="D9" s="263"/>
      <c r="E9" s="256"/>
      <c r="F9" s="263"/>
      <c r="G9" s="263"/>
    </row>
    <row r="10" spans="1:7" s="1" customFormat="1" ht="10.5">
      <c r="A10" s="478" t="s">
        <v>366</v>
      </c>
      <c r="B10" s="263"/>
      <c r="C10" s="489"/>
      <c r="D10" s="263"/>
      <c r="E10" s="256"/>
      <c r="F10" s="263"/>
      <c r="G10" s="263"/>
    </row>
    <row r="11" spans="1:7" s="1" customFormat="1" ht="10.5">
      <c r="A11" s="452" t="s">
        <v>340</v>
      </c>
      <c r="B11" s="263">
        <f>+'Anexo 6 - Materiales directos'!E16</f>
        <v>3143</v>
      </c>
      <c r="C11" s="258">
        <f>+'Anexo 6 - Materiales directos'!F16</f>
        <v>2071.65</v>
      </c>
      <c r="D11" s="263">
        <f>+'Anexo 6 - Materiales directos'!G16</f>
        <v>3403.7325000000005</v>
      </c>
      <c r="E11" s="256">
        <f>+'Anexo 6 - Materiales directos'!H16</f>
        <v>2283.9941250000002</v>
      </c>
      <c r="F11" s="263">
        <f>+'Anexo 6 - Materiales directos'!I16</f>
        <v>3688.1188312500003</v>
      </c>
      <c r="G11" s="263">
        <f>+'Anexo 6 - Materiales directos'!J16</f>
        <v>2398.1938312500001</v>
      </c>
    </row>
    <row r="12" spans="1:7" s="1" customFormat="1" ht="10.5">
      <c r="A12" s="452" t="s">
        <v>341</v>
      </c>
      <c r="B12" s="263">
        <f>+'Anexo 7 - Materiales indirecto'!D11</f>
        <v>7800</v>
      </c>
      <c r="C12" s="258">
        <f>+'Anexo 7 - Materiales indirecto'!E11</f>
        <v>8190</v>
      </c>
      <c r="D12" s="263">
        <f>+'Anexo 7 - Materiales indirecto'!F11</f>
        <v>8599.5</v>
      </c>
      <c r="E12" s="256">
        <f>+'Anexo 7 - Materiales indirecto'!G11</f>
        <v>9029.4750000000004</v>
      </c>
      <c r="F12" s="263">
        <f>+'Anexo 7 - Materiales indirecto'!H11</f>
        <v>9480.9487499999996</v>
      </c>
      <c r="G12" s="263">
        <f>+'Anexo 7 - Materiales indirecto'!I11</f>
        <v>9632.8870312500003</v>
      </c>
    </row>
    <row r="13" spans="1:7" s="1" customFormat="1" ht="10.5">
      <c r="A13" s="452" t="s">
        <v>344</v>
      </c>
      <c r="B13" s="263">
        <f t="shared" ref="B13:G13" si="1">+B12+B11</f>
        <v>10943</v>
      </c>
      <c r="C13" s="258">
        <f t="shared" si="1"/>
        <v>10261.65</v>
      </c>
      <c r="D13" s="263">
        <f t="shared" si="1"/>
        <v>12003.2325</v>
      </c>
      <c r="E13" s="256">
        <f t="shared" si="1"/>
        <v>11313.469125</v>
      </c>
      <c r="F13" s="263">
        <f t="shared" si="1"/>
        <v>13169.067581249999</v>
      </c>
      <c r="G13" s="263">
        <f t="shared" si="1"/>
        <v>12031.080862500001</v>
      </c>
    </row>
    <row r="14" spans="1:7" s="1" customFormat="1" ht="10.5">
      <c r="A14" s="452"/>
      <c r="B14" s="263"/>
      <c r="C14" s="258"/>
      <c r="D14" s="263"/>
      <c r="E14" s="256"/>
      <c r="F14" s="263"/>
      <c r="G14" s="263"/>
    </row>
    <row r="15" spans="1:7" s="1" customFormat="1" ht="10.5">
      <c r="A15" s="479" t="s">
        <v>367</v>
      </c>
      <c r="B15" s="263">
        <f t="shared" ref="B15:G15" si="2">+B8-B13</f>
        <v>31342.357916666668</v>
      </c>
      <c r="C15" s="258">
        <f t="shared" si="2"/>
        <v>134716.72000000003</v>
      </c>
      <c r="D15" s="263">
        <f t="shared" si="2"/>
        <v>147835.42042499999</v>
      </c>
      <c r="E15" s="256">
        <f t="shared" si="2"/>
        <v>164908.64572481255</v>
      </c>
      <c r="F15" s="263">
        <f t="shared" si="2"/>
        <v>181115.81404066834</v>
      </c>
      <c r="G15" s="263">
        <f t="shared" si="2"/>
        <v>202168.001125665</v>
      </c>
    </row>
    <row r="16" spans="1:7" s="1" customFormat="1" ht="10.5">
      <c r="A16" s="479"/>
      <c r="B16" s="263"/>
      <c r="C16" s="489"/>
      <c r="D16" s="263"/>
      <c r="E16" s="256"/>
      <c r="F16" s="263"/>
      <c r="G16" s="263"/>
    </row>
    <row r="17" spans="1:9" s="1" customFormat="1" ht="10.5">
      <c r="A17" s="478" t="s">
        <v>368</v>
      </c>
      <c r="B17" s="263"/>
      <c r="C17" s="489"/>
      <c r="D17" s="263"/>
      <c r="E17" s="256"/>
      <c r="F17" s="263"/>
      <c r="G17" s="263"/>
    </row>
    <row r="18" spans="1:9" s="1" customFormat="1" ht="11.25">
      <c r="A18" s="480" t="s">
        <v>82</v>
      </c>
      <c r="B18" s="265"/>
      <c r="C18" s="259"/>
      <c r="D18" s="265"/>
      <c r="E18" s="271"/>
      <c r="F18" s="265"/>
      <c r="G18" s="265"/>
    </row>
    <row r="19" spans="1:9" s="1" customFormat="1" ht="11.25">
      <c r="A19" s="481" t="s">
        <v>360</v>
      </c>
      <c r="B19" s="265">
        <f>+'Anexo 3 - Mano de Obra'!F36-'Anexo 18 - Presupuesto Personal'!B4</f>
        <v>21789.199999999997</v>
      </c>
      <c r="C19" s="259">
        <f>+'Anexo 3 - Mano de Obra'!G36-'Anexo 18 - Presupuesto Personal'!C4</f>
        <v>31902.660000000003</v>
      </c>
      <c r="D19" s="265">
        <f>+'Anexo 3 - Mano de Obra'!H36-'Anexo 18 - Presupuesto Personal'!D4</f>
        <v>33674.193000000007</v>
      </c>
      <c r="E19" s="271">
        <f>+'Anexo 3 - Mano de Obra'!I36-'Anexo 18 - Presupuesto Personal'!E4</f>
        <v>35172.682650000002</v>
      </c>
      <c r="F19" s="265">
        <f>+'Anexo 3 - Mano de Obra'!J36-'Anexo 18 - Presupuesto Personal'!F4</f>
        <v>36931.316782499998</v>
      </c>
      <c r="G19" s="265">
        <f>+'Anexo 3 - Mano de Obra'!K36-'Anexo 18 - Presupuesto Personal'!G4</f>
        <v>38777.882621625002</v>
      </c>
    </row>
    <row r="20" spans="1:9" s="1" customFormat="1" ht="11.25">
      <c r="A20" s="481" t="s">
        <v>350</v>
      </c>
      <c r="B20" s="265">
        <f>+'Anexo 18 - Presupuesto Personal'!B4</f>
        <v>13200</v>
      </c>
      <c r="C20" s="259">
        <f>+'Anexo 18 - Presupuesto Personal'!C4</f>
        <v>13860</v>
      </c>
      <c r="D20" s="265">
        <f>+'Anexo 18 - Presupuesto Personal'!D4</f>
        <v>14376.6</v>
      </c>
      <c r="E20" s="271">
        <f>+'Anexo 18 - Presupuesto Personal'!E4</f>
        <v>15280.65</v>
      </c>
      <c r="F20" s="265">
        <f>+'Anexo 18 - Presupuesto Personal'!F4</f>
        <v>16044.682500000001</v>
      </c>
      <c r="G20" s="265">
        <f>+'Anexo 18 - Presupuesto Personal'!G4</f>
        <v>16846.916625000002</v>
      </c>
    </row>
    <row r="21" spans="1:9" s="1" customFormat="1" ht="11.25">
      <c r="A21" s="481" t="s">
        <v>351</v>
      </c>
      <c r="B21" s="265">
        <f>+'Anexo 18 - Presupuesto Personal'!B8</f>
        <v>0</v>
      </c>
      <c r="C21" s="259">
        <f>+'Anexo 18 - Presupuesto Personal'!C8</f>
        <v>1155</v>
      </c>
      <c r="D21" s="265">
        <f>+'Anexo 18 - Presupuesto Personal'!D8</f>
        <v>1198.05</v>
      </c>
      <c r="E21" s="271">
        <f>+'Anexo 18 - Presupuesto Personal'!E8</f>
        <v>1273.3875</v>
      </c>
      <c r="F21" s="265">
        <f>+'Anexo 18 - Presupuesto Personal'!F8</f>
        <v>1337.056875</v>
      </c>
      <c r="G21" s="265">
        <f>+'Anexo 18 - Presupuesto Personal'!G8</f>
        <v>1403.9097187500001</v>
      </c>
    </row>
    <row r="22" spans="1:9" s="1" customFormat="1" ht="11.25">
      <c r="A22" s="481" t="s">
        <v>352</v>
      </c>
      <c r="B22" s="265">
        <f>+'Anexo 18 - Presupuesto Personal'!B9</f>
        <v>1100</v>
      </c>
      <c r="C22" s="259">
        <f>+'Anexo 18 - Presupuesto Personal'!C9</f>
        <v>1155</v>
      </c>
      <c r="D22" s="265">
        <f>+'Anexo 18 - Presupuesto Personal'!D9</f>
        <v>1198.05</v>
      </c>
      <c r="E22" s="271">
        <f>+'Anexo 18 - Presupuesto Personal'!E9</f>
        <v>1273.3875</v>
      </c>
      <c r="F22" s="265">
        <f>+'Anexo 18 - Presupuesto Personal'!F9</f>
        <v>1337.056875</v>
      </c>
      <c r="G22" s="265">
        <f>+'Anexo 18 - Presupuesto Personal'!G9</f>
        <v>1403.9097187500001</v>
      </c>
    </row>
    <row r="23" spans="1:9" s="1" customFormat="1" ht="11.25">
      <c r="A23" s="481" t="s">
        <v>353</v>
      </c>
      <c r="B23" s="265">
        <f>+'Anexo 18 - Presupuesto Personal'!B10</f>
        <v>960</v>
      </c>
      <c r="C23" s="259">
        <f>+'Anexo 18 - Presupuesto Personal'!C10</f>
        <v>1008</v>
      </c>
      <c r="D23" s="265">
        <f>+'Anexo 18 - Presupuesto Personal'!D10</f>
        <v>1058.4000000000001</v>
      </c>
      <c r="E23" s="271">
        <f>+'Anexo 18 - Presupuesto Personal'!E10</f>
        <v>1111.3200000000002</v>
      </c>
      <c r="F23" s="265">
        <f>+'Anexo 18 - Presupuesto Personal'!F10</f>
        <v>1166.8860000000002</v>
      </c>
      <c r="G23" s="265">
        <f>+'Anexo 18 - Presupuesto Personal'!G10</f>
        <v>1225.2303000000002</v>
      </c>
    </row>
    <row r="24" spans="1:9" s="1" customFormat="1" ht="11.25">
      <c r="A24" s="481" t="s">
        <v>354</v>
      </c>
      <c r="B24" s="265">
        <f>+'Anexo 18 - Presupuesto Personal'!B7</f>
        <v>550</v>
      </c>
      <c r="C24" s="259">
        <f>+'Anexo 18 - Presupuesto Personal'!C7</f>
        <v>577.5</v>
      </c>
      <c r="D24" s="265">
        <f>+'Anexo 18 - Presupuesto Personal'!D7</f>
        <v>599.02499999999998</v>
      </c>
      <c r="E24" s="271">
        <f>+'Anexo 18 - Presupuesto Personal'!E7</f>
        <v>636.69375000000002</v>
      </c>
      <c r="F24" s="265">
        <f>+'Anexo 18 - Presupuesto Personal'!F7</f>
        <v>668.5284375</v>
      </c>
      <c r="G24" s="265">
        <f>+'Anexo 18 - Presupuesto Personal'!G7</f>
        <v>701.95485937500007</v>
      </c>
    </row>
    <row r="25" spans="1:9" s="1" customFormat="1" ht="11.25">
      <c r="A25" s="481" t="s">
        <v>355</v>
      </c>
      <c r="B25" s="265">
        <f>+'Anexo 18 - Presupuesto Personal'!B6</f>
        <v>1471.8</v>
      </c>
      <c r="C25" s="259">
        <f>+'Anexo 18 - Presupuesto Personal'!C6</f>
        <v>1545.39</v>
      </c>
      <c r="D25" s="265">
        <f>+'Anexo 18 - Presupuesto Personal'!D6</f>
        <v>1602.9909</v>
      </c>
      <c r="E25" s="271">
        <f>+'Anexo 18 - Presupuesto Personal'!E6</f>
        <v>1703.792475</v>
      </c>
      <c r="F25" s="265">
        <f>+'Anexo 18 - Presupuesto Personal'!F6</f>
        <v>1788.9820987500002</v>
      </c>
      <c r="G25" s="265">
        <f>+'Anexo 18 - Presupuesto Personal'!G6</f>
        <v>1878.4312036875003</v>
      </c>
    </row>
    <row r="26" spans="1:9" s="1" customFormat="1" ht="11.25">
      <c r="A26" s="481" t="s">
        <v>345</v>
      </c>
      <c r="B26" s="265">
        <f>+'Anexo 16 - Estrateg. Publicidad'!H20</f>
        <v>8000</v>
      </c>
      <c r="C26" s="259">
        <f>+'Anexo 16 - Estrateg. Publicidad'!I20</f>
        <v>8700</v>
      </c>
      <c r="D26" s="265">
        <f>+'Anexo 16 - Estrateg. Publicidad'!J20</f>
        <v>9470.0000000000018</v>
      </c>
      <c r="E26" s="271">
        <f>+'Anexo 16 - Estrateg. Publicidad'!K20</f>
        <v>10367.000000000004</v>
      </c>
      <c r="F26" s="265">
        <f>+'Anexo 16 - Estrateg. Publicidad'!L20</f>
        <v>11351.200000000006</v>
      </c>
      <c r="G26" s="265">
        <f>+'Anexo 16 - Estrateg. Publicidad'!M20</f>
        <v>12431.195000000007</v>
      </c>
      <c r="H26" s="97"/>
      <c r="I26" s="97"/>
    </row>
    <row r="27" spans="1:9" s="1" customFormat="1" ht="11.25">
      <c r="A27" s="481" t="s">
        <v>346</v>
      </c>
      <c r="B27" s="265">
        <f>+'Anexo 10 - Suminis. y serv.'!D28</f>
        <v>1560</v>
      </c>
      <c r="C27" s="259">
        <f>+'Anexo 10 - Suminis. y serv.'!E28</f>
        <v>1638</v>
      </c>
      <c r="D27" s="265">
        <f>+'Anexo 10 - Suminis. y serv.'!F28</f>
        <v>1719.9</v>
      </c>
      <c r="E27" s="271">
        <f>+'Anexo 10 - Suminis. y serv.'!G28</f>
        <v>1805.8950000000002</v>
      </c>
      <c r="F27" s="265">
        <f>+'Anexo 10 - Suminis. y serv.'!H28</f>
        <v>1896.1897500000002</v>
      </c>
      <c r="G27" s="265">
        <f>+'Anexo 10 - Suminis. y serv.'!I28</f>
        <v>1990.9992375000004</v>
      </c>
    </row>
    <row r="28" spans="1:9" s="1" customFormat="1" ht="11.25">
      <c r="A28" s="481" t="s">
        <v>347</v>
      </c>
      <c r="B28" s="265">
        <f>+'Anexo 10 - Suminis. y serv.'!D17</f>
        <v>495.9</v>
      </c>
      <c r="C28" s="259">
        <f>+'Anexo 10 - Suminis. y serv.'!E17</f>
        <v>520.69499999999994</v>
      </c>
      <c r="D28" s="265">
        <f>+'Anexo 10 - Suminis. y serv.'!F17</f>
        <v>546.72975000000008</v>
      </c>
      <c r="E28" s="271">
        <f>+'Anexo 10 - Suminis. y serv.'!G17</f>
        <v>574.06623750000006</v>
      </c>
      <c r="F28" s="265">
        <f>+'Anexo 10 - Suminis. y serv.'!H17</f>
        <v>602.76954937499988</v>
      </c>
      <c r="G28" s="265">
        <f>+'Anexo 10 - Suminis. y serv.'!I17</f>
        <v>632.90802684375012</v>
      </c>
    </row>
    <row r="29" spans="1:9" s="1" customFormat="1" ht="11.25">
      <c r="A29" s="481" t="s">
        <v>348</v>
      </c>
      <c r="B29" s="265">
        <f>+'Anexo 15 - Alquiler'!E9</f>
        <v>1056</v>
      </c>
      <c r="C29" s="259">
        <f>+'Anexo 15 - Alquiler'!F9</f>
        <v>1041</v>
      </c>
      <c r="D29" s="265">
        <f>+'Anexo 15 - Alquiler'!G9</f>
        <v>1026</v>
      </c>
      <c r="E29" s="271">
        <f>+'Anexo 15 - Alquiler'!H9</f>
        <v>1011</v>
      </c>
      <c r="F29" s="265">
        <f>+'Anexo 15 - Alquiler'!I9</f>
        <v>996</v>
      </c>
      <c r="G29" s="265">
        <f>+'Anexo 15 - Alquiler'!J9</f>
        <v>981</v>
      </c>
    </row>
    <row r="30" spans="1:9" s="1" customFormat="1" ht="11.25">
      <c r="A30" s="481" t="s">
        <v>349</v>
      </c>
      <c r="B30" s="265">
        <f>+'Anexo 12 - Infraestructura'!E14</f>
        <v>26855</v>
      </c>
      <c r="C30" s="259">
        <f>+'Anexo 12 - Infraestructura'!F14</f>
        <v>0</v>
      </c>
      <c r="D30" s="265">
        <f>+'Anexo 12 - Infraestructura'!G14</f>
        <v>0</v>
      </c>
      <c r="E30" s="271">
        <f>+'Anexo 12 - Infraestructura'!H14</f>
        <v>10145</v>
      </c>
      <c r="F30" s="265">
        <f>+'Anexo 12 - Infraestructura'!I14</f>
        <v>0</v>
      </c>
      <c r="G30" s="265">
        <f>+'Anexo 12 - Infraestructura'!J14</f>
        <v>0</v>
      </c>
    </row>
    <row r="31" spans="1:9" s="1" customFormat="1" ht="11.25">
      <c r="A31" s="481" t="s">
        <v>357</v>
      </c>
      <c r="B31" s="265">
        <f>+'Anexo 8 - Activos Fijos'!D31</f>
        <v>360</v>
      </c>
      <c r="C31" s="490">
        <v>0</v>
      </c>
      <c r="D31" s="264">
        <v>0</v>
      </c>
      <c r="E31" s="272">
        <v>0</v>
      </c>
      <c r="F31" s="264">
        <v>0</v>
      </c>
      <c r="G31" s="264">
        <v>0</v>
      </c>
    </row>
    <row r="32" spans="1:9" s="1" customFormat="1" ht="11.25">
      <c r="A32" s="481" t="s">
        <v>356</v>
      </c>
      <c r="B32" s="265">
        <f>+'Anexo 8 - Activos Fijos'!D10</f>
        <v>1235</v>
      </c>
      <c r="C32" s="490">
        <v>0</v>
      </c>
      <c r="D32" s="264">
        <v>0</v>
      </c>
      <c r="E32" s="272">
        <v>0</v>
      </c>
      <c r="F32" s="264">
        <v>0</v>
      </c>
      <c r="G32" s="264">
        <v>0</v>
      </c>
    </row>
    <row r="33" spans="1:10" s="1" customFormat="1" ht="11.25">
      <c r="A33" s="481" t="s">
        <v>358</v>
      </c>
      <c r="B33" s="265">
        <f>+'Anexo 8 - Activos Fijos'!D66</f>
        <v>1242.1200000000001</v>
      </c>
      <c r="C33" s="490">
        <v>0</v>
      </c>
      <c r="D33" s="264">
        <f>+B33*1.05</f>
        <v>1304.2260000000001</v>
      </c>
      <c r="E33" s="272">
        <v>0</v>
      </c>
      <c r="F33" s="264">
        <f>+D33*1.05</f>
        <v>1369.4373000000003</v>
      </c>
      <c r="G33" s="264">
        <v>0</v>
      </c>
    </row>
    <row r="34" spans="1:10" s="1" customFormat="1" ht="11.25">
      <c r="A34" s="481" t="s">
        <v>361</v>
      </c>
      <c r="B34" s="265">
        <f>+'Anexo 8 - Activos Fijos'!D64</f>
        <v>6656</v>
      </c>
      <c r="C34" s="490">
        <v>0</v>
      </c>
      <c r="D34" s="264">
        <v>0</v>
      </c>
      <c r="E34" s="272">
        <v>0</v>
      </c>
      <c r="F34" s="264">
        <v>0</v>
      </c>
      <c r="G34" s="264">
        <v>0</v>
      </c>
    </row>
    <row r="35" spans="1:10" s="1" customFormat="1" ht="11.25">
      <c r="A35" s="481" t="s">
        <v>362</v>
      </c>
      <c r="B35" s="265">
        <f>+'Anexo 8 - Activos Fijos'!D22</f>
        <v>15000</v>
      </c>
      <c r="C35" s="490">
        <v>0</v>
      </c>
      <c r="D35" s="264">
        <v>0</v>
      </c>
      <c r="E35" s="272">
        <v>0</v>
      </c>
      <c r="F35" s="264">
        <v>0</v>
      </c>
      <c r="G35" s="264">
        <v>0</v>
      </c>
    </row>
    <row r="36" spans="1:10" s="1" customFormat="1" ht="11.25">
      <c r="A36" s="481" t="s">
        <v>363</v>
      </c>
      <c r="B36" s="265">
        <f>+'Anexo 8 - Activos Fijos'!D16</f>
        <v>12000</v>
      </c>
      <c r="C36" s="490">
        <v>0</v>
      </c>
      <c r="D36" s="264">
        <v>0</v>
      </c>
      <c r="E36" s="272">
        <v>0</v>
      </c>
      <c r="F36" s="264">
        <v>0</v>
      </c>
      <c r="G36" s="264">
        <v>0</v>
      </c>
    </row>
    <row r="37" spans="1:10" s="1" customFormat="1" ht="11.25">
      <c r="A37" s="481" t="s">
        <v>359</v>
      </c>
      <c r="B37" s="265">
        <f>+'Anexo 9 - Depreciación'!C75</f>
        <v>5456.0166666666664</v>
      </c>
      <c r="C37" s="259">
        <f>+'Anexo 9 - Depreciación'!C76</f>
        <v>5456.0166666666664</v>
      </c>
      <c r="D37" s="265">
        <f>+'Anexo 9 - Depreciación'!C77</f>
        <v>5456.0166666666664</v>
      </c>
      <c r="E37" s="271">
        <f>+'Anexo 9 - Depreciación'!C78</f>
        <v>5044.3500000000004</v>
      </c>
      <c r="F37" s="265">
        <f>+'Anexo 9 - Depreciación'!C79</f>
        <v>5044.3500000000004</v>
      </c>
      <c r="G37" s="265">
        <f>+'Anexo 9 - Depreciación'!C80</f>
        <v>1378.75</v>
      </c>
    </row>
    <row r="38" spans="1:10" s="1" customFormat="1" ht="11.25">
      <c r="A38" s="482" t="s">
        <v>364</v>
      </c>
      <c r="B38" s="266">
        <f t="shared" ref="B38:G38" si="3">SUM(B18:B37)</f>
        <v>118987.03666666665</v>
      </c>
      <c r="C38" s="260">
        <f t="shared" si="3"/>
        <v>68559.261666666673</v>
      </c>
      <c r="D38" s="266">
        <f t="shared" si="3"/>
        <v>73230.181316666669</v>
      </c>
      <c r="E38" s="273">
        <f t="shared" si="3"/>
        <v>85399.225112500004</v>
      </c>
      <c r="F38" s="266">
        <f t="shared" si="3"/>
        <v>80534.456168125034</v>
      </c>
      <c r="G38" s="266">
        <f t="shared" si="3"/>
        <v>79653.087311531272</v>
      </c>
      <c r="H38" s="97"/>
      <c r="I38" s="97"/>
      <c r="J38" s="97"/>
    </row>
    <row r="39" spans="1:10" s="1" customFormat="1" ht="10.5">
      <c r="A39" s="483" t="s">
        <v>369</v>
      </c>
      <c r="B39" s="267">
        <f t="shared" ref="B39:G39" si="4">+B15-B38</f>
        <v>-87644.678749999992</v>
      </c>
      <c r="C39" s="261">
        <f t="shared" si="4"/>
        <v>66157.458333333358</v>
      </c>
      <c r="D39" s="267">
        <f t="shared" si="4"/>
        <v>74605.23910833332</v>
      </c>
      <c r="E39" s="274">
        <f t="shared" si="4"/>
        <v>79509.420612312548</v>
      </c>
      <c r="F39" s="267">
        <f t="shared" si="4"/>
        <v>100581.3578725433</v>
      </c>
      <c r="G39" s="267">
        <f t="shared" si="4"/>
        <v>122514.91381413373</v>
      </c>
    </row>
    <row r="40" spans="1:10" s="1" customFormat="1" ht="10.5">
      <c r="A40" s="478" t="s">
        <v>370</v>
      </c>
      <c r="B40" s="487"/>
      <c r="C40" s="258">
        <f>'Anexo11 - Amortización Prestamo'!$E$17</f>
        <v>7511.4621000000016</v>
      </c>
      <c r="D40" s="258">
        <f>'Anexo11 - Amortización Prestamo'!$E$18</f>
        <v>6311.3259862464593</v>
      </c>
      <c r="E40" s="258">
        <f>'Anexo11 - Amortización Prestamo'!$E$19</f>
        <v>4976.1745596956443</v>
      </c>
      <c r="F40" s="258">
        <f>'Anexo11 - Amortización Prestamo'!$E$20</f>
        <v>3490.818597657862</v>
      </c>
      <c r="G40" s="258">
        <f>'Anexo11 - Amortización Prestamo'!$E$21</f>
        <v>1838.3600898908294</v>
      </c>
    </row>
    <row r="41" spans="1:10" s="1" customFormat="1" ht="10.5">
      <c r="A41" s="483" t="s">
        <v>371</v>
      </c>
      <c r="B41" s="267">
        <f t="shared" ref="B41:G41" si="5">+B39-B40</f>
        <v>-87644.678749999992</v>
      </c>
      <c r="C41" s="261">
        <f t="shared" si="5"/>
        <v>58645.996233333353</v>
      </c>
      <c r="D41" s="267">
        <f t="shared" si="5"/>
        <v>68293.913122086858</v>
      </c>
      <c r="E41" s="274">
        <f t="shared" si="5"/>
        <v>74533.246052616902</v>
      </c>
      <c r="F41" s="267">
        <f t="shared" si="5"/>
        <v>97090.539274885436</v>
      </c>
      <c r="G41" s="267">
        <f t="shared" si="5"/>
        <v>120676.5537242429</v>
      </c>
      <c r="H41" s="97"/>
      <c r="I41" s="97"/>
    </row>
    <row r="42" spans="1:10" s="1" customFormat="1" ht="21">
      <c r="A42" s="483" t="s">
        <v>372</v>
      </c>
      <c r="B42" s="267">
        <f t="shared" ref="B42:G42" si="6">IF(B39&gt;0,B39*0.15,0)</f>
        <v>0</v>
      </c>
      <c r="C42" s="261">
        <f t="shared" si="6"/>
        <v>9923.6187500000033</v>
      </c>
      <c r="D42" s="267">
        <f t="shared" si="6"/>
        <v>11190.785866249998</v>
      </c>
      <c r="E42" s="274">
        <f t="shared" si="6"/>
        <v>11926.413091846882</v>
      </c>
      <c r="F42" s="267">
        <f t="shared" si="6"/>
        <v>15087.203680881496</v>
      </c>
      <c r="G42" s="267">
        <f t="shared" si="6"/>
        <v>18377.23707212006</v>
      </c>
    </row>
    <row r="43" spans="1:10" s="1" customFormat="1" ht="10.5">
      <c r="A43" s="483" t="s">
        <v>373</v>
      </c>
      <c r="B43" s="459">
        <f t="shared" ref="B43:G43" si="7">+B41-B42</f>
        <v>-87644.678749999992</v>
      </c>
      <c r="C43" s="458">
        <f t="shared" si="7"/>
        <v>48722.377483333352</v>
      </c>
      <c r="D43" s="459">
        <f t="shared" si="7"/>
        <v>57103.127255836858</v>
      </c>
      <c r="E43" s="460">
        <f t="shared" si="7"/>
        <v>62606.832960770022</v>
      </c>
      <c r="F43" s="459">
        <f t="shared" si="7"/>
        <v>82003.335594003933</v>
      </c>
      <c r="G43" s="459">
        <f t="shared" si="7"/>
        <v>102299.31665212284</v>
      </c>
    </row>
    <row r="44" spans="1:10" s="1" customFormat="1" ht="11.25" thickBot="1">
      <c r="A44" s="484" t="s">
        <v>374</v>
      </c>
      <c r="B44" s="267">
        <f t="shared" ref="B44:G44" si="8">IF(B43&gt;0,B43*0.25,0)</f>
        <v>0</v>
      </c>
      <c r="C44" s="261">
        <f t="shared" si="8"/>
        <v>12180.594370833338</v>
      </c>
      <c r="D44" s="268">
        <f t="shared" si="8"/>
        <v>14275.781813959215</v>
      </c>
      <c r="E44" s="274">
        <f t="shared" si="8"/>
        <v>15651.708240192505</v>
      </c>
      <c r="F44" s="268">
        <f t="shared" si="8"/>
        <v>20500.833898500983</v>
      </c>
      <c r="G44" s="267">
        <f t="shared" si="8"/>
        <v>25574.82916303071</v>
      </c>
    </row>
    <row r="45" spans="1:10" s="1" customFormat="1" ht="11.25" thickBot="1">
      <c r="A45" s="486" t="s">
        <v>375</v>
      </c>
      <c r="B45" s="278">
        <f t="shared" ref="B45:G45" si="9">+B39-B42-B44</f>
        <v>-87644.678749999992</v>
      </c>
      <c r="C45" s="278">
        <f t="shared" si="9"/>
        <v>44053.24521250002</v>
      </c>
      <c r="D45" s="275">
        <f t="shared" si="9"/>
        <v>49138.671428124107</v>
      </c>
      <c r="E45" s="541">
        <f t="shared" si="9"/>
        <v>51931.299280273153</v>
      </c>
      <c r="F45" s="275">
        <f t="shared" si="9"/>
        <v>64993.320293160818</v>
      </c>
      <c r="G45" s="269">
        <f t="shared" si="9"/>
        <v>78562.847578982968</v>
      </c>
    </row>
    <row r="46" spans="1:10" s="1" customFormat="1" ht="10.5">
      <c r="A46" s="483" t="s">
        <v>378</v>
      </c>
      <c r="B46" s="261">
        <f t="shared" ref="B46:G46" si="10">+B37</f>
        <v>5456.0166666666664</v>
      </c>
      <c r="C46" s="261">
        <f t="shared" si="10"/>
        <v>5456.0166666666664</v>
      </c>
      <c r="D46" s="261">
        <f t="shared" si="10"/>
        <v>5456.0166666666664</v>
      </c>
      <c r="E46" s="261">
        <f t="shared" si="10"/>
        <v>5044.3500000000004</v>
      </c>
      <c r="F46" s="261">
        <f t="shared" si="10"/>
        <v>5044.3500000000004</v>
      </c>
      <c r="G46" s="267">
        <f t="shared" si="10"/>
        <v>1378.75</v>
      </c>
      <c r="H46" s="97"/>
      <c r="I46" s="97"/>
    </row>
    <row r="47" spans="1:10" s="1" customFormat="1" ht="10.5">
      <c r="A47" s="483" t="s">
        <v>376</v>
      </c>
      <c r="B47" s="261"/>
      <c r="C47" s="261">
        <f>+'Anexo11 - Amortización Prestamo'!$D$17</f>
        <v>10667.876566698153</v>
      </c>
      <c r="D47" s="261">
        <f>+'Anexo11 - Amortización Prestamo'!$D$18</f>
        <v>11868.012680451695</v>
      </c>
      <c r="E47" s="261">
        <f>+'Anexo11 - Amortización Prestamo'!$D$19</f>
        <v>13203.164107002509</v>
      </c>
      <c r="F47" s="261">
        <f>+'Anexo11 - Amortización Prestamo'!$D$20</f>
        <v>14688.520069040291</v>
      </c>
      <c r="G47" s="261">
        <f>+'Anexo11 - Amortización Prestamo'!$D$21</f>
        <v>16340.978576807323</v>
      </c>
    </row>
    <row r="48" spans="1:10" s="1" customFormat="1" ht="11.25">
      <c r="A48" s="485" t="s">
        <v>377</v>
      </c>
      <c r="B48" s="458">
        <f>- 'Anexo 13 -  Inversion Inicial'!B27</f>
        <v>-111280.92000000001</v>
      </c>
      <c r="C48" s="264">
        <v>0</v>
      </c>
      <c r="D48" s="264">
        <v>0</v>
      </c>
      <c r="E48" s="264">
        <v>0</v>
      </c>
      <c r="F48" s="264">
        <v>0</v>
      </c>
      <c r="G48" s="264">
        <v>0</v>
      </c>
    </row>
    <row r="49" spans="1:8" s="1" customFormat="1" ht="11.25">
      <c r="A49" s="484" t="s">
        <v>379</v>
      </c>
      <c r="B49" s="261">
        <f>-'Anexo 17 - Otros Gastos'!D60</f>
        <v>-2000.6</v>
      </c>
      <c r="C49" s="264">
        <v>0</v>
      </c>
      <c r="D49" s="264">
        <v>0</v>
      </c>
      <c r="E49" s="264">
        <v>0</v>
      </c>
      <c r="F49" s="264">
        <v>0</v>
      </c>
      <c r="G49" s="264">
        <v>0</v>
      </c>
    </row>
    <row r="50" spans="1:8" s="1" customFormat="1" ht="11.25">
      <c r="A50" s="484" t="s">
        <v>380</v>
      </c>
      <c r="B50" s="261">
        <f>+'Anexo 4 - Capital de trabajo'!N8</f>
        <v>-18894.942083333321</v>
      </c>
      <c r="C50" s="264">
        <v>0</v>
      </c>
      <c r="D50" s="264">
        <v>0</v>
      </c>
      <c r="E50" s="264">
        <v>0</v>
      </c>
      <c r="F50" s="264">
        <v>0</v>
      </c>
      <c r="G50" s="264">
        <f>-B50</f>
        <v>18894.942083333321</v>
      </c>
    </row>
    <row r="51" spans="1:8" s="1" customFormat="1" ht="12" thickBot="1">
      <c r="A51" s="484" t="s">
        <v>381</v>
      </c>
      <c r="B51" s="261">
        <f>+'Anexo 13 -  Inversion Inicial'!B2</f>
        <v>66768.552000000011</v>
      </c>
      <c r="C51" s="264">
        <v>0</v>
      </c>
      <c r="D51" s="264">
        <v>0</v>
      </c>
      <c r="E51" s="264">
        <v>0</v>
      </c>
      <c r="F51" s="264">
        <v>0</v>
      </c>
      <c r="G51" s="264">
        <v>0</v>
      </c>
    </row>
    <row r="52" spans="1:8" s="1" customFormat="1" ht="11.25" thickBot="1">
      <c r="A52" s="279" t="s">
        <v>382</v>
      </c>
      <c r="B52" s="278">
        <f t="shared" ref="B52:G52" si="11">+SUM(B46:B51)</f>
        <v>-59951.893416666673</v>
      </c>
      <c r="C52" s="278">
        <f t="shared" si="11"/>
        <v>16123.893233364819</v>
      </c>
      <c r="D52" s="278">
        <f t="shared" si="11"/>
        <v>17324.029347118361</v>
      </c>
      <c r="E52" s="278">
        <f t="shared" si="11"/>
        <v>18247.514107002509</v>
      </c>
      <c r="F52" s="278">
        <f t="shared" si="11"/>
        <v>19732.870069040291</v>
      </c>
      <c r="G52" s="278">
        <f t="shared" si="11"/>
        <v>36614.670660140648</v>
      </c>
    </row>
    <row r="53" spans="1:8" s="1" customFormat="1" ht="10.5">
      <c r="A53" s="543" t="s">
        <v>421</v>
      </c>
      <c r="B53" s="544"/>
      <c r="C53" s="544">
        <f>+C12+C29+C28+C27+C26+C33</f>
        <v>20089.695</v>
      </c>
      <c r="D53" s="544">
        <f>+D12+D29+D28+D27+D26+D33</f>
        <v>22666.355749999999</v>
      </c>
      <c r="E53" s="544">
        <f>+E12+E29+E28+E27+E26+E33</f>
        <v>22787.436237500006</v>
      </c>
      <c r="F53" s="544">
        <f>+F12+F29+F28+F27+F26+F33</f>
        <v>25696.545349375006</v>
      </c>
      <c r="G53" s="545">
        <f>+G12+G29+G28+G27+G26+G33</f>
        <v>25668.989295593758</v>
      </c>
    </row>
    <row r="54" spans="1:8" s="1" customFormat="1" ht="10.5">
      <c r="A54" s="540" t="s">
        <v>422</v>
      </c>
      <c r="B54" s="458"/>
      <c r="C54" s="458">
        <f>+C11+C19+C20+C22+C23+C24+C25+C37</f>
        <v>57576.216666666674</v>
      </c>
      <c r="D54" s="458">
        <f>+D11+D19+D20+D22+D23+D24+D25+D37</f>
        <v>61369.008066666676</v>
      </c>
      <c r="E54" s="458">
        <f>+E11+E19+E20+E22+E23+E24+E25+E37</f>
        <v>62506.870499999997</v>
      </c>
      <c r="F54" s="458">
        <f>+F11+F19+F20+F22+F23+F24+F25+F37</f>
        <v>66669.921524999998</v>
      </c>
      <c r="G54" s="459">
        <f>+G11+G19+G20+G22+G23+G24+G25+G37</f>
        <v>64611.269159687501</v>
      </c>
    </row>
    <row r="55" spans="1:8" s="1" customFormat="1" ht="10.5">
      <c r="A55" s="540" t="s">
        <v>420</v>
      </c>
      <c r="B55" s="458"/>
      <c r="C55" s="458">
        <f>+C8</f>
        <v>144978.37000000002</v>
      </c>
      <c r="D55" s="458">
        <f>+D8</f>
        <v>159838.652925</v>
      </c>
      <c r="E55" s="458">
        <f>+E8</f>
        <v>176222.11484981255</v>
      </c>
      <c r="F55" s="458">
        <f>+F8</f>
        <v>194284.88162191835</v>
      </c>
      <c r="G55" s="459">
        <f>+G8</f>
        <v>214199.08198816501</v>
      </c>
    </row>
    <row r="56" spans="1:8" s="1" customFormat="1" ht="10.5">
      <c r="A56" s="540" t="s">
        <v>423</v>
      </c>
      <c r="B56" s="458"/>
      <c r="C56" s="458">
        <f>+C55-C54</f>
        <v>87402.15333333335</v>
      </c>
      <c r="D56" s="458">
        <f>+D55-D54</f>
        <v>98469.644858333326</v>
      </c>
      <c r="E56" s="458">
        <f>+E55-E54</f>
        <v>113715.24434981256</v>
      </c>
      <c r="F56" s="458">
        <f>+F55-F54</f>
        <v>127614.96009691835</v>
      </c>
      <c r="G56" s="459">
        <f>+G55-G54</f>
        <v>149587.8128284775</v>
      </c>
    </row>
    <row r="57" spans="1:8" s="1" customFormat="1" ht="10.5">
      <c r="A57" s="485" t="s">
        <v>419</v>
      </c>
      <c r="B57" s="542"/>
      <c r="C57" s="542">
        <f>+C53/C56</f>
        <v>0.22985354746789988</v>
      </c>
      <c r="D57" s="542">
        <f>+D53/D56</f>
        <v>0.23018622421772431</v>
      </c>
      <c r="E57" s="542">
        <f>+E53/E56</f>
        <v>0.20039033788118107</v>
      </c>
      <c r="F57" s="542">
        <f>+F53/F56</f>
        <v>0.20135997636844088</v>
      </c>
      <c r="G57" s="546">
        <f>+G53/G56</f>
        <v>0.17159813229588897</v>
      </c>
    </row>
    <row r="58" spans="1:8" s="1" customFormat="1" ht="12" thickBot="1">
      <c r="A58" s="547" t="s">
        <v>420</v>
      </c>
      <c r="B58" s="548"/>
      <c r="C58" s="549">
        <f>+C56*C57</f>
        <v>20089.695</v>
      </c>
      <c r="D58" s="549">
        <f>+D56*D57</f>
        <v>22666.355749999999</v>
      </c>
      <c r="E58" s="549">
        <f>+E56*E57</f>
        <v>22787.436237500006</v>
      </c>
      <c r="F58" s="549">
        <f>+F56*F57</f>
        <v>25696.545349375006</v>
      </c>
      <c r="G58" s="549">
        <f>+G56*G57</f>
        <v>25668.989295593758</v>
      </c>
    </row>
    <row r="59" spans="1:8" s="1" customFormat="1" ht="11.25">
      <c r="A59" s="550"/>
      <c r="B59" s="551"/>
      <c r="C59" s="552"/>
      <c r="D59" s="552"/>
      <c r="E59" s="552"/>
      <c r="F59" s="552"/>
      <c r="G59" s="552"/>
    </row>
    <row r="60" spans="1:8" s="1" customFormat="1" ht="11.25" thickBot="1"/>
    <row r="61" spans="1:8" s="1" customFormat="1" ht="13.5" customHeight="1" thickBot="1">
      <c r="A61" s="588" t="s">
        <v>424</v>
      </c>
      <c r="B61" s="589"/>
    </row>
    <row r="62" spans="1:8" s="1" customFormat="1" ht="15" customHeight="1">
      <c r="A62" s="492" t="s">
        <v>95</v>
      </c>
      <c r="B62" s="572">
        <f>NPV(B72,C52:G52)+B52</f>
        <v>987.08286071427574</v>
      </c>
    </row>
    <row r="63" spans="1:8" s="1" customFormat="1" ht="14.25" customHeight="1">
      <c r="A63" s="493" t="s">
        <v>94</v>
      </c>
      <c r="B63" s="506">
        <f>IRR(B52:G52)</f>
        <v>0.20203909833926642</v>
      </c>
    </row>
    <row r="64" spans="1:8" s="1" customFormat="1" ht="16.5" thickBot="1">
      <c r="A64" s="494" t="s">
        <v>383</v>
      </c>
      <c r="B64" s="507">
        <f>+B72</f>
        <v>0.19552</v>
      </c>
      <c r="E64" s="519" t="s">
        <v>404</v>
      </c>
      <c r="G64"/>
      <c r="H64"/>
    </row>
    <row r="65" spans="1:8" s="94" customFormat="1" ht="11.25" thickBot="1">
      <c r="A65" s="203"/>
      <c r="B65" s="491"/>
      <c r="F65" s="517" t="s">
        <v>405</v>
      </c>
      <c r="G65" s="518" t="s">
        <v>406</v>
      </c>
      <c r="H65" s="516" t="s">
        <v>407</v>
      </c>
    </row>
    <row r="66" spans="1:8" s="1" customFormat="1" ht="11.25" thickBot="1">
      <c r="F66" s="492" t="s">
        <v>408</v>
      </c>
      <c r="G66" s="515" t="s">
        <v>409</v>
      </c>
      <c r="H66" s="492" t="s">
        <v>410</v>
      </c>
    </row>
    <row r="67" spans="1:8" s="1" customFormat="1" ht="13.5" customHeight="1" thickBot="1">
      <c r="A67" s="586" t="s">
        <v>383</v>
      </c>
      <c r="B67" s="587"/>
      <c r="F67" s="495" t="s">
        <v>94</v>
      </c>
      <c r="G67" s="507" t="s">
        <v>411</v>
      </c>
      <c r="H67" s="495" t="s">
        <v>412</v>
      </c>
    </row>
    <row r="68" spans="1:8" s="1" customFormat="1" ht="10.5">
      <c r="A68" s="373" t="s">
        <v>416</v>
      </c>
      <c r="B68" s="521">
        <v>6.0000000000000001E-3</v>
      </c>
    </row>
    <row r="69" spans="1:8" s="1" customFormat="1" ht="10.5">
      <c r="A69" s="374" t="s">
        <v>415</v>
      </c>
      <c r="B69" s="267">
        <v>0.95</v>
      </c>
    </row>
    <row r="70" spans="1:8" s="1" customFormat="1" ht="10.5">
      <c r="A70" s="496" t="s">
        <v>416</v>
      </c>
      <c r="B70" s="522">
        <v>0.1196</v>
      </c>
    </row>
    <row r="71" spans="1:8" s="1" customFormat="1" ht="10.5">
      <c r="A71" s="496" t="s">
        <v>417</v>
      </c>
      <c r="B71" s="522">
        <f>+B74</f>
        <v>8.1600000000000006E-2</v>
      </c>
    </row>
    <row r="72" spans="1:8" ht="13.5" thickBot="1">
      <c r="A72" s="495" t="s">
        <v>383</v>
      </c>
      <c r="B72" s="524">
        <f>+(B68+(B69*(B70-B68))+B71)</f>
        <v>0.19552</v>
      </c>
    </row>
    <row r="73" spans="1:8">
      <c r="A73" s="101"/>
      <c r="B73" s="520"/>
    </row>
    <row r="74" spans="1:8">
      <c r="A74" s="134" t="s">
        <v>414</v>
      </c>
      <c r="B74" s="523">
        <v>8.1600000000000006E-2</v>
      </c>
    </row>
    <row r="76" spans="1:8" ht="13.5" thickBot="1"/>
    <row r="77" spans="1:8" ht="13.5" thickBot="1">
      <c r="B77" s="586" t="s">
        <v>399</v>
      </c>
      <c r="C77" s="587"/>
    </row>
    <row r="78" spans="1:8" ht="42.75" thickBot="1">
      <c r="B78" s="502" t="s">
        <v>400</v>
      </c>
      <c r="C78" s="499" t="s">
        <v>401</v>
      </c>
      <c r="D78" s="500" t="s">
        <v>402</v>
      </c>
      <c r="E78" s="499" t="s">
        <v>403</v>
      </c>
      <c r="F78" s="501" t="s">
        <v>436</v>
      </c>
    </row>
    <row r="79" spans="1:8">
      <c r="B79" s="498">
        <v>1</v>
      </c>
      <c r="C79" s="503">
        <f>-B52</f>
        <v>59951.893416666673</v>
      </c>
      <c r="D79" s="503">
        <f>+C52</f>
        <v>16123.893233364819</v>
      </c>
      <c r="E79" s="509">
        <f>+C79*$B$72</f>
        <v>11721.794200826667</v>
      </c>
      <c r="F79" s="508">
        <f t="shared" ref="F79:F85" si="12">+D79-E79</f>
        <v>4402.0990325381517</v>
      </c>
    </row>
    <row r="80" spans="1:8">
      <c r="B80" s="496">
        <v>2</v>
      </c>
      <c r="C80" s="504">
        <f t="shared" ref="C80:C85" si="13">+C79-F79</f>
        <v>55549.794384128523</v>
      </c>
      <c r="D80" s="504">
        <f>+D52</f>
        <v>17324.029347118361</v>
      </c>
      <c r="E80" s="510">
        <f>+C80*B72</f>
        <v>10861.095797984808</v>
      </c>
      <c r="F80" s="510">
        <f t="shared" si="12"/>
        <v>6462.9335491335532</v>
      </c>
    </row>
    <row r="81" spans="2:6">
      <c r="B81" s="496">
        <v>3</v>
      </c>
      <c r="C81" s="504">
        <f t="shared" si="13"/>
        <v>49086.860834994972</v>
      </c>
      <c r="D81" s="504">
        <f>+E52</f>
        <v>18247.514107002509</v>
      </c>
      <c r="E81" s="510">
        <f>+C81*B73</f>
        <v>0</v>
      </c>
      <c r="F81" s="510">
        <f t="shared" si="12"/>
        <v>18247.514107002509</v>
      </c>
    </row>
    <row r="82" spans="2:6">
      <c r="B82" s="496">
        <v>4</v>
      </c>
      <c r="C82" s="504">
        <f t="shared" si="13"/>
        <v>30839.346727992463</v>
      </c>
      <c r="D82" s="504">
        <f>+F52</f>
        <v>19732.870069040291</v>
      </c>
      <c r="E82" s="510">
        <f>+C82*B74</f>
        <v>2516.4906930041852</v>
      </c>
      <c r="F82" s="510">
        <f t="shared" si="12"/>
        <v>17216.379376036108</v>
      </c>
    </row>
    <row r="83" spans="2:6">
      <c r="B83" s="512">
        <v>5</v>
      </c>
      <c r="C83" s="513">
        <f t="shared" si="13"/>
        <v>13622.967351956355</v>
      </c>
      <c r="D83" s="513">
        <f>+G52</f>
        <v>36614.670660140648</v>
      </c>
      <c r="E83" s="514">
        <f>+C83*B72</f>
        <v>2663.5625766545063</v>
      </c>
      <c r="F83" s="514">
        <f t="shared" si="12"/>
        <v>33951.108083486142</v>
      </c>
    </row>
    <row r="84" spans="2:6">
      <c r="B84" s="496">
        <v>6</v>
      </c>
      <c r="C84" s="504">
        <f t="shared" si="13"/>
        <v>-20328.140731529787</v>
      </c>
      <c r="D84" s="504">
        <f>+G53</f>
        <v>25668.989295593758</v>
      </c>
      <c r="E84" s="510">
        <f>+C84*B73</f>
        <v>0</v>
      </c>
      <c r="F84" s="510">
        <f t="shared" si="12"/>
        <v>25668.989295593758</v>
      </c>
    </row>
    <row r="85" spans="2:6" ht="13.5" thickBot="1">
      <c r="B85" s="497">
        <v>7</v>
      </c>
      <c r="C85" s="505">
        <f t="shared" si="13"/>
        <v>-45997.130027123545</v>
      </c>
      <c r="D85" s="505">
        <f>+G54</f>
        <v>64611.269159687501</v>
      </c>
      <c r="E85" s="511">
        <f>+C85*B74</f>
        <v>-3753.3658102132817</v>
      </c>
      <c r="F85" s="511">
        <f t="shared" si="12"/>
        <v>68364.634969900784</v>
      </c>
    </row>
  </sheetData>
  <mergeCells count="4">
    <mergeCell ref="A1:G2"/>
    <mergeCell ref="A67:B67"/>
    <mergeCell ref="A61:B61"/>
    <mergeCell ref="B77:C77"/>
  </mergeCells>
  <phoneticPr fontId="0" type="noConversion"/>
  <printOptions horizontalCentered="1" verticalCentered="1"/>
  <pageMargins left="0.19685039370078741" right="0.15748031496062992" top="0.27559055118110237" bottom="0.39370078740157483" header="0" footer="0"/>
  <pageSetup paperSize="9" orientation="landscape" r:id="rId1"/>
  <headerFooter alignWithMargins="0"/>
  <ignoredErrors>
    <ignoredError sqref="B42:G42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tabColor theme="8" tint="0.39997558519241921"/>
  </sheetPr>
  <dimension ref="A1:F81"/>
  <sheetViews>
    <sheetView showGridLines="0" topLeftCell="A52" workbookViewId="0">
      <selection activeCell="D5" sqref="D5"/>
    </sheetView>
  </sheetViews>
  <sheetFormatPr baseColWidth="10" defaultRowHeight="10.5"/>
  <cols>
    <col min="1" max="1" width="17.28515625" style="1" bestFit="1" customWidth="1"/>
    <col min="2" max="2" width="11.42578125" style="1"/>
    <col min="3" max="3" width="13" style="1" bestFit="1" customWidth="1"/>
    <col min="4" max="4" width="15" style="1" bestFit="1" customWidth="1"/>
    <col min="5" max="5" width="15.28515625" style="1" bestFit="1" customWidth="1"/>
    <col min="6" max="6" width="15" style="1" bestFit="1" customWidth="1"/>
    <col min="7" max="16384" width="11.42578125" style="1"/>
  </cols>
  <sheetData>
    <row r="1" spans="1:6" ht="18" customHeight="1">
      <c r="A1" s="585" t="s">
        <v>112</v>
      </c>
      <c r="B1" s="585"/>
      <c r="C1" s="585"/>
      <c r="D1" s="585"/>
      <c r="E1" s="585"/>
      <c r="F1" s="585"/>
    </row>
    <row r="2" spans="1:6" ht="11.25" thickBot="1">
      <c r="A2" s="591"/>
      <c r="B2" s="591"/>
      <c r="C2" s="591"/>
      <c r="D2" s="591"/>
      <c r="E2" s="591"/>
      <c r="F2" s="591"/>
    </row>
    <row r="3" spans="1:6" ht="21.75" thickBot="1">
      <c r="A3" s="119" t="s">
        <v>0</v>
      </c>
      <c r="B3" s="120" t="s">
        <v>29</v>
      </c>
      <c r="C3" s="120" t="s">
        <v>74</v>
      </c>
      <c r="D3" s="120" t="s">
        <v>30</v>
      </c>
      <c r="E3" s="120" t="s">
        <v>39</v>
      </c>
      <c r="F3" s="121" t="s">
        <v>40</v>
      </c>
    </row>
    <row r="4" spans="1:6" ht="11.25" thickBot="1">
      <c r="A4" s="630" t="s">
        <v>73</v>
      </c>
      <c r="B4" s="581">
        <v>0</v>
      </c>
      <c r="C4" s="582">
        <f>'Anexo 8 - Activos Fijos'!D10</f>
        <v>1235</v>
      </c>
      <c r="D4" s="583">
        <v>0.33333333333333337</v>
      </c>
      <c r="E4" s="582"/>
      <c r="F4" s="582"/>
    </row>
    <row r="5" spans="1:6" ht="11.25" thickBot="1">
      <c r="A5" s="630"/>
      <c r="B5" s="581">
        <v>1</v>
      </c>
      <c r="C5" s="581"/>
      <c r="D5" s="581"/>
      <c r="E5" s="582">
        <f>$D$4*$C$4</f>
        <v>411.66666666666669</v>
      </c>
      <c r="F5" s="582">
        <f>E5</f>
        <v>411.66666666666669</v>
      </c>
    </row>
    <row r="6" spans="1:6" ht="11.25" thickBot="1">
      <c r="A6" s="630"/>
      <c r="B6" s="581">
        <v>2</v>
      </c>
      <c r="C6" s="581"/>
      <c r="D6" s="583"/>
      <c r="E6" s="582">
        <f>$D$4*$C$4</f>
        <v>411.66666666666669</v>
      </c>
      <c r="F6" s="582">
        <f>F5+E6</f>
        <v>823.33333333333337</v>
      </c>
    </row>
    <row r="7" spans="1:6" ht="11.25" thickBot="1">
      <c r="A7" s="630"/>
      <c r="B7" s="581">
        <v>3</v>
      </c>
      <c r="C7" s="581"/>
      <c r="D7" s="583"/>
      <c r="E7" s="582">
        <f>$D$4*$C$4</f>
        <v>411.66666666666669</v>
      </c>
      <c r="F7" s="582">
        <f>F6+E7</f>
        <v>1235</v>
      </c>
    </row>
    <row r="8" spans="1:6" ht="11.25" thickBot="1">
      <c r="A8" s="630"/>
      <c r="B8" s="581"/>
      <c r="C8" s="581"/>
      <c r="D8" s="583"/>
      <c r="E8" s="582"/>
      <c r="F8" s="582"/>
    </row>
    <row r="9" spans="1:6" ht="11.25" thickBot="1">
      <c r="A9" s="630"/>
      <c r="B9" s="581"/>
      <c r="C9" s="581"/>
      <c r="D9" s="583"/>
      <c r="E9" s="582"/>
      <c r="F9" s="582"/>
    </row>
    <row r="10" spans="1:6" ht="11.25" thickBot="1">
      <c r="A10" s="630"/>
      <c r="B10" s="581"/>
      <c r="C10" s="582"/>
      <c r="D10" s="583"/>
      <c r="E10" s="582"/>
      <c r="F10" s="582"/>
    </row>
    <row r="11" spans="1:6" ht="11.25" thickBot="1"/>
    <row r="12" spans="1:6" ht="21.75" thickBot="1">
      <c r="A12" s="109" t="s">
        <v>0</v>
      </c>
      <c r="B12" s="120" t="s">
        <v>29</v>
      </c>
      <c r="C12" s="120" t="s">
        <v>74</v>
      </c>
      <c r="D12" s="120" t="s">
        <v>30</v>
      </c>
      <c r="E12" s="120" t="s">
        <v>39</v>
      </c>
      <c r="F12" s="121" t="s">
        <v>40</v>
      </c>
    </row>
    <row r="13" spans="1:6" ht="12.75" customHeight="1">
      <c r="A13" s="631" t="s">
        <v>7</v>
      </c>
      <c r="B13" s="139">
        <v>0</v>
      </c>
      <c r="C13" s="113">
        <f>'Anexo 8 - Activos Fijos'!D31</f>
        <v>360</v>
      </c>
      <c r="D13" s="114">
        <v>0.1</v>
      </c>
      <c r="E13" s="113"/>
      <c r="F13" s="68"/>
    </row>
    <row r="14" spans="1:6">
      <c r="A14" s="632"/>
      <c r="B14" s="140">
        <v>1</v>
      </c>
      <c r="C14" s="70"/>
      <c r="D14" s="70"/>
      <c r="E14" s="71">
        <f>$D$13*$C$13</f>
        <v>36</v>
      </c>
      <c r="F14" s="73">
        <f>E14</f>
        <v>36</v>
      </c>
    </row>
    <row r="15" spans="1:6">
      <c r="A15" s="632"/>
      <c r="B15" s="140">
        <v>2</v>
      </c>
      <c r="C15" s="70"/>
      <c r="D15" s="72"/>
      <c r="E15" s="71">
        <f>$D$13*$C$13</f>
        <v>36</v>
      </c>
      <c r="F15" s="73">
        <f>F14+E15</f>
        <v>72</v>
      </c>
    </row>
    <row r="16" spans="1:6">
      <c r="A16" s="632"/>
      <c r="B16" s="140">
        <v>3</v>
      </c>
      <c r="C16" s="70"/>
      <c r="D16" s="72"/>
      <c r="E16" s="71">
        <f>$D$13*$C$13</f>
        <v>36</v>
      </c>
      <c r="F16" s="73">
        <f>F15+E16</f>
        <v>108</v>
      </c>
    </row>
    <row r="17" spans="1:6">
      <c r="A17" s="632"/>
      <c r="B17" s="140">
        <v>4</v>
      </c>
      <c r="C17" s="70"/>
      <c r="D17" s="72"/>
      <c r="E17" s="71">
        <f>$D$13*$C$13</f>
        <v>36</v>
      </c>
      <c r="F17" s="73">
        <f>F16+E17</f>
        <v>144</v>
      </c>
    </row>
    <row r="18" spans="1:6">
      <c r="A18" s="633"/>
      <c r="B18" s="141">
        <v>5</v>
      </c>
      <c r="C18" s="107"/>
      <c r="D18" s="108"/>
      <c r="E18" s="71">
        <f t="shared" ref="E18:E23" si="0">$D$13*$C$13</f>
        <v>36</v>
      </c>
      <c r="F18" s="73">
        <f t="shared" ref="F18:F23" si="1">F17+E18</f>
        <v>180</v>
      </c>
    </row>
    <row r="19" spans="1:6">
      <c r="A19" s="633"/>
      <c r="B19" s="141">
        <v>6</v>
      </c>
      <c r="C19" s="107"/>
      <c r="D19" s="108"/>
      <c r="E19" s="71">
        <f t="shared" si="0"/>
        <v>36</v>
      </c>
      <c r="F19" s="73">
        <f t="shared" si="1"/>
        <v>216</v>
      </c>
    </row>
    <row r="20" spans="1:6">
      <c r="A20" s="633"/>
      <c r="B20" s="141">
        <v>7</v>
      </c>
      <c r="C20" s="107"/>
      <c r="D20" s="108"/>
      <c r="E20" s="71">
        <f t="shared" si="0"/>
        <v>36</v>
      </c>
      <c r="F20" s="73">
        <f t="shared" si="1"/>
        <v>252</v>
      </c>
    </row>
    <row r="21" spans="1:6">
      <c r="A21" s="633"/>
      <c r="B21" s="141">
        <v>8</v>
      </c>
      <c r="C21" s="107"/>
      <c r="D21" s="108"/>
      <c r="E21" s="71">
        <f t="shared" si="0"/>
        <v>36</v>
      </c>
      <c r="F21" s="73">
        <f t="shared" si="1"/>
        <v>288</v>
      </c>
    </row>
    <row r="22" spans="1:6">
      <c r="A22" s="633"/>
      <c r="B22" s="141">
        <v>9</v>
      </c>
      <c r="C22" s="107"/>
      <c r="D22" s="108"/>
      <c r="E22" s="71">
        <f t="shared" si="0"/>
        <v>36</v>
      </c>
      <c r="F22" s="73">
        <f t="shared" si="1"/>
        <v>324</v>
      </c>
    </row>
    <row r="23" spans="1:6" ht="11.25" thickBot="1">
      <c r="A23" s="634"/>
      <c r="B23" s="142">
        <v>10</v>
      </c>
      <c r="C23" s="74"/>
      <c r="D23" s="75"/>
      <c r="E23" s="76">
        <f t="shared" si="0"/>
        <v>36</v>
      </c>
      <c r="F23" s="77">
        <f t="shared" si="1"/>
        <v>360</v>
      </c>
    </row>
    <row r="24" spans="1:6" ht="11.25" thickBot="1"/>
    <row r="25" spans="1:6" ht="21.75" thickBot="1">
      <c r="A25" s="119" t="s">
        <v>0</v>
      </c>
      <c r="B25" s="120" t="s">
        <v>29</v>
      </c>
      <c r="C25" s="120" t="s">
        <v>74</v>
      </c>
      <c r="D25" s="120" t="s">
        <v>30</v>
      </c>
      <c r="E25" s="120" t="s">
        <v>39</v>
      </c>
      <c r="F25" s="121" t="s">
        <v>40</v>
      </c>
    </row>
    <row r="26" spans="1:6">
      <c r="A26" s="635" t="s">
        <v>321</v>
      </c>
      <c r="B26" s="115">
        <v>0</v>
      </c>
      <c r="C26" s="116">
        <f>+'Anexo 8 - Activos Fijos'!D22</f>
        <v>15000</v>
      </c>
      <c r="D26" s="117">
        <v>0.2</v>
      </c>
      <c r="E26" s="116"/>
      <c r="F26" s="118"/>
    </row>
    <row r="27" spans="1:6">
      <c r="A27" s="627"/>
      <c r="B27" s="70">
        <v>1</v>
      </c>
      <c r="C27" s="70"/>
      <c r="D27" s="70"/>
      <c r="E27" s="71">
        <f>$C$26*$D$26</f>
        <v>3000</v>
      </c>
      <c r="F27" s="73">
        <f>E27</f>
        <v>3000</v>
      </c>
    </row>
    <row r="28" spans="1:6">
      <c r="A28" s="627"/>
      <c r="B28" s="70">
        <v>2</v>
      </c>
      <c r="C28" s="70"/>
      <c r="D28" s="72"/>
      <c r="E28" s="71">
        <f>$C$26*$D$26</f>
        <v>3000</v>
      </c>
      <c r="F28" s="73">
        <f>F27+E28</f>
        <v>6000</v>
      </c>
    </row>
    <row r="29" spans="1:6">
      <c r="A29" s="628"/>
      <c r="B29" s="70">
        <v>3</v>
      </c>
      <c r="C29" s="107"/>
      <c r="D29" s="108"/>
      <c r="E29" s="71">
        <f>$C$26*$D$26</f>
        <v>3000</v>
      </c>
      <c r="F29" s="73">
        <f>F28+E29</f>
        <v>9000</v>
      </c>
    </row>
    <row r="30" spans="1:6">
      <c r="A30" s="628"/>
      <c r="B30" s="70">
        <v>4</v>
      </c>
      <c r="C30" s="135"/>
      <c r="D30" s="108"/>
      <c r="E30" s="71">
        <f>$C$26*$D$26</f>
        <v>3000</v>
      </c>
      <c r="F30" s="73">
        <f>F29+E30</f>
        <v>12000</v>
      </c>
    </row>
    <row r="31" spans="1:6">
      <c r="A31" s="628"/>
      <c r="B31" s="70">
        <v>5</v>
      </c>
      <c r="C31" s="107"/>
      <c r="D31" s="108"/>
      <c r="E31" s="71">
        <f>$C$26*$D$26</f>
        <v>3000</v>
      </c>
      <c r="F31" s="73">
        <f>F30+E31</f>
        <v>15000</v>
      </c>
    </row>
    <row r="32" spans="1:6" ht="11.25" thickBot="1">
      <c r="A32" s="629"/>
      <c r="B32" s="74"/>
      <c r="C32" s="74"/>
      <c r="D32" s="75"/>
      <c r="E32" s="76"/>
      <c r="F32" s="77"/>
    </row>
    <row r="34" spans="1:6" ht="11.25" thickBot="1">
      <c r="A34" s="103"/>
      <c r="B34" s="104"/>
      <c r="C34" s="104"/>
      <c r="D34" s="105"/>
      <c r="E34" s="106"/>
      <c r="F34" s="106"/>
    </row>
    <row r="35" spans="1:6" ht="21.75" thickBot="1">
      <c r="A35" s="109" t="s">
        <v>0</v>
      </c>
      <c r="B35" s="110" t="s">
        <v>29</v>
      </c>
      <c r="C35" s="110" t="s">
        <v>74</v>
      </c>
      <c r="D35" s="110" t="s">
        <v>30</v>
      </c>
      <c r="E35" s="110" t="s">
        <v>39</v>
      </c>
      <c r="F35" s="111" t="s">
        <v>40</v>
      </c>
    </row>
    <row r="36" spans="1:6">
      <c r="A36" s="626" t="s">
        <v>12</v>
      </c>
      <c r="B36" s="392">
        <v>0</v>
      </c>
      <c r="C36" s="393">
        <f>'Anexo 8 - Activos Fijos'!D43</f>
        <v>26855</v>
      </c>
      <c r="D36" s="394">
        <v>0.05</v>
      </c>
      <c r="E36" s="393"/>
      <c r="F36" s="395"/>
    </row>
    <row r="37" spans="1:6">
      <c r="A37" s="627"/>
      <c r="B37" s="70">
        <v>1</v>
      </c>
      <c r="C37" s="70"/>
      <c r="D37" s="70"/>
      <c r="E37" s="71">
        <f>$D$36*$C$36</f>
        <v>1342.75</v>
      </c>
      <c r="F37" s="396">
        <f>E37</f>
        <v>1342.75</v>
      </c>
    </row>
    <row r="38" spans="1:6">
      <c r="A38" s="627"/>
      <c r="B38" s="70">
        <v>2</v>
      </c>
      <c r="C38" s="70"/>
      <c r="D38" s="72"/>
      <c r="E38" s="71">
        <f>$D$36*$C$36</f>
        <v>1342.75</v>
      </c>
      <c r="F38" s="396">
        <f>+F37+E38</f>
        <v>2685.5</v>
      </c>
    </row>
    <row r="39" spans="1:6">
      <c r="A39" s="627"/>
      <c r="B39" s="70">
        <v>3</v>
      </c>
      <c r="C39" s="70"/>
      <c r="D39" s="72"/>
      <c r="E39" s="71">
        <f>$D$36*$C$36</f>
        <v>1342.75</v>
      </c>
      <c r="F39" s="396">
        <f t="shared" ref="F39:F56" si="2">+F38+E39</f>
        <v>4028.25</v>
      </c>
    </row>
    <row r="40" spans="1:6">
      <c r="A40" s="627"/>
      <c r="B40" s="70">
        <v>4</v>
      </c>
      <c r="C40" s="70"/>
      <c r="D40" s="72"/>
      <c r="E40" s="71">
        <f t="shared" ref="E40:E46" si="3">$D$36*$C$36</f>
        <v>1342.75</v>
      </c>
      <c r="F40" s="396">
        <f t="shared" si="2"/>
        <v>5371</v>
      </c>
    </row>
    <row r="41" spans="1:6">
      <c r="A41" s="628"/>
      <c r="B41" s="107">
        <v>5</v>
      </c>
      <c r="C41" s="107"/>
      <c r="D41" s="108"/>
      <c r="E41" s="71">
        <f t="shared" si="3"/>
        <v>1342.75</v>
      </c>
      <c r="F41" s="396">
        <f t="shared" si="2"/>
        <v>6713.75</v>
      </c>
    </row>
    <row r="42" spans="1:6">
      <c r="A42" s="628"/>
      <c r="B42" s="107">
        <v>6</v>
      </c>
      <c r="C42" s="107"/>
      <c r="D42" s="108"/>
      <c r="E42" s="71">
        <f t="shared" si="3"/>
        <v>1342.75</v>
      </c>
      <c r="F42" s="396">
        <f t="shared" si="2"/>
        <v>8056.5</v>
      </c>
    </row>
    <row r="43" spans="1:6">
      <c r="A43" s="628"/>
      <c r="B43" s="107">
        <v>7</v>
      </c>
      <c r="C43" s="107"/>
      <c r="D43" s="108"/>
      <c r="E43" s="71">
        <f t="shared" si="3"/>
        <v>1342.75</v>
      </c>
      <c r="F43" s="396">
        <f t="shared" si="2"/>
        <v>9399.25</v>
      </c>
    </row>
    <row r="44" spans="1:6">
      <c r="A44" s="628"/>
      <c r="B44" s="107">
        <v>8</v>
      </c>
      <c r="C44" s="107"/>
      <c r="D44" s="108"/>
      <c r="E44" s="71">
        <f t="shared" si="3"/>
        <v>1342.75</v>
      </c>
      <c r="F44" s="396">
        <f t="shared" si="2"/>
        <v>10742</v>
      </c>
    </row>
    <row r="45" spans="1:6">
      <c r="A45" s="628"/>
      <c r="B45" s="107">
        <v>9</v>
      </c>
      <c r="C45" s="107"/>
      <c r="D45" s="108"/>
      <c r="E45" s="71">
        <f t="shared" si="3"/>
        <v>1342.75</v>
      </c>
      <c r="F45" s="396">
        <f t="shared" si="2"/>
        <v>12084.75</v>
      </c>
    </row>
    <row r="46" spans="1:6">
      <c r="A46" s="628"/>
      <c r="B46" s="107">
        <v>10</v>
      </c>
      <c r="C46" s="107"/>
      <c r="D46" s="108"/>
      <c r="E46" s="71">
        <f t="shared" si="3"/>
        <v>1342.75</v>
      </c>
      <c r="F46" s="396">
        <f t="shared" si="2"/>
        <v>13427.5</v>
      </c>
    </row>
    <row r="47" spans="1:6">
      <c r="A47" s="628"/>
      <c r="B47" s="70">
        <v>11</v>
      </c>
      <c r="C47" s="70"/>
      <c r="D47" s="70"/>
      <c r="E47" s="71">
        <f>$D$36*$C$36</f>
        <v>1342.75</v>
      </c>
      <c r="F47" s="396">
        <f t="shared" si="2"/>
        <v>14770.25</v>
      </c>
    </row>
    <row r="48" spans="1:6">
      <c r="A48" s="628"/>
      <c r="B48" s="107">
        <v>12</v>
      </c>
      <c r="C48" s="70"/>
      <c r="D48" s="72"/>
      <c r="E48" s="71">
        <f>$D$36*$C$36</f>
        <v>1342.75</v>
      </c>
      <c r="F48" s="396">
        <f t="shared" si="2"/>
        <v>16113</v>
      </c>
    </row>
    <row r="49" spans="1:6">
      <c r="A49" s="628"/>
      <c r="B49" s="107">
        <v>13</v>
      </c>
      <c r="C49" s="70"/>
      <c r="D49" s="72"/>
      <c r="E49" s="71">
        <f>$D$36*$C$36</f>
        <v>1342.75</v>
      </c>
      <c r="F49" s="396">
        <f t="shared" si="2"/>
        <v>17455.75</v>
      </c>
    </row>
    <row r="50" spans="1:6">
      <c r="A50" s="628"/>
      <c r="B50" s="107">
        <v>14</v>
      </c>
      <c r="C50" s="70"/>
      <c r="D50" s="72"/>
      <c r="E50" s="71">
        <f t="shared" ref="E50:E56" si="4">$D$36*$C$36</f>
        <v>1342.75</v>
      </c>
      <c r="F50" s="396">
        <f t="shared" si="2"/>
        <v>18798.5</v>
      </c>
    </row>
    <row r="51" spans="1:6">
      <c r="A51" s="628"/>
      <c r="B51" s="107">
        <v>15</v>
      </c>
      <c r="C51" s="107"/>
      <c r="D51" s="108"/>
      <c r="E51" s="71">
        <f t="shared" si="4"/>
        <v>1342.75</v>
      </c>
      <c r="F51" s="396">
        <f t="shared" si="2"/>
        <v>20141.25</v>
      </c>
    </row>
    <row r="52" spans="1:6">
      <c r="A52" s="628"/>
      <c r="B52" s="107">
        <v>16</v>
      </c>
      <c r="C52" s="107"/>
      <c r="D52" s="108"/>
      <c r="E52" s="71">
        <f t="shared" si="4"/>
        <v>1342.75</v>
      </c>
      <c r="F52" s="396">
        <f t="shared" si="2"/>
        <v>21484</v>
      </c>
    </row>
    <row r="53" spans="1:6">
      <c r="A53" s="628"/>
      <c r="B53" s="107">
        <v>17</v>
      </c>
      <c r="C53" s="107"/>
      <c r="D53" s="108"/>
      <c r="E53" s="71">
        <f t="shared" si="4"/>
        <v>1342.75</v>
      </c>
      <c r="F53" s="396">
        <f t="shared" si="2"/>
        <v>22826.75</v>
      </c>
    </row>
    <row r="54" spans="1:6">
      <c r="A54" s="628"/>
      <c r="B54" s="70">
        <v>18</v>
      </c>
      <c r="C54" s="107"/>
      <c r="D54" s="108"/>
      <c r="E54" s="71">
        <f t="shared" si="4"/>
        <v>1342.75</v>
      </c>
      <c r="F54" s="396">
        <f t="shared" si="2"/>
        <v>24169.5</v>
      </c>
    </row>
    <row r="55" spans="1:6">
      <c r="A55" s="628"/>
      <c r="B55" s="107">
        <v>19</v>
      </c>
      <c r="C55" s="107"/>
      <c r="D55" s="108"/>
      <c r="E55" s="71">
        <f t="shared" si="4"/>
        <v>1342.75</v>
      </c>
      <c r="F55" s="396">
        <f t="shared" si="2"/>
        <v>25512.25</v>
      </c>
    </row>
    <row r="56" spans="1:6">
      <c r="A56" s="628"/>
      <c r="B56" s="107">
        <v>20</v>
      </c>
      <c r="C56" s="107"/>
      <c r="D56" s="108"/>
      <c r="E56" s="71">
        <f t="shared" si="4"/>
        <v>1342.75</v>
      </c>
      <c r="F56" s="396">
        <f t="shared" si="2"/>
        <v>26855</v>
      </c>
    </row>
    <row r="57" spans="1:6" ht="11.25" thickBot="1">
      <c r="A57" s="629"/>
      <c r="B57" s="397"/>
      <c r="C57" s="397"/>
      <c r="D57" s="398"/>
      <c r="E57" s="397"/>
      <c r="F57" s="399"/>
    </row>
    <row r="59" spans="1:6" ht="11.25" thickBot="1"/>
    <row r="60" spans="1:6" ht="21.75" thickBot="1">
      <c r="A60" s="119" t="s">
        <v>0</v>
      </c>
      <c r="B60" s="120" t="s">
        <v>29</v>
      </c>
      <c r="C60" s="120" t="s">
        <v>74</v>
      </c>
      <c r="D60" s="120" t="s">
        <v>30</v>
      </c>
      <c r="E60" s="120" t="s">
        <v>39</v>
      </c>
      <c r="F60" s="121" t="s">
        <v>40</v>
      </c>
    </row>
    <row r="61" spans="1:6" ht="12.75" customHeight="1">
      <c r="A61" s="623" t="s">
        <v>16</v>
      </c>
      <c r="B61" s="115">
        <v>1</v>
      </c>
      <c r="C61" s="116">
        <f>'Anexo 8 - Activos Fijos'!D64</f>
        <v>6656</v>
      </c>
      <c r="D61" s="117">
        <v>0.1</v>
      </c>
      <c r="E61" s="116">
        <f>$D$61*$C$61</f>
        <v>665.6</v>
      </c>
      <c r="F61" s="118">
        <f>E61</f>
        <v>665.6</v>
      </c>
    </row>
    <row r="62" spans="1:6" ht="12.75" customHeight="1">
      <c r="A62" s="624"/>
      <c r="B62" s="70">
        <v>2</v>
      </c>
      <c r="C62" s="71"/>
      <c r="D62" s="72"/>
      <c r="E62" s="71">
        <f>$D$61*$C$61+$C$62*$D$61</f>
        <v>665.6</v>
      </c>
      <c r="F62" s="73">
        <f>F61+E62</f>
        <v>1331.2</v>
      </c>
    </row>
    <row r="63" spans="1:6" ht="12.75" customHeight="1">
      <c r="A63" s="624"/>
      <c r="B63" s="70">
        <v>3</v>
      </c>
      <c r="C63" s="71"/>
      <c r="D63" s="72"/>
      <c r="E63" s="71">
        <f>$D$61*$C$61+$C$62*$D$61+$C$63*$D$61</f>
        <v>665.6</v>
      </c>
      <c r="F63" s="73">
        <f>F62+E63</f>
        <v>1996.8000000000002</v>
      </c>
    </row>
    <row r="64" spans="1:6" ht="12.75" customHeight="1">
      <c r="A64" s="624"/>
      <c r="B64" s="70">
        <v>4</v>
      </c>
      <c r="C64" s="71"/>
      <c r="D64" s="72"/>
      <c r="E64" s="71">
        <f>$D$61*$C$61+$C$62*$D$61+$C$63*$D$61+$C$64*$D$61</f>
        <v>665.6</v>
      </c>
      <c r="F64" s="73">
        <f>F63+E64</f>
        <v>2662.4</v>
      </c>
    </row>
    <row r="65" spans="1:6" ht="12.75" customHeight="1">
      <c r="A65" s="624"/>
      <c r="B65" s="70">
        <v>5</v>
      </c>
      <c r="C65" s="71"/>
      <c r="D65" s="108"/>
      <c r="E65" s="71">
        <f t="shared" ref="E65:E70" si="5">$D$61*$C$61+$C$62*$D$61+$C$63*$D$61+$C$64*$D$61</f>
        <v>665.6</v>
      </c>
      <c r="F65" s="73">
        <f t="shared" ref="F65:F70" si="6">F64+E65</f>
        <v>3328</v>
      </c>
    </row>
    <row r="66" spans="1:6" ht="12.75" customHeight="1">
      <c r="A66" s="624"/>
      <c r="B66" s="70">
        <v>6</v>
      </c>
      <c r="C66" s="71"/>
      <c r="D66" s="72"/>
      <c r="E66" s="71">
        <f t="shared" si="5"/>
        <v>665.6</v>
      </c>
      <c r="F66" s="73">
        <f t="shared" si="6"/>
        <v>3993.6</v>
      </c>
    </row>
    <row r="67" spans="1:6" ht="12.75" customHeight="1">
      <c r="A67" s="624"/>
      <c r="B67" s="70">
        <v>7</v>
      </c>
      <c r="C67" s="71"/>
      <c r="D67" s="72"/>
      <c r="E67" s="71">
        <f t="shared" si="5"/>
        <v>665.6</v>
      </c>
      <c r="F67" s="73">
        <f t="shared" si="6"/>
        <v>4659.2</v>
      </c>
    </row>
    <row r="68" spans="1:6" ht="12.75" customHeight="1">
      <c r="A68" s="624"/>
      <c r="B68" s="70">
        <v>8</v>
      </c>
      <c r="C68" s="71"/>
      <c r="D68" s="72"/>
      <c r="E68" s="71">
        <f t="shared" si="5"/>
        <v>665.6</v>
      </c>
      <c r="F68" s="73">
        <f t="shared" si="6"/>
        <v>5324.8</v>
      </c>
    </row>
    <row r="69" spans="1:6" ht="12.75" customHeight="1">
      <c r="A69" s="624"/>
      <c r="B69" s="70">
        <v>9</v>
      </c>
      <c r="C69" s="71"/>
      <c r="D69" s="108"/>
      <c r="E69" s="71">
        <f t="shared" si="5"/>
        <v>665.6</v>
      </c>
      <c r="F69" s="73">
        <f t="shared" si="6"/>
        <v>5990.4000000000005</v>
      </c>
    </row>
    <row r="70" spans="1:6" ht="12.75" customHeight="1">
      <c r="A70" s="624"/>
      <c r="B70" s="70">
        <v>10</v>
      </c>
      <c r="C70" s="71"/>
      <c r="D70" s="108"/>
      <c r="E70" s="71">
        <f t="shared" si="5"/>
        <v>665.6</v>
      </c>
      <c r="F70" s="73">
        <f t="shared" si="6"/>
        <v>6656.0000000000009</v>
      </c>
    </row>
    <row r="71" spans="1:6" ht="13.5" customHeight="1" thickBot="1">
      <c r="A71" s="625"/>
      <c r="B71" s="74"/>
      <c r="C71" s="74"/>
      <c r="D71" s="75"/>
      <c r="E71" s="76"/>
      <c r="F71" s="77"/>
    </row>
    <row r="72" spans="1:6" ht="11.25" thickBot="1">
      <c r="C72" s="54"/>
    </row>
    <row r="73" spans="1:6" ht="21.75" thickBot="1">
      <c r="A73" s="122" t="s">
        <v>0</v>
      </c>
      <c r="B73" s="123" t="s">
        <v>29</v>
      </c>
      <c r="C73" s="124" t="s">
        <v>39</v>
      </c>
      <c r="D73" s="125" t="s">
        <v>40</v>
      </c>
    </row>
    <row r="74" spans="1:6">
      <c r="A74" s="620" t="s">
        <v>31</v>
      </c>
      <c r="B74" s="112"/>
      <c r="C74" s="67"/>
      <c r="D74" s="126"/>
    </row>
    <row r="75" spans="1:6" ht="12.75" customHeight="1">
      <c r="A75" s="621"/>
      <c r="B75" s="70">
        <v>1</v>
      </c>
      <c r="C75" s="64">
        <f>+E5+E14+E27+E37+E61</f>
        <v>5456.0166666666664</v>
      </c>
      <c r="D75" s="48">
        <f t="shared" ref="D75:D80" si="7">+D74+C75</f>
        <v>5456.0166666666664</v>
      </c>
    </row>
    <row r="76" spans="1:6" ht="12.75" customHeight="1">
      <c r="A76" s="621"/>
      <c r="B76" s="70">
        <v>2</v>
      </c>
      <c r="C76" s="64">
        <f>+E6+E15+E28+E38+E62</f>
        <v>5456.0166666666664</v>
      </c>
      <c r="D76" s="48">
        <f t="shared" si="7"/>
        <v>10912.033333333333</v>
      </c>
    </row>
    <row r="77" spans="1:6" ht="12.75" customHeight="1">
      <c r="A77" s="621"/>
      <c r="B77" s="70">
        <v>3</v>
      </c>
      <c r="C77" s="64">
        <f>+E7+E16+E29+E39+E63</f>
        <v>5456.0166666666664</v>
      </c>
      <c r="D77" s="48">
        <f t="shared" si="7"/>
        <v>16368.05</v>
      </c>
      <c r="F77" s="54"/>
    </row>
    <row r="78" spans="1:6" ht="12.75" customHeight="1">
      <c r="A78" s="621"/>
      <c r="B78" s="70">
        <v>4</v>
      </c>
      <c r="C78" s="64">
        <f>+E8+E17+E30+E40+E64</f>
        <v>5044.3500000000004</v>
      </c>
      <c r="D78" s="48">
        <f t="shared" si="7"/>
        <v>21412.400000000001</v>
      </c>
    </row>
    <row r="79" spans="1:6" ht="12.75" customHeight="1">
      <c r="A79" s="621"/>
      <c r="B79" s="107">
        <v>5</v>
      </c>
      <c r="C79" s="64">
        <f>+E9+E18+E31+E41+E65</f>
        <v>5044.3500000000004</v>
      </c>
      <c r="D79" s="48">
        <f t="shared" si="7"/>
        <v>26456.75</v>
      </c>
    </row>
    <row r="80" spans="1:6" ht="12.75" customHeight="1">
      <c r="A80" s="621"/>
      <c r="B80" s="107">
        <v>6</v>
      </c>
      <c r="C80" s="64">
        <f>+E10+E19+E32+E42+E71</f>
        <v>1378.75</v>
      </c>
      <c r="D80" s="48">
        <f t="shared" si="7"/>
        <v>27835.5</v>
      </c>
    </row>
    <row r="81" spans="1:4" ht="13.5" customHeight="1" thickBot="1">
      <c r="A81" s="622"/>
      <c r="B81" s="74"/>
      <c r="C81" s="65"/>
      <c r="D81" s="66"/>
    </row>
  </sheetData>
  <mergeCells count="7">
    <mergeCell ref="A74:A81"/>
    <mergeCell ref="A1:F2"/>
    <mergeCell ref="A61:A71"/>
    <mergeCell ref="A36:A57"/>
    <mergeCell ref="A4:A10"/>
    <mergeCell ref="A13:A23"/>
    <mergeCell ref="A26:A32"/>
  </mergeCells>
  <phoneticPr fontId="0" type="noConversion"/>
  <printOptions horizontalCentered="1" verticalCentered="1"/>
  <pageMargins left="0.74803149606299213" right="0.74803149606299213" top="0.43307086614173229" bottom="0.6692913385826772" header="0" footer="0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P28"/>
  <sheetViews>
    <sheetView showGridLines="0" workbookViewId="0">
      <selection activeCell="G30" sqref="G30"/>
    </sheetView>
  </sheetViews>
  <sheetFormatPr baseColWidth="10" defaultRowHeight="11.25"/>
  <cols>
    <col min="1" max="1" width="24.140625" style="2" customWidth="1"/>
    <col min="2" max="2" width="6.5703125" style="2" customWidth="1"/>
    <col min="3" max="3" width="10" style="2" customWidth="1"/>
    <col min="4" max="4" width="14.28515625" style="2" customWidth="1"/>
    <col min="5" max="5" width="14.140625" style="2" customWidth="1"/>
    <col min="6" max="6" width="14.28515625" style="2" customWidth="1"/>
    <col min="7" max="7" width="15.5703125" style="2" customWidth="1"/>
    <col min="8" max="8" width="17.7109375" style="2" customWidth="1"/>
    <col min="9" max="9" width="15.85546875" style="2" customWidth="1"/>
    <col min="10" max="10" width="13.140625" style="2" customWidth="1"/>
    <col min="11" max="11" width="7.42578125" style="2" customWidth="1"/>
    <col min="12" max="12" width="11.42578125" style="2"/>
    <col min="13" max="13" width="14" style="2" customWidth="1"/>
    <col min="14" max="14" width="6.5703125" style="2" customWidth="1"/>
    <col min="15" max="15" width="10.5703125" style="2" customWidth="1"/>
    <col min="16" max="16" width="14.42578125" style="2" customWidth="1"/>
    <col min="17" max="16384" width="11.42578125" style="2"/>
  </cols>
  <sheetData>
    <row r="1" spans="1:16" s="3" customFormat="1" ht="18" customHeight="1">
      <c r="A1" s="585" t="s">
        <v>243</v>
      </c>
      <c r="B1" s="585"/>
      <c r="C1" s="585"/>
      <c r="D1" s="585"/>
      <c r="E1" s="585"/>
      <c r="F1" s="585"/>
      <c r="G1" s="585"/>
      <c r="H1" s="585"/>
      <c r="I1" s="585"/>
      <c r="J1" s="400"/>
      <c r="K1" s="400"/>
      <c r="L1" s="400"/>
      <c r="M1" s="400"/>
      <c r="N1" s="400"/>
      <c r="O1" s="400"/>
      <c r="P1" s="400"/>
    </row>
    <row r="2" spans="1:16" s="3" customFormat="1" ht="18.75" customHeight="1" thickBot="1">
      <c r="A2" s="591"/>
      <c r="B2" s="591"/>
      <c r="C2" s="591"/>
      <c r="D2" s="591"/>
      <c r="E2" s="591"/>
      <c r="F2" s="591"/>
      <c r="G2" s="591"/>
      <c r="H2" s="591"/>
      <c r="I2" s="591"/>
    </row>
    <row r="3" spans="1:16" ht="13.5" customHeight="1" thickBot="1">
      <c r="A3" s="636" t="s">
        <v>333</v>
      </c>
      <c r="B3" s="208"/>
      <c r="C3" s="209"/>
      <c r="D3" s="182" t="s">
        <v>222</v>
      </c>
      <c r="E3" s="182" t="s">
        <v>223</v>
      </c>
      <c r="F3" s="182" t="s">
        <v>83</v>
      </c>
      <c r="G3" s="182" t="s">
        <v>101</v>
      </c>
      <c r="H3" s="182" t="s">
        <v>102</v>
      </c>
      <c r="I3" s="182" t="s">
        <v>320</v>
      </c>
    </row>
    <row r="4" spans="1:16" ht="12" thickBot="1">
      <c r="A4" s="637"/>
      <c r="B4" s="181" t="s">
        <v>221</v>
      </c>
      <c r="C4" s="178" t="s">
        <v>234</v>
      </c>
      <c r="D4" s="182" t="s">
        <v>120</v>
      </c>
      <c r="E4" s="182" t="s">
        <v>120</v>
      </c>
      <c r="F4" s="183" t="s">
        <v>120</v>
      </c>
      <c r="G4" s="183" t="s">
        <v>120</v>
      </c>
      <c r="H4" s="183" t="s">
        <v>120</v>
      </c>
      <c r="I4" s="183" t="s">
        <v>120</v>
      </c>
    </row>
    <row r="5" spans="1:16">
      <c r="A5" s="219"/>
      <c r="B5" s="180"/>
      <c r="C5" s="217"/>
      <c r="D5" s="193"/>
      <c r="E5" s="193"/>
      <c r="F5" s="215"/>
      <c r="G5" s="215"/>
      <c r="H5" s="215"/>
      <c r="I5" s="215"/>
    </row>
    <row r="6" spans="1:16">
      <c r="A6" s="213" t="s">
        <v>244</v>
      </c>
      <c r="B6" s="168">
        <v>12</v>
      </c>
      <c r="C6" s="218">
        <v>20</v>
      </c>
      <c r="D6" s="190">
        <f>+C6*B6</f>
        <v>240</v>
      </c>
      <c r="E6" s="316">
        <f>+D6*1.05</f>
        <v>252</v>
      </c>
      <c r="F6" s="316">
        <f>+E6*1.05</f>
        <v>264.60000000000002</v>
      </c>
      <c r="G6" s="316">
        <f>+F6*1.05</f>
        <v>277.83000000000004</v>
      </c>
      <c r="H6" s="316">
        <f>+G6*1.05</f>
        <v>291.72150000000005</v>
      </c>
      <c r="I6" s="316">
        <f>+H6*1.05</f>
        <v>306.30757500000004</v>
      </c>
    </row>
    <row r="7" spans="1:16">
      <c r="A7" s="214" t="s">
        <v>245</v>
      </c>
      <c r="B7" s="168">
        <v>12</v>
      </c>
      <c r="C7" s="218">
        <v>10</v>
      </c>
      <c r="D7" s="190">
        <f t="shared" ref="D7:D15" si="0">+C7*B7</f>
        <v>120</v>
      </c>
      <c r="E7" s="316">
        <f t="shared" ref="E7:I15" si="1">+D7*1.05</f>
        <v>126</v>
      </c>
      <c r="F7" s="316">
        <f t="shared" si="1"/>
        <v>132.30000000000001</v>
      </c>
      <c r="G7" s="316">
        <f t="shared" si="1"/>
        <v>138.91500000000002</v>
      </c>
      <c r="H7" s="316">
        <f t="shared" si="1"/>
        <v>145.86075000000002</v>
      </c>
      <c r="I7" s="316">
        <f t="shared" si="1"/>
        <v>153.15378750000002</v>
      </c>
    </row>
    <row r="8" spans="1:16">
      <c r="A8" s="214" t="s">
        <v>195</v>
      </c>
      <c r="B8" s="168">
        <v>2</v>
      </c>
      <c r="C8" s="218">
        <v>4</v>
      </c>
      <c r="D8" s="190">
        <f t="shared" si="0"/>
        <v>8</v>
      </c>
      <c r="E8" s="316">
        <f t="shared" si="1"/>
        <v>8.4</v>
      </c>
      <c r="F8" s="316">
        <f t="shared" si="1"/>
        <v>8.82</v>
      </c>
      <c r="G8" s="316">
        <f t="shared" si="1"/>
        <v>9.261000000000001</v>
      </c>
      <c r="H8" s="316">
        <f t="shared" si="1"/>
        <v>9.7240500000000019</v>
      </c>
      <c r="I8" s="316">
        <f t="shared" si="1"/>
        <v>10.210252500000003</v>
      </c>
    </row>
    <row r="9" spans="1:16">
      <c r="A9" s="214" t="s">
        <v>246</v>
      </c>
      <c r="B9" s="168">
        <v>2</v>
      </c>
      <c r="C9" s="218">
        <v>5</v>
      </c>
      <c r="D9" s="190">
        <f t="shared" si="0"/>
        <v>10</v>
      </c>
      <c r="E9" s="316">
        <f t="shared" si="1"/>
        <v>10.5</v>
      </c>
      <c r="F9" s="316">
        <f t="shared" si="1"/>
        <v>11.025</v>
      </c>
      <c r="G9" s="316">
        <f t="shared" si="1"/>
        <v>11.576250000000002</v>
      </c>
      <c r="H9" s="316">
        <f t="shared" si="1"/>
        <v>12.155062500000001</v>
      </c>
      <c r="I9" s="316">
        <f t="shared" si="1"/>
        <v>12.762815625000002</v>
      </c>
    </row>
    <row r="10" spans="1:16">
      <c r="A10" s="213" t="s">
        <v>247</v>
      </c>
      <c r="B10" s="180">
        <v>3</v>
      </c>
      <c r="C10" s="217">
        <v>5</v>
      </c>
      <c r="D10" s="190">
        <f t="shared" si="0"/>
        <v>15</v>
      </c>
      <c r="E10" s="316">
        <f t="shared" si="1"/>
        <v>15.75</v>
      </c>
      <c r="F10" s="316">
        <f t="shared" si="1"/>
        <v>16.537500000000001</v>
      </c>
      <c r="G10" s="316">
        <f t="shared" si="1"/>
        <v>17.364375000000003</v>
      </c>
      <c r="H10" s="316">
        <f t="shared" si="1"/>
        <v>18.232593750000003</v>
      </c>
      <c r="I10" s="316">
        <f t="shared" si="1"/>
        <v>19.144223437500003</v>
      </c>
    </row>
    <row r="11" spans="1:16">
      <c r="A11" s="213" t="s">
        <v>248</v>
      </c>
      <c r="B11" s="180">
        <v>2</v>
      </c>
      <c r="C11" s="217">
        <v>35</v>
      </c>
      <c r="D11" s="190">
        <f t="shared" si="0"/>
        <v>70</v>
      </c>
      <c r="E11" s="316">
        <f t="shared" si="1"/>
        <v>73.5</v>
      </c>
      <c r="F11" s="316">
        <f t="shared" si="1"/>
        <v>77.174999999999997</v>
      </c>
      <c r="G11" s="316">
        <f t="shared" si="1"/>
        <v>81.033749999999998</v>
      </c>
      <c r="H11" s="316">
        <f t="shared" si="1"/>
        <v>85.085437499999998</v>
      </c>
      <c r="I11" s="316">
        <f t="shared" si="1"/>
        <v>89.339709374999998</v>
      </c>
    </row>
    <row r="12" spans="1:16">
      <c r="A12" s="213" t="s">
        <v>249</v>
      </c>
      <c r="B12" s="180">
        <v>5</v>
      </c>
      <c r="C12" s="217">
        <v>0.1</v>
      </c>
      <c r="D12" s="190">
        <f t="shared" si="0"/>
        <v>0.5</v>
      </c>
      <c r="E12" s="316">
        <f t="shared" si="1"/>
        <v>0.52500000000000002</v>
      </c>
      <c r="F12" s="316">
        <f t="shared" si="1"/>
        <v>0.55125000000000002</v>
      </c>
      <c r="G12" s="316">
        <f t="shared" si="1"/>
        <v>0.57881250000000006</v>
      </c>
      <c r="H12" s="316">
        <f t="shared" si="1"/>
        <v>0.60775312500000012</v>
      </c>
      <c r="I12" s="316">
        <f t="shared" si="1"/>
        <v>0.63814078125000018</v>
      </c>
    </row>
    <row r="13" spans="1:16">
      <c r="A13" s="213" t="s">
        <v>250</v>
      </c>
      <c r="B13" s="180">
        <v>4</v>
      </c>
      <c r="C13" s="217">
        <v>0.1</v>
      </c>
      <c r="D13" s="190">
        <f t="shared" si="0"/>
        <v>0.4</v>
      </c>
      <c r="E13" s="316">
        <f t="shared" si="1"/>
        <v>0.42000000000000004</v>
      </c>
      <c r="F13" s="316">
        <f t="shared" si="1"/>
        <v>0.44100000000000006</v>
      </c>
      <c r="G13" s="316">
        <f t="shared" si="1"/>
        <v>0.46305000000000007</v>
      </c>
      <c r="H13" s="316">
        <f t="shared" si="1"/>
        <v>0.48620250000000009</v>
      </c>
      <c r="I13" s="316">
        <f t="shared" si="1"/>
        <v>0.51051262500000016</v>
      </c>
    </row>
    <row r="14" spans="1:16">
      <c r="A14" s="213" t="s">
        <v>251</v>
      </c>
      <c r="B14" s="180">
        <v>2</v>
      </c>
      <c r="C14" s="217">
        <v>1</v>
      </c>
      <c r="D14" s="190">
        <f t="shared" si="0"/>
        <v>2</v>
      </c>
      <c r="E14" s="316">
        <f t="shared" si="1"/>
        <v>2.1</v>
      </c>
      <c r="F14" s="316">
        <f t="shared" si="1"/>
        <v>2.2050000000000001</v>
      </c>
      <c r="G14" s="316">
        <f t="shared" si="1"/>
        <v>2.3152500000000003</v>
      </c>
      <c r="H14" s="316">
        <f t="shared" si="1"/>
        <v>2.4310125000000005</v>
      </c>
      <c r="I14" s="316">
        <f t="shared" si="1"/>
        <v>2.5525631250000007</v>
      </c>
    </row>
    <row r="15" spans="1:16">
      <c r="A15" s="213" t="s">
        <v>252</v>
      </c>
      <c r="B15" s="180">
        <v>1</v>
      </c>
      <c r="C15" s="217">
        <v>30</v>
      </c>
      <c r="D15" s="190">
        <f t="shared" si="0"/>
        <v>30</v>
      </c>
      <c r="E15" s="316">
        <f t="shared" si="1"/>
        <v>31.5</v>
      </c>
      <c r="F15" s="316">
        <f t="shared" si="1"/>
        <v>33.075000000000003</v>
      </c>
      <c r="G15" s="316">
        <f t="shared" si="1"/>
        <v>34.728750000000005</v>
      </c>
      <c r="H15" s="316">
        <f t="shared" si="1"/>
        <v>36.465187500000006</v>
      </c>
      <c r="I15" s="316">
        <f t="shared" si="1"/>
        <v>38.288446875000005</v>
      </c>
    </row>
    <row r="16" spans="1:16" ht="12" thickBot="1">
      <c r="A16" s="214"/>
      <c r="B16" s="168"/>
      <c r="C16" s="218"/>
      <c r="D16" s="190"/>
      <c r="E16" s="316"/>
      <c r="F16" s="215"/>
      <c r="G16" s="215"/>
      <c r="H16" s="215"/>
      <c r="I16" s="215"/>
    </row>
    <row r="17" spans="1:9" ht="13.5" customHeight="1" thickBot="1">
      <c r="A17" s="281" t="s">
        <v>335</v>
      </c>
      <c r="B17" s="208"/>
      <c r="C17" s="209"/>
      <c r="D17" s="212">
        <f t="shared" ref="D17:I17" si="2">SUM(D5:D15)</f>
        <v>495.9</v>
      </c>
      <c r="E17" s="212">
        <f t="shared" si="2"/>
        <v>520.69499999999994</v>
      </c>
      <c r="F17" s="212">
        <f t="shared" si="2"/>
        <v>546.72975000000008</v>
      </c>
      <c r="G17" s="212">
        <f t="shared" si="2"/>
        <v>574.06623750000006</v>
      </c>
      <c r="H17" s="212">
        <f t="shared" si="2"/>
        <v>602.76954937499988</v>
      </c>
      <c r="I17" s="212">
        <f t="shared" si="2"/>
        <v>632.90802684375012</v>
      </c>
    </row>
    <row r="19" spans="1:9" ht="12" thickBot="1"/>
    <row r="20" spans="1:9" ht="12" thickBot="1">
      <c r="A20" s="636" t="s">
        <v>334</v>
      </c>
      <c r="B20" s="208"/>
      <c r="C20" s="209"/>
      <c r="D20" s="182" t="s">
        <v>222</v>
      </c>
      <c r="E20" s="182" t="s">
        <v>223</v>
      </c>
      <c r="F20" s="182" t="s">
        <v>83</v>
      </c>
      <c r="G20" s="182" t="s">
        <v>101</v>
      </c>
      <c r="H20" s="182" t="s">
        <v>102</v>
      </c>
      <c r="I20" s="182" t="s">
        <v>320</v>
      </c>
    </row>
    <row r="21" spans="1:9" ht="12" thickBot="1">
      <c r="A21" s="637"/>
      <c r="B21" s="181" t="s">
        <v>221</v>
      </c>
      <c r="C21" s="280" t="s">
        <v>234</v>
      </c>
      <c r="D21" s="182" t="s">
        <v>120</v>
      </c>
      <c r="E21" s="182" t="s">
        <v>120</v>
      </c>
      <c r="F21" s="183" t="s">
        <v>120</v>
      </c>
      <c r="G21" s="183" t="s">
        <v>120</v>
      </c>
      <c r="H21" s="183" t="s">
        <v>120</v>
      </c>
      <c r="I21" s="183" t="s">
        <v>120</v>
      </c>
    </row>
    <row r="22" spans="1:9">
      <c r="A22" s="219"/>
      <c r="B22" s="180"/>
      <c r="C22" s="217"/>
      <c r="D22" s="193"/>
      <c r="E22" s="193"/>
      <c r="F22" s="215"/>
      <c r="G22" s="215"/>
      <c r="H22" s="215"/>
      <c r="I22" s="215"/>
    </row>
    <row r="23" spans="1:9">
      <c r="A23" s="213" t="s">
        <v>239</v>
      </c>
      <c r="B23" s="168">
        <v>12</v>
      </c>
      <c r="C23" s="218">
        <v>40</v>
      </c>
      <c r="D23" s="190">
        <f>+C23*B23</f>
        <v>480</v>
      </c>
      <c r="E23" s="316">
        <f>+D23*1.05</f>
        <v>504</v>
      </c>
      <c r="F23" s="316">
        <f>+E23*1.05</f>
        <v>529.20000000000005</v>
      </c>
      <c r="G23" s="316">
        <f>+F23*1.05</f>
        <v>555.66000000000008</v>
      </c>
      <c r="H23" s="316">
        <f>+G23*1.05</f>
        <v>583.4430000000001</v>
      </c>
      <c r="I23" s="316">
        <f>+H23*1.05</f>
        <v>612.61515000000009</v>
      </c>
    </row>
    <row r="24" spans="1:9">
      <c r="A24" s="214" t="s">
        <v>240</v>
      </c>
      <c r="B24" s="168">
        <v>12</v>
      </c>
      <c r="C24" s="218">
        <v>30</v>
      </c>
      <c r="D24" s="190">
        <f>+C24*B24</f>
        <v>360</v>
      </c>
      <c r="E24" s="316">
        <f t="shared" ref="E24:I26" si="3">+D24*1.05</f>
        <v>378</v>
      </c>
      <c r="F24" s="316">
        <f t="shared" si="3"/>
        <v>396.90000000000003</v>
      </c>
      <c r="G24" s="316">
        <f t="shared" si="3"/>
        <v>416.74500000000006</v>
      </c>
      <c r="H24" s="316">
        <f t="shared" si="3"/>
        <v>437.5822500000001</v>
      </c>
      <c r="I24" s="316">
        <f t="shared" si="3"/>
        <v>459.46136250000012</v>
      </c>
    </row>
    <row r="25" spans="1:9">
      <c r="A25" s="214" t="s">
        <v>241</v>
      </c>
      <c r="B25" s="168">
        <v>12</v>
      </c>
      <c r="C25" s="218">
        <v>25</v>
      </c>
      <c r="D25" s="190">
        <f>+C25*B25</f>
        <v>300</v>
      </c>
      <c r="E25" s="316">
        <f t="shared" si="3"/>
        <v>315</v>
      </c>
      <c r="F25" s="316">
        <f t="shared" si="3"/>
        <v>330.75</v>
      </c>
      <c r="G25" s="316">
        <f t="shared" si="3"/>
        <v>347.28750000000002</v>
      </c>
      <c r="H25" s="316">
        <f t="shared" si="3"/>
        <v>364.65187500000002</v>
      </c>
      <c r="I25" s="316">
        <f t="shared" si="3"/>
        <v>382.88446875000005</v>
      </c>
    </row>
    <row r="26" spans="1:9">
      <c r="A26" s="214" t="s">
        <v>242</v>
      </c>
      <c r="B26" s="168">
        <v>12</v>
      </c>
      <c r="C26" s="218">
        <v>35</v>
      </c>
      <c r="D26" s="190">
        <f>+C26*B26</f>
        <v>420</v>
      </c>
      <c r="E26" s="316">
        <f t="shared" si="3"/>
        <v>441</v>
      </c>
      <c r="F26" s="316">
        <f t="shared" si="3"/>
        <v>463.05</v>
      </c>
      <c r="G26" s="316">
        <f t="shared" si="3"/>
        <v>486.20250000000004</v>
      </c>
      <c r="H26" s="316">
        <f t="shared" si="3"/>
        <v>510.51262500000007</v>
      </c>
      <c r="I26" s="316">
        <f t="shared" si="3"/>
        <v>536.03825625000013</v>
      </c>
    </row>
    <row r="27" spans="1:9" ht="12" thickBot="1">
      <c r="A27" s="214"/>
      <c r="B27" s="168"/>
      <c r="C27" s="218"/>
      <c r="D27" s="190"/>
      <c r="E27" s="316"/>
      <c r="F27" s="215"/>
      <c r="G27" s="215"/>
      <c r="H27" s="215"/>
      <c r="I27" s="215"/>
    </row>
    <row r="28" spans="1:9" ht="12" thickBot="1">
      <c r="A28" s="281" t="s">
        <v>336</v>
      </c>
      <c r="B28" s="208"/>
      <c r="C28" s="209"/>
      <c r="D28" s="319">
        <f t="shared" ref="D28:I28" si="4">+SUM(D23:D26)</f>
        <v>1560</v>
      </c>
      <c r="E28" s="319">
        <f t="shared" si="4"/>
        <v>1638</v>
      </c>
      <c r="F28" s="319">
        <f t="shared" si="4"/>
        <v>1719.9</v>
      </c>
      <c r="G28" s="319">
        <f t="shared" si="4"/>
        <v>1805.8950000000002</v>
      </c>
      <c r="H28" s="319">
        <f t="shared" si="4"/>
        <v>1896.1897500000002</v>
      </c>
      <c r="I28" s="319">
        <f t="shared" si="4"/>
        <v>1990.9992375000004</v>
      </c>
    </row>
  </sheetData>
  <mergeCells count="3">
    <mergeCell ref="A3:A4"/>
    <mergeCell ref="A20:A21"/>
    <mergeCell ref="A1:I2"/>
  </mergeCells>
  <printOptions horizontalCentered="1" verticalCentered="1"/>
  <pageMargins left="0.51181102362204722" right="0.19685039370078741" top="0.43307086614173229" bottom="0.6692913385826772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3:F21"/>
  <sheetViews>
    <sheetView workbookViewId="0">
      <selection activeCell="B15" sqref="B15:F21"/>
    </sheetView>
  </sheetViews>
  <sheetFormatPr baseColWidth="10" defaultRowHeight="12.75"/>
  <cols>
    <col min="2" max="2" width="13.28515625" customWidth="1"/>
    <col min="3" max="3" width="12.85546875" customWidth="1"/>
    <col min="4" max="4" width="16.42578125" customWidth="1"/>
  </cols>
  <sheetData>
    <row r="3" spans="2:6" ht="16.5" customHeight="1">
      <c r="B3" s="638" t="s">
        <v>111</v>
      </c>
      <c r="C3" s="638"/>
      <c r="D3" s="638"/>
      <c r="E3" s="638"/>
      <c r="F3" s="638"/>
    </row>
    <row r="4" spans="2:6">
      <c r="C4" s="577" t="s">
        <v>96</v>
      </c>
      <c r="D4" s="577"/>
      <c r="E4" s="574">
        <f>+'Anexo 13 -  Inversion Inicial'!$B$2</f>
        <v>66768.552000000011</v>
      </c>
    </row>
    <row r="5" spans="2:6">
      <c r="C5" s="639" t="s">
        <v>97</v>
      </c>
      <c r="D5" s="639"/>
      <c r="E5" s="575">
        <f>-PMT(E8,E7,E4)</f>
        <v>18179.338666698153</v>
      </c>
    </row>
    <row r="6" spans="2:6">
      <c r="C6" s="639" t="s">
        <v>98</v>
      </c>
      <c r="D6" s="639"/>
      <c r="E6" s="574">
        <f>+E4</f>
        <v>66768.552000000011</v>
      </c>
    </row>
    <row r="7" spans="2:6">
      <c r="C7" s="639" t="s">
        <v>99</v>
      </c>
      <c r="D7" s="639"/>
      <c r="E7" s="574">
        <v>5</v>
      </c>
    </row>
    <row r="8" spans="2:6">
      <c r="C8" s="639" t="s">
        <v>433</v>
      </c>
      <c r="D8" s="639"/>
      <c r="E8" s="576">
        <v>0.1125</v>
      </c>
    </row>
    <row r="14" spans="2:6" ht="13.5" thickBot="1"/>
    <row r="15" spans="2:6">
      <c r="B15" s="401" t="s">
        <v>400</v>
      </c>
      <c r="C15" s="401" t="s">
        <v>434</v>
      </c>
      <c r="D15" s="401" t="s">
        <v>89</v>
      </c>
      <c r="E15" s="401" t="s">
        <v>435</v>
      </c>
      <c r="F15" s="401" t="s">
        <v>385</v>
      </c>
    </row>
    <row r="16" spans="2:6">
      <c r="B16" s="573">
        <v>0</v>
      </c>
      <c r="C16" s="573"/>
      <c r="D16" s="573"/>
      <c r="E16" s="573"/>
      <c r="F16" s="573">
        <f>+E4</f>
        <v>66768.552000000011</v>
      </c>
    </row>
    <row r="17" spans="2:6">
      <c r="B17" s="573">
        <v>1</v>
      </c>
      <c r="C17" s="573">
        <f>+$E5</f>
        <v>18179.338666698153</v>
      </c>
      <c r="D17" s="573">
        <f>+C17-E17</f>
        <v>10667.876566698153</v>
      </c>
      <c r="E17" s="573">
        <f>+(F16*$E$8)</f>
        <v>7511.4621000000016</v>
      </c>
      <c r="F17" s="573">
        <f>+F16-D17</f>
        <v>56100.675433301862</v>
      </c>
    </row>
    <row r="18" spans="2:6">
      <c r="B18" s="573">
        <v>2</v>
      </c>
      <c r="C18" s="573">
        <f>+C17</f>
        <v>18179.338666698153</v>
      </c>
      <c r="D18" s="573">
        <f>+C18-E18</f>
        <v>11868.012680451695</v>
      </c>
      <c r="E18" s="573">
        <f>+(F17*$E$8)</f>
        <v>6311.3259862464593</v>
      </c>
      <c r="F18" s="573">
        <f>+F17-D18</f>
        <v>44232.66275285017</v>
      </c>
    </row>
    <row r="19" spans="2:6">
      <c r="B19" s="573">
        <v>3</v>
      </c>
      <c r="C19" s="573">
        <f>+C18</f>
        <v>18179.338666698153</v>
      </c>
      <c r="D19" s="573">
        <f>+C19-E19</f>
        <v>13203.164107002509</v>
      </c>
      <c r="E19" s="573">
        <f>+(F18*$E$8)</f>
        <v>4976.1745596956443</v>
      </c>
      <c r="F19" s="573">
        <f>+F18-D19</f>
        <v>31029.498645847663</v>
      </c>
    </row>
    <row r="20" spans="2:6">
      <c r="B20" s="573">
        <v>4</v>
      </c>
      <c r="C20" s="573">
        <f>+C19</f>
        <v>18179.338666698153</v>
      </c>
      <c r="D20" s="573">
        <f>+C20-E20</f>
        <v>14688.520069040291</v>
      </c>
      <c r="E20" s="573">
        <f>+(F19*$E$8)</f>
        <v>3490.818597657862</v>
      </c>
      <c r="F20" s="573">
        <f>+F19-D20</f>
        <v>16340.978576807373</v>
      </c>
    </row>
    <row r="21" spans="2:6">
      <c r="B21" s="573">
        <v>5</v>
      </c>
      <c r="C21" s="573">
        <f>+C20</f>
        <v>18179.338666698153</v>
      </c>
      <c r="D21" s="573">
        <f>+C21-E21</f>
        <v>16340.978576807323</v>
      </c>
      <c r="E21" s="573">
        <f>+(F20*$E$8)</f>
        <v>1838.3600898908294</v>
      </c>
      <c r="F21" s="573">
        <f>+F20-D21</f>
        <v>4.9112713895738125E-11</v>
      </c>
    </row>
  </sheetData>
  <mergeCells count="5">
    <mergeCell ref="B3:F3"/>
    <mergeCell ref="C5:D5"/>
    <mergeCell ref="C6:D6"/>
    <mergeCell ref="C7:D7"/>
    <mergeCell ref="C8:D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J20"/>
  <sheetViews>
    <sheetView showGridLines="0" workbookViewId="0">
      <selection activeCell="B23" sqref="B23"/>
    </sheetView>
  </sheetViews>
  <sheetFormatPr baseColWidth="10" defaultRowHeight="11.25"/>
  <cols>
    <col min="1" max="1" width="28.85546875" style="2" customWidth="1"/>
    <col min="2" max="2" width="17.7109375" style="2" customWidth="1"/>
    <col min="3" max="3" width="3.5703125" style="2" customWidth="1"/>
    <col min="4" max="4" width="26.28515625" style="2" customWidth="1"/>
    <col min="5" max="5" width="13.7109375" style="2" customWidth="1"/>
    <col min="6" max="6" width="12.5703125" style="2" customWidth="1"/>
    <col min="7" max="7" width="13.42578125" style="2" customWidth="1"/>
    <col min="8" max="8" width="13.85546875" style="2" customWidth="1"/>
    <col min="9" max="9" width="13.42578125" style="2" customWidth="1"/>
    <col min="10" max="10" width="14.85546875" style="2" customWidth="1"/>
    <col min="11" max="16384" width="11.42578125" style="2"/>
  </cols>
  <sheetData>
    <row r="1" spans="1:10" s="3" customFormat="1" ht="26.25" customHeight="1">
      <c r="A1" s="590" t="s">
        <v>140</v>
      </c>
      <c r="B1" s="590"/>
      <c r="C1" s="590"/>
      <c r="D1" s="590"/>
      <c r="E1" s="590"/>
    </row>
    <row r="2" spans="1:10" s="3" customFormat="1" ht="18.75" customHeight="1" thickBot="1">
      <c r="A2" s="590"/>
      <c r="B2" s="590"/>
      <c r="C2" s="590"/>
      <c r="D2" s="590"/>
      <c r="E2" s="590"/>
    </row>
    <row r="3" spans="1:10">
      <c r="A3" s="165" t="s">
        <v>119</v>
      </c>
      <c r="B3" s="166" t="s">
        <v>141</v>
      </c>
      <c r="C3" s="167"/>
      <c r="D3" s="167" t="s">
        <v>144</v>
      </c>
      <c r="E3" s="172" t="s">
        <v>222</v>
      </c>
      <c r="F3" s="172" t="s">
        <v>223</v>
      </c>
      <c r="G3" s="172" t="s">
        <v>83</v>
      </c>
      <c r="H3" s="172" t="s">
        <v>101</v>
      </c>
      <c r="I3" s="172" t="s">
        <v>102</v>
      </c>
      <c r="J3" s="172" t="s">
        <v>320</v>
      </c>
    </row>
    <row r="4" spans="1:10">
      <c r="A4" s="168"/>
      <c r="B4" s="4"/>
      <c r="C4" s="163"/>
      <c r="D4" s="170"/>
      <c r="E4" s="173"/>
      <c r="F4" s="173"/>
      <c r="G4" s="173"/>
      <c r="H4" s="173"/>
      <c r="I4" s="173"/>
      <c r="J4" s="173"/>
    </row>
    <row r="5" spans="1:10" ht="18">
      <c r="A5" s="168" t="s">
        <v>121</v>
      </c>
      <c r="B5" s="4">
        <v>1400</v>
      </c>
      <c r="C5" s="163" t="s">
        <v>143</v>
      </c>
      <c r="D5" s="171">
        <v>12</v>
      </c>
      <c r="E5" s="174">
        <f t="shared" ref="E5:E12" si="0">D5*B5</f>
        <v>16800</v>
      </c>
      <c r="F5" s="174">
        <v>0</v>
      </c>
      <c r="G5" s="174">
        <v>0</v>
      </c>
      <c r="H5" s="174">
        <v>0</v>
      </c>
      <c r="I5" s="174">
        <v>0</v>
      </c>
      <c r="J5" s="174">
        <v>0</v>
      </c>
    </row>
    <row r="6" spans="1:10" ht="18">
      <c r="A6" s="168" t="s">
        <v>122</v>
      </c>
      <c r="B6" s="4">
        <v>800</v>
      </c>
      <c r="C6" s="163" t="s">
        <v>142</v>
      </c>
      <c r="D6" s="171">
        <v>7</v>
      </c>
      <c r="E6" s="174">
        <f t="shared" si="0"/>
        <v>5600</v>
      </c>
      <c r="F6" s="174">
        <v>0</v>
      </c>
      <c r="G6" s="174">
        <v>0</v>
      </c>
      <c r="H6" s="174">
        <f>+E6</f>
        <v>5600</v>
      </c>
      <c r="I6" s="174">
        <v>0</v>
      </c>
      <c r="J6" s="174">
        <v>0</v>
      </c>
    </row>
    <row r="7" spans="1:10" ht="18">
      <c r="A7" s="168" t="s">
        <v>123</v>
      </c>
      <c r="B7" s="4">
        <v>20</v>
      </c>
      <c r="C7" s="163" t="s">
        <v>142</v>
      </c>
      <c r="D7" s="171">
        <v>15</v>
      </c>
      <c r="E7" s="174">
        <f t="shared" si="0"/>
        <v>300</v>
      </c>
      <c r="F7" s="174">
        <v>0</v>
      </c>
      <c r="G7" s="174">
        <v>0</v>
      </c>
      <c r="H7" s="174">
        <f>+E7*1.5</f>
        <v>450</v>
      </c>
      <c r="I7" s="174">
        <v>0</v>
      </c>
      <c r="J7" s="174">
        <f>+I7*1.05</f>
        <v>0</v>
      </c>
    </row>
    <row r="8" spans="1:10" ht="18">
      <c r="A8" s="168" t="s">
        <v>124</v>
      </c>
      <c r="B8" s="4">
        <v>50</v>
      </c>
      <c r="C8" s="163" t="s">
        <v>142</v>
      </c>
      <c r="D8" s="171">
        <v>15</v>
      </c>
      <c r="E8" s="174">
        <f t="shared" si="0"/>
        <v>750</v>
      </c>
      <c r="F8" s="174">
        <v>0</v>
      </c>
      <c r="G8" s="174">
        <v>0</v>
      </c>
      <c r="H8" s="174">
        <f>+E8*1.5</f>
        <v>1125</v>
      </c>
      <c r="I8" s="174">
        <v>0</v>
      </c>
      <c r="J8" s="174">
        <v>0</v>
      </c>
    </row>
    <row r="9" spans="1:10" ht="18">
      <c r="A9" s="168" t="s">
        <v>114</v>
      </c>
      <c r="B9" s="4">
        <v>50</v>
      </c>
      <c r="C9" s="163" t="s">
        <v>142</v>
      </c>
      <c r="D9" s="171">
        <v>15</v>
      </c>
      <c r="E9" s="174">
        <f t="shared" si="0"/>
        <v>750</v>
      </c>
      <c r="F9" s="174">
        <v>0</v>
      </c>
      <c r="G9" s="174">
        <v>0</v>
      </c>
      <c r="H9" s="174">
        <v>0</v>
      </c>
      <c r="I9" s="174">
        <f>+H9*1.05</f>
        <v>0</v>
      </c>
      <c r="J9" s="174">
        <v>0</v>
      </c>
    </row>
    <row r="10" spans="1:10" ht="18">
      <c r="A10" s="168" t="s">
        <v>125</v>
      </c>
      <c r="B10" s="4">
        <v>110</v>
      </c>
      <c r="C10" s="163" t="s">
        <v>142</v>
      </c>
      <c r="D10" s="171">
        <v>18</v>
      </c>
      <c r="E10" s="174">
        <f t="shared" si="0"/>
        <v>1980</v>
      </c>
      <c r="F10" s="174">
        <v>0</v>
      </c>
      <c r="G10" s="174">
        <v>0</v>
      </c>
      <c r="H10" s="174">
        <f>+E10*1.5</f>
        <v>2970</v>
      </c>
      <c r="I10" s="174">
        <v>0</v>
      </c>
      <c r="J10" s="174">
        <v>0</v>
      </c>
    </row>
    <row r="11" spans="1:10" ht="18">
      <c r="A11" s="168" t="s">
        <v>126</v>
      </c>
      <c r="B11" s="4">
        <v>20</v>
      </c>
      <c r="C11" s="163" t="s">
        <v>142</v>
      </c>
      <c r="D11" s="171">
        <v>15</v>
      </c>
      <c r="E11" s="174">
        <f t="shared" si="0"/>
        <v>300</v>
      </c>
      <c r="F11" s="174">
        <v>0</v>
      </c>
      <c r="G11" s="174">
        <v>0</v>
      </c>
      <c r="H11" s="174">
        <v>0</v>
      </c>
      <c r="I11" s="174">
        <f>+H11*1.05</f>
        <v>0</v>
      </c>
      <c r="J11" s="174">
        <f>+I11*1.05</f>
        <v>0</v>
      </c>
    </row>
    <row r="12" spans="1:10" ht="18">
      <c r="A12" s="168" t="s">
        <v>127</v>
      </c>
      <c r="B12" s="4">
        <v>25</v>
      </c>
      <c r="C12" s="163" t="s">
        <v>142</v>
      </c>
      <c r="D12" s="171">
        <v>15</v>
      </c>
      <c r="E12" s="174">
        <f t="shared" si="0"/>
        <v>375</v>
      </c>
      <c r="F12" s="174">
        <v>0</v>
      </c>
      <c r="G12" s="174">
        <v>0</v>
      </c>
      <c r="H12" s="174">
        <v>0</v>
      </c>
      <c r="I12" s="174">
        <f>+H12*1.05</f>
        <v>0</v>
      </c>
      <c r="J12" s="174">
        <f>+I12*1.05</f>
        <v>0</v>
      </c>
    </row>
    <row r="13" spans="1:10" ht="12" thickBot="1">
      <c r="A13" s="175"/>
      <c r="B13" s="41"/>
      <c r="C13" s="164"/>
      <c r="D13" s="169"/>
      <c r="E13" s="176"/>
      <c r="F13" s="176"/>
      <c r="G13" s="176"/>
      <c r="H13" s="176"/>
      <c r="I13" s="176"/>
      <c r="J13" s="176"/>
    </row>
    <row r="14" spans="1:10" ht="13.5" customHeight="1" thickBot="1">
      <c r="A14" s="640" t="s">
        <v>202</v>
      </c>
      <c r="B14" s="641"/>
      <c r="C14" s="641"/>
      <c r="D14" s="641"/>
      <c r="E14" s="205">
        <f t="shared" ref="E14:J14" si="1">+SUM(E5:E12)</f>
        <v>26855</v>
      </c>
      <c r="F14" s="205">
        <f t="shared" si="1"/>
        <v>0</v>
      </c>
      <c r="G14" s="205">
        <f t="shared" si="1"/>
        <v>0</v>
      </c>
      <c r="H14" s="205">
        <f t="shared" si="1"/>
        <v>10145</v>
      </c>
      <c r="I14" s="205">
        <f t="shared" si="1"/>
        <v>0</v>
      </c>
      <c r="J14" s="205">
        <f t="shared" si="1"/>
        <v>0</v>
      </c>
    </row>
    <row r="15" spans="1:10">
      <c r="D15" s="133"/>
      <c r="E15" s="133"/>
    </row>
    <row r="16" spans="1:10">
      <c r="D16" s="133"/>
      <c r="E16" s="133"/>
    </row>
    <row r="17" spans="4:5">
      <c r="D17" s="133"/>
      <c r="E17" s="133"/>
    </row>
    <row r="18" spans="4:5">
      <c r="D18" s="133"/>
      <c r="E18" s="133"/>
    </row>
    <row r="19" spans="4:5">
      <c r="D19" s="133"/>
      <c r="E19" s="133"/>
    </row>
    <row r="20" spans="4:5">
      <c r="D20" s="133"/>
      <c r="E20" s="133"/>
    </row>
  </sheetData>
  <mergeCells count="2">
    <mergeCell ref="A1:E2"/>
    <mergeCell ref="A14:D14"/>
  </mergeCells>
  <printOptions horizontalCentered="1" verticalCentered="1"/>
  <pageMargins left="0.51181102362204722" right="0.19685039370078741" top="0.43307086614173229" bottom="0.6692913385826772" header="0" footer="0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C27"/>
  <sheetViews>
    <sheetView showGridLines="0" workbookViewId="0">
      <selection activeCell="D26" sqref="D26"/>
    </sheetView>
  </sheetViews>
  <sheetFormatPr baseColWidth="10" defaultRowHeight="11.25"/>
  <cols>
    <col min="1" max="1" width="37.28515625" style="2" customWidth="1"/>
    <col min="2" max="2" width="25.28515625" style="2" customWidth="1"/>
    <col min="3" max="16384" width="11.42578125" style="2"/>
  </cols>
  <sheetData>
    <row r="1" spans="1:3" s="3" customFormat="1" ht="18" customHeight="1" thickBot="1">
      <c r="A1" s="181" t="s">
        <v>290</v>
      </c>
      <c r="B1" s="183"/>
    </row>
    <row r="2" spans="1:3" s="3" customFormat="1" ht="15" customHeight="1" thickBot="1">
      <c r="A2" s="243" t="s">
        <v>303</v>
      </c>
      <c r="B2" s="250">
        <f>+B27*60%</f>
        <v>66768.552000000011</v>
      </c>
    </row>
    <row r="3" spans="1:3" s="3" customFormat="1" ht="14.25" customHeight="1" thickBot="1">
      <c r="A3" s="243" t="s">
        <v>304</v>
      </c>
      <c r="B3" s="247">
        <f>+B27*40%</f>
        <v>44512.368000000009</v>
      </c>
    </row>
    <row r="4" spans="1:3" s="3" customFormat="1" ht="15" customHeight="1" thickBot="1">
      <c r="A4" s="245" t="s">
        <v>305</v>
      </c>
      <c r="B4" s="248">
        <f>+B3+B2</f>
        <v>111280.92000000001</v>
      </c>
      <c r="C4" s="249"/>
    </row>
    <row r="5" spans="1:3" s="3" customFormat="1" ht="15" customHeight="1">
      <c r="A5" s="5"/>
      <c r="B5" s="246"/>
    </row>
    <row r="6" spans="1:3" s="3" customFormat="1" ht="15.75" customHeight="1" thickBot="1">
      <c r="A6" s="244" t="s">
        <v>307</v>
      </c>
      <c r="B6" s="235"/>
    </row>
    <row r="7" spans="1:3" ht="12" thickBot="1">
      <c r="A7" s="181" t="s">
        <v>291</v>
      </c>
      <c r="B7" s="183"/>
    </row>
    <row r="8" spans="1:3">
      <c r="A8" s="168" t="s">
        <v>295</v>
      </c>
      <c r="B8" s="210">
        <f>+'Anexo 8 - Activos Fijos'!D10</f>
        <v>1235</v>
      </c>
    </row>
    <row r="9" spans="1:3">
      <c r="A9" s="168" t="s">
        <v>296</v>
      </c>
      <c r="B9" s="210">
        <f>+'Anexo 8 - Activos Fijos'!D16</f>
        <v>12000</v>
      </c>
    </row>
    <row r="10" spans="1:3">
      <c r="A10" s="168" t="s">
        <v>297</v>
      </c>
      <c r="B10" s="210">
        <f>+'Anexo 8 - Activos Fijos'!D22</f>
        <v>15000</v>
      </c>
    </row>
    <row r="11" spans="1:3">
      <c r="A11" s="168" t="s">
        <v>298</v>
      </c>
      <c r="B11" s="210">
        <f>+'Anexo 8 - Activos Fijos'!D31</f>
        <v>360</v>
      </c>
    </row>
    <row r="12" spans="1:3">
      <c r="A12" s="168" t="s">
        <v>299</v>
      </c>
      <c r="B12" s="210">
        <f>+'Anexo 8 - Activos Fijos'!D43</f>
        <v>26855</v>
      </c>
    </row>
    <row r="13" spans="1:3">
      <c r="A13" s="168" t="s">
        <v>300</v>
      </c>
      <c r="B13" s="210">
        <f>+'Anexo 8 - Activos Fijos'!D64</f>
        <v>6656</v>
      </c>
    </row>
    <row r="14" spans="1:3" ht="12" thickBot="1">
      <c r="A14" s="175" t="s">
        <v>301</v>
      </c>
      <c r="B14" s="210">
        <f>+'Anexo 8 - Activos Fijos'!D66</f>
        <v>1242.1200000000001</v>
      </c>
    </row>
    <row r="15" spans="1:3" ht="12" thickBot="1">
      <c r="A15" s="177" t="s">
        <v>306</v>
      </c>
      <c r="B15" s="212">
        <f>SUM(B8:B14)</f>
        <v>63348.12</v>
      </c>
    </row>
    <row r="16" spans="1:3" ht="12" thickBot="1">
      <c r="A16" s="180"/>
      <c r="B16" s="206"/>
    </row>
    <row r="17" spans="1:2" ht="12" thickBot="1">
      <c r="A17" s="181" t="s">
        <v>292</v>
      </c>
      <c r="B17" s="183"/>
    </row>
    <row r="18" spans="1:2">
      <c r="A18" s="168" t="str">
        <f>+'Anexo 17 - Otros Gastos'!A48</f>
        <v>GASTOS DE CONSTITUCION</v>
      </c>
      <c r="B18" s="210">
        <f>+'Anexo 17 - Otros Gastos'!D60</f>
        <v>2000.6</v>
      </c>
    </row>
    <row r="19" spans="1:2">
      <c r="A19" s="168" t="str">
        <f>+'Anexo 3 - Mano de Obra'!A4:F4</f>
        <v>MANO DE OBRA DIRECTA</v>
      </c>
      <c r="B19" s="210">
        <f>+'Anexo 3 - Mano de Obra'!F12</f>
        <v>11359.2</v>
      </c>
    </row>
    <row r="20" spans="1:2">
      <c r="A20" s="168" t="str">
        <f>+'Anexo 3 - Mano de Obra'!A14:F14</f>
        <v>MANO DE OBRA INDIRECTA</v>
      </c>
      <c r="B20" s="210">
        <f>+'Anexo 3 - Mano de Obra'!F21</f>
        <v>3710</v>
      </c>
    </row>
    <row r="21" spans="1:2">
      <c r="A21" s="168" t="str">
        <f>+'Anexo 3 - Mano de Obra'!A23:F23</f>
        <v>MANO DE OBRA DE GESTIÓN</v>
      </c>
      <c r="B21" s="210">
        <f>+'Anexo 3 - Mano de Obra'!F28</f>
        <v>18000</v>
      </c>
    </row>
    <row r="22" spans="1:2">
      <c r="A22" s="168" t="str">
        <f>+'Anexo 3 - Mano de Obra'!A30:F30</f>
        <v>MANO DE OBRA COMERCIAL</v>
      </c>
      <c r="B22" s="210">
        <f>+'Anexo 3 - Mano de Obra'!F34</f>
        <v>1920</v>
      </c>
    </row>
    <row r="23" spans="1:2">
      <c r="A23" s="168" t="s">
        <v>293</v>
      </c>
      <c r="B23" s="210">
        <f>+'Anexo 6 - Materiales directos'!E16</f>
        <v>3143</v>
      </c>
    </row>
    <row r="24" spans="1:2" ht="12" thickBot="1">
      <c r="A24" s="175" t="s">
        <v>294</v>
      </c>
      <c r="B24" s="210">
        <f>+'Anexo 7 - Materiales indirecto'!D11</f>
        <v>7800</v>
      </c>
    </row>
    <row r="25" spans="1:2" ht="12" thickBot="1">
      <c r="A25" s="177" t="s">
        <v>302</v>
      </c>
      <c r="B25" s="212">
        <f>SUM(B18:B24)</f>
        <v>47932.800000000003</v>
      </c>
    </row>
    <row r="26" spans="1:2" ht="12" thickBot="1"/>
    <row r="27" spans="1:2" ht="12" thickBot="1">
      <c r="A27" s="177" t="s">
        <v>308</v>
      </c>
      <c r="B27" s="212">
        <f>+B25+B15</f>
        <v>111280.92000000001</v>
      </c>
    </row>
  </sheetData>
  <printOptions horizontalCentered="1" verticalCentered="1"/>
  <pageMargins left="0.51181102362204722" right="0.19685039370078741" top="0.43307086614173229" bottom="0.6692913385826772" header="0" footer="0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C7"/>
  <sheetViews>
    <sheetView zoomScale="93" zoomScaleNormal="93" workbookViewId="0">
      <selection activeCell="A23" sqref="A23"/>
    </sheetView>
  </sheetViews>
  <sheetFormatPr baseColWidth="10" defaultRowHeight="12.75"/>
  <cols>
    <col min="1" max="2" width="24.42578125" customWidth="1"/>
    <col min="3" max="3" width="22.85546875" customWidth="1"/>
  </cols>
  <sheetData>
    <row r="1" spans="1:3">
      <c r="A1" s="642" t="s">
        <v>431</v>
      </c>
      <c r="B1" s="642"/>
      <c r="C1" s="642"/>
    </row>
    <row r="2" spans="1:3" ht="13.5" thickBot="1">
      <c r="A2" s="643"/>
      <c r="B2" s="643"/>
      <c r="C2" s="643"/>
    </row>
    <row r="3" spans="1:3" ht="13.5" thickBot="1">
      <c r="A3" s="181" t="s">
        <v>425</v>
      </c>
      <c r="B3" s="553" t="s">
        <v>426</v>
      </c>
      <c r="C3" s="183" t="s">
        <v>427</v>
      </c>
    </row>
    <row r="4" spans="1:3">
      <c r="A4" s="168" t="s">
        <v>428</v>
      </c>
      <c r="B4" s="218">
        <f>+'Anexo 13 -  Inversion Inicial'!B3/3</f>
        <v>14837.456000000004</v>
      </c>
      <c r="C4" s="555">
        <f>+B4/B7</f>
        <v>0.33333333333333337</v>
      </c>
    </row>
    <row r="5" spans="1:3">
      <c r="A5" s="168" t="s">
        <v>429</v>
      </c>
      <c r="B5" s="218">
        <f>+B4</f>
        <v>14837.456000000004</v>
      </c>
      <c r="C5" s="555">
        <f>+B5/B7</f>
        <v>0.33333333333333337</v>
      </c>
    </row>
    <row r="6" spans="1:3" ht="13.5" thickBot="1">
      <c r="A6" s="168" t="s">
        <v>430</v>
      </c>
      <c r="B6" s="218">
        <f>+B4</f>
        <v>14837.456000000004</v>
      </c>
      <c r="C6" s="555">
        <f>+B6/B7</f>
        <v>0.33333333333333337</v>
      </c>
    </row>
    <row r="7" spans="1:3" ht="13.5" thickBot="1">
      <c r="A7" s="177" t="s">
        <v>55</v>
      </c>
      <c r="B7" s="554">
        <f>+SUM(B4:B6)</f>
        <v>44512.368000000009</v>
      </c>
      <c r="C7" s="216">
        <f>SUM(C4:C6)</f>
        <v>1</v>
      </c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J9"/>
  <sheetViews>
    <sheetView showGridLines="0" workbookViewId="0">
      <selection activeCell="F33" sqref="F33"/>
    </sheetView>
  </sheetViews>
  <sheetFormatPr baseColWidth="10" defaultRowHeight="11.25"/>
  <cols>
    <col min="1" max="1" width="32.28515625" style="2" customWidth="1"/>
    <col min="2" max="2" width="16.140625" style="2" customWidth="1"/>
    <col min="3" max="3" width="10.85546875" style="2" customWidth="1"/>
    <col min="4" max="4" width="9.140625" style="2" customWidth="1"/>
    <col min="5" max="5" width="13.140625" style="2" customWidth="1"/>
    <col min="6" max="16384" width="11.42578125" style="2"/>
  </cols>
  <sheetData>
    <row r="1" spans="1:10" s="3" customFormat="1" ht="18" customHeight="1">
      <c r="A1" s="585" t="s">
        <v>337</v>
      </c>
      <c r="B1" s="585"/>
      <c r="C1" s="585"/>
      <c r="D1" s="585"/>
      <c r="E1" s="585"/>
      <c r="F1" s="585"/>
      <c r="G1" s="585"/>
      <c r="H1" s="585"/>
      <c r="I1" s="585"/>
      <c r="J1" s="585"/>
    </row>
    <row r="2" spans="1:10" s="3" customFormat="1" ht="18.75" customHeight="1" thickBot="1">
      <c r="A2" s="591"/>
      <c r="B2" s="591"/>
      <c r="C2" s="591"/>
      <c r="D2" s="591"/>
      <c r="E2" s="591"/>
      <c r="F2" s="591"/>
      <c r="G2" s="591"/>
      <c r="H2" s="591"/>
      <c r="I2" s="591"/>
      <c r="J2" s="591"/>
    </row>
    <row r="3" spans="1:10">
      <c r="A3" s="401" t="s">
        <v>0</v>
      </c>
      <c r="B3" s="402" t="s">
        <v>1</v>
      </c>
      <c r="C3" s="402" t="s">
        <v>2</v>
      </c>
      <c r="D3" s="403" t="s">
        <v>182</v>
      </c>
      <c r="E3" s="404" t="s">
        <v>222</v>
      </c>
      <c r="F3" s="404" t="s">
        <v>223</v>
      </c>
      <c r="G3" s="404" t="s">
        <v>83</v>
      </c>
      <c r="H3" s="404" t="s">
        <v>101</v>
      </c>
      <c r="I3" s="404" t="s">
        <v>102</v>
      </c>
      <c r="J3" s="405" t="s">
        <v>320</v>
      </c>
    </row>
    <row r="4" spans="1:10" ht="12.75">
      <c r="A4" s="644" t="s">
        <v>253</v>
      </c>
      <c r="B4" s="618"/>
      <c r="C4" s="618"/>
      <c r="D4" s="618"/>
      <c r="E4" s="619"/>
      <c r="F4" s="5"/>
      <c r="G4" s="5"/>
      <c r="H4" s="5"/>
      <c r="I4" s="5"/>
      <c r="J4" s="406"/>
    </row>
    <row r="5" spans="1:10">
      <c r="A5" s="168" t="s">
        <v>235</v>
      </c>
      <c r="B5" s="29">
        <v>48</v>
      </c>
      <c r="C5" s="26">
        <v>8</v>
      </c>
      <c r="D5" s="171" t="s">
        <v>184</v>
      </c>
      <c r="E5" s="27">
        <f>B5*C5</f>
        <v>384</v>
      </c>
      <c r="F5" s="27">
        <f>+E5*1-5</f>
        <v>379</v>
      </c>
      <c r="G5" s="27">
        <f>+F5*1-5</f>
        <v>374</v>
      </c>
      <c r="H5" s="27">
        <f>+G5*1-5</f>
        <v>369</v>
      </c>
      <c r="I5" s="27">
        <f>+H5*1-5</f>
        <v>364</v>
      </c>
      <c r="J5" s="407">
        <f>+I5*1-5</f>
        <v>359</v>
      </c>
    </row>
    <row r="6" spans="1:10">
      <c r="A6" s="168" t="s">
        <v>236</v>
      </c>
      <c r="B6" s="29">
        <v>48</v>
      </c>
      <c r="C6" s="26">
        <v>10</v>
      </c>
      <c r="D6" s="171" t="s">
        <v>184</v>
      </c>
      <c r="E6" s="27">
        <f>B6*C6</f>
        <v>480</v>
      </c>
      <c r="F6" s="27">
        <f t="shared" ref="F6:J7" si="0">+E6*1-5</f>
        <v>475</v>
      </c>
      <c r="G6" s="27">
        <f t="shared" si="0"/>
        <v>470</v>
      </c>
      <c r="H6" s="27">
        <f t="shared" si="0"/>
        <v>465</v>
      </c>
      <c r="I6" s="27">
        <f t="shared" si="0"/>
        <v>460</v>
      </c>
      <c r="J6" s="407">
        <f t="shared" si="0"/>
        <v>455</v>
      </c>
    </row>
    <row r="7" spans="1:10">
      <c r="A7" s="168" t="s">
        <v>237</v>
      </c>
      <c r="B7" s="29">
        <v>24</v>
      </c>
      <c r="C7" s="26">
        <v>8</v>
      </c>
      <c r="D7" s="171" t="s">
        <v>184</v>
      </c>
      <c r="E7" s="27">
        <f>B7*C7</f>
        <v>192</v>
      </c>
      <c r="F7" s="27">
        <f t="shared" si="0"/>
        <v>187</v>
      </c>
      <c r="G7" s="27">
        <f t="shared" si="0"/>
        <v>182</v>
      </c>
      <c r="H7" s="27">
        <f t="shared" si="0"/>
        <v>177</v>
      </c>
      <c r="I7" s="27">
        <f t="shared" si="0"/>
        <v>172</v>
      </c>
      <c r="J7" s="407">
        <f t="shared" si="0"/>
        <v>167</v>
      </c>
    </row>
    <row r="8" spans="1:10" ht="12" thickBot="1">
      <c r="A8" s="408"/>
      <c r="B8" s="41"/>
      <c r="C8" s="41"/>
      <c r="D8" s="164"/>
      <c r="E8" s="42"/>
      <c r="F8" s="42"/>
      <c r="G8" s="42"/>
      <c r="H8" s="42"/>
      <c r="I8" s="42"/>
      <c r="J8" s="409"/>
    </row>
    <row r="9" spans="1:10" ht="13.5" thickBot="1">
      <c r="A9" s="410" t="s">
        <v>238</v>
      </c>
      <c r="B9" s="411"/>
      <c r="C9" s="411"/>
      <c r="D9" s="412"/>
      <c r="E9" s="413">
        <f t="shared" ref="E9:J9" si="1">+SUM(E5:E7)</f>
        <v>1056</v>
      </c>
      <c r="F9" s="413">
        <f t="shared" si="1"/>
        <v>1041</v>
      </c>
      <c r="G9" s="413">
        <f t="shared" si="1"/>
        <v>1026</v>
      </c>
      <c r="H9" s="413">
        <f t="shared" si="1"/>
        <v>1011</v>
      </c>
      <c r="I9" s="413">
        <f t="shared" si="1"/>
        <v>996</v>
      </c>
      <c r="J9" s="414">
        <f t="shared" si="1"/>
        <v>981</v>
      </c>
    </row>
  </sheetData>
  <mergeCells count="2">
    <mergeCell ref="A4:E4"/>
    <mergeCell ref="A1:J2"/>
  </mergeCells>
  <printOptions horizontalCentered="1" verticalCentered="1"/>
  <pageMargins left="0.51181102362204722" right="0.19685039370078741" top="0.43307086614173229" bottom="0.6692913385826772" header="0" footer="0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" enableFormatConditionsCalculation="0">
    <tabColor theme="8" tint="0.39997558519241921"/>
  </sheetPr>
  <dimension ref="A1:M48"/>
  <sheetViews>
    <sheetView showGridLines="0" workbookViewId="0">
      <selection activeCell="D27" sqref="D27"/>
    </sheetView>
  </sheetViews>
  <sheetFormatPr baseColWidth="10" defaultRowHeight="11.25"/>
  <cols>
    <col min="1" max="1" width="43.5703125" style="2" customWidth="1"/>
    <col min="2" max="2" width="27.85546875" style="2" customWidth="1"/>
    <col min="3" max="3" width="10" style="2" customWidth="1"/>
    <col min="4" max="4" width="8.85546875" style="2" customWidth="1"/>
    <col min="5" max="5" width="5.28515625" style="2" customWidth="1"/>
    <col min="6" max="6" width="6.140625" style="2" bestFit="1" customWidth="1"/>
    <col min="7" max="7" width="6.85546875" style="2" customWidth="1"/>
    <col min="8" max="8" width="12" style="2" customWidth="1"/>
    <col min="9" max="9" width="12.140625" style="2" customWidth="1"/>
    <col min="10" max="10" width="11.85546875" style="2" customWidth="1"/>
    <col min="11" max="11" width="12.42578125" style="2" customWidth="1"/>
    <col min="12" max="12" width="13" style="2" customWidth="1"/>
    <col min="13" max="13" width="12.85546875" style="2" customWidth="1"/>
    <col min="14" max="16384" width="11.42578125" style="2"/>
  </cols>
  <sheetData>
    <row r="1" spans="1:13" ht="18" customHeight="1">
      <c r="A1" s="585" t="s">
        <v>110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13" s="1" customFormat="1" ht="10.5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</row>
    <row r="3" spans="1:13" s="1" customFormat="1" ht="13.5" customHeight="1" thickBot="1">
      <c r="A3" s="658"/>
      <c r="B3" s="659"/>
      <c r="C3" s="659"/>
      <c r="D3" s="660"/>
      <c r="E3" s="657" t="s">
        <v>61</v>
      </c>
      <c r="F3" s="657"/>
      <c r="G3" s="657"/>
      <c r="H3" s="655" t="s">
        <v>63</v>
      </c>
      <c r="I3" s="666"/>
      <c r="J3" s="656"/>
      <c r="K3" s="666"/>
      <c r="L3" s="656"/>
      <c r="M3" s="666"/>
    </row>
    <row r="4" spans="1:13" s="1" customFormat="1" ht="21.75" thickBot="1">
      <c r="A4" s="146"/>
      <c r="B4" s="147" t="s">
        <v>56</v>
      </c>
      <c r="C4" s="148" t="s">
        <v>57</v>
      </c>
      <c r="D4" s="148" t="s">
        <v>58</v>
      </c>
      <c r="E4" s="148" t="s">
        <v>45</v>
      </c>
      <c r="F4" s="148" t="s">
        <v>62</v>
      </c>
      <c r="G4" s="447" t="s">
        <v>46</v>
      </c>
      <c r="H4" s="448" t="s">
        <v>45</v>
      </c>
      <c r="I4" s="428" t="s">
        <v>62</v>
      </c>
      <c r="J4" s="448" t="s">
        <v>78</v>
      </c>
      <c r="K4" s="428" t="s">
        <v>103</v>
      </c>
      <c r="L4" s="448" t="s">
        <v>104</v>
      </c>
      <c r="M4" s="449" t="s">
        <v>338</v>
      </c>
    </row>
    <row r="5" spans="1:13" s="1" customFormat="1" ht="12" thickBot="1">
      <c r="A5" s="664" t="s">
        <v>52</v>
      </c>
      <c r="B5" s="665"/>
      <c r="C5" s="665"/>
      <c r="D5" s="665"/>
      <c r="E5" s="665"/>
      <c r="F5" s="665"/>
      <c r="G5" s="665"/>
      <c r="H5" s="665"/>
      <c r="I5" s="665"/>
      <c r="J5" s="665"/>
      <c r="K5" s="415"/>
      <c r="L5" s="416"/>
      <c r="M5" s="416"/>
    </row>
    <row r="6" spans="1:13" s="1" customFormat="1" ht="10.5">
      <c r="A6" s="661" t="s">
        <v>259</v>
      </c>
      <c r="B6" s="325" t="s">
        <v>260</v>
      </c>
      <c r="C6" s="421">
        <v>80</v>
      </c>
      <c r="D6" s="422" t="s">
        <v>60</v>
      </c>
      <c r="E6" s="423">
        <v>4</v>
      </c>
      <c r="F6" s="423">
        <v>4</v>
      </c>
      <c r="G6" s="444">
        <v>4</v>
      </c>
      <c r="H6" s="437">
        <f>C6*E6</f>
        <v>320</v>
      </c>
      <c r="I6" s="441">
        <f>+C6*F6</f>
        <v>320</v>
      </c>
      <c r="J6" s="437">
        <f>C6*F6</f>
        <v>320</v>
      </c>
      <c r="K6" s="441">
        <f t="shared" ref="K6:M8" si="0">+J6*1.05</f>
        <v>336</v>
      </c>
      <c r="L6" s="437">
        <f t="shared" si="0"/>
        <v>352.8</v>
      </c>
      <c r="M6" s="424">
        <f t="shared" si="0"/>
        <v>370.44000000000005</v>
      </c>
    </row>
    <row r="7" spans="1:13" s="1" customFormat="1" ht="10.5">
      <c r="A7" s="662"/>
      <c r="B7" s="82" t="s">
        <v>261</v>
      </c>
      <c r="C7" s="149">
        <v>70</v>
      </c>
      <c r="D7" s="150" t="s">
        <v>59</v>
      </c>
      <c r="E7" s="324">
        <v>4</v>
      </c>
      <c r="F7" s="324">
        <v>4</v>
      </c>
      <c r="G7" s="445">
        <v>4</v>
      </c>
      <c r="H7" s="438">
        <f>C7*E7</f>
        <v>280</v>
      </c>
      <c r="I7" s="442">
        <f>+C7*F7</f>
        <v>280</v>
      </c>
      <c r="J7" s="438">
        <f>C7*F7</f>
        <v>280</v>
      </c>
      <c r="K7" s="442">
        <f t="shared" si="0"/>
        <v>294</v>
      </c>
      <c r="L7" s="438">
        <f t="shared" si="0"/>
        <v>308.7</v>
      </c>
      <c r="M7" s="326">
        <f t="shared" si="0"/>
        <v>324.13499999999999</v>
      </c>
    </row>
    <row r="8" spans="1:13" s="1" customFormat="1" thickBot="1">
      <c r="A8" s="663"/>
      <c r="B8" s="327" t="s">
        <v>262</v>
      </c>
      <c r="C8" s="327">
        <v>100</v>
      </c>
      <c r="D8" s="327" t="s">
        <v>59</v>
      </c>
      <c r="E8" s="328">
        <v>4</v>
      </c>
      <c r="F8" s="328">
        <v>4</v>
      </c>
      <c r="G8" s="446">
        <v>4</v>
      </c>
      <c r="H8" s="439">
        <f>+E8*C8</f>
        <v>400</v>
      </c>
      <c r="I8" s="443">
        <f>+F8*C8</f>
        <v>400</v>
      </c>
      <c r="J8" s="439">
        <f>+G8*C8</f>
        <v>400</v>
      </c>
      <c r="K8" s="443">
        <f t="shared" si="0"/>
        <v>420</v>
      </c>
      <c r="L8" s="439">
        <f t="shared" si="0"/>
        <v>441</v>
      </c>
      <c r="M8" s="329">
        <f t="shared" si="0"/>
        <v>463.05</v>
      </c>
    </row>
    <row r="9" spans="1:13" s="1" customFormat="1" thickBot="1">
      <c r="A9" s="417"/>
      <c r="B9" s="418"/>
      <c r="C9" s="418"/>
      <c r="D9" s="418"/>
      <c r="E9" s="419"/>
      <c r="F9" s="419"/>
      <c r="G9" s="419"/>
      <c r="H9" s="418"/>
      <c r="I9" s="418"/>
      <c r="J9" s="418"/>
      <c r="K9" s="418"/>
      <c r="L9" s="420"/>
      <c r="M9" s="420"/>
    </row>
    <row r="10" spans="1:13" s="1" customFormat="1" ht="10.5">
      <c r="A10" s="151"/>
      <c r="B10" s="152"/>
      <c r="C10" s="153"/>
      <c r="D10" s="152"/>
      <c r="E10" s="152"/>
      <c r="F10" s="152"/>
      <c r="G10" s="152"/>
      <c r="H10" s="153">
        <f t="shared" ref="H10:M10" si="1">SUM(H6:H9)</f>
        <v>1000</v>
      </c>
      <c r="I10" s="153">
        <f t="shared" si="1"/>
        <v>1000</v>
      </c>
      <c r="J10" s="153">
        <f t="shared" si="1"/>
        <v>1000</v>
      </c>
      <c r="K10" s="153">
        <f t="shared" si="1"/>
        <v>1050</v>
      </c>
      <c r="L10" s="153">
        <f t="shared" si="1"/>
        <v>1102.5</v>
      </c>
      <c r="M10" s="153">
        <f t="shared" si="1"/>
        <v>1157.625</v>
      </c>
    </row>
    <row r="11" spans="1:13" s="6" customFormat="1" ht="10.5">
      <c r="A11" s="154"/>
      <c r="C11" s="155"/>
      <c r="H11" s="155"/>
      <c r="I11" s="155"/>
      <c r="J11" s="155"/>
      <c r="M11" s="156"/>
    </row>
    <row r="12" spans="1:13" s="1" customFormat="1" ht="12.75" customHeight="1" thickBot="1">
      <c r="A12" s="154"/>
      <c r="B12" s="6"/>
      <c r="C12" s="155"/>
      <c r="D12" s="6"/>
      <c r="E12" s="6"/>
      <c r="F12" s="6"/>
      <c r="G12" s="6"/>
      <c r="H12" s="655" t="s">
        <v>63</v>
      </c>
      <c r="I12" s="656"/>
      <c r="J12" s="656"/>
      <c r="K12" s="656"/>
      <c r="L12" s="656"/>
      <c r="M12" s="656"/>
    </row>
    <row r="13" spans="1:13" s="1" customFormat="1" thickBot="1">
      <c r="A13" s="425"/>
      <c r="B13" s="426"/>
      <c r="C13" s="427"/>
      <c r="D13" s="426"/>
      <c r="E13" s="426"/>
      <c r="F13" s="426"/>
      <c r="G13" s="426"/>
      <c r="H13" s="448" t="s">
        <v>45</v>
      </c>
      <c r="I13" s="428" t="s">
        <v>79</v>
      </c>
      <c r="J13" s="448" t="s">
        <v>46</v>
      </c>
      <c r="K13" s="428" t="s">
        <v>103</v>
      </c>
      <c r="L13" s="448" t="s">
        <v>104</v>
      </c>
      <c r="M13" s="450" t="s">
        <v>338</v>
      </c>
    </row>
    <row r="14" spans="1:13" s="1" customFormat="1" ht="12.75" customHeight="1" thickBot="1">
      <c r="A14" s="588" t="s">
        <v>53</v>
      </c>
      <c r="B14" s="654"/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589"/>
    </row>
    <row r="15" spans="1:13" s="1" customFormat="1">
      <c r="A15" s="648" t="s">
        <v>263</v>
      </c>
      <c r="B15" s="649"/>
      <c r="C15" s="649"/>
      <c r="D15" s="649"/>
      <c r="E15" s="649"/>
      <c r="F15" s="649"/>
      <c r="G15" s="649"/>
      <c r="H15" s="437">
        <v>3000</v>
      </c>
      <c r="I15" s="437">
        <f t="shared" ref="I15:M17" si="2">+H15*1.1</f>
        <v>3300.0000000000005</v>
      </c>
      <c r="J15" s="441">
        <f t="shared" si="2"/>
        <v>3630.0000000000009</v>
      </c>
      <c r="K15" s="437">
        <f t="shared" si="2"/>
        <v>3993.0000000000014</v>
      </c>
      <c r="L15" s="434">
        <f t="shared" si="2"/>
        <v>4392.300000000002</v>
      </c>
      <c r="M15" s="424">
        <f t="shared" si="2"/>
        <v>4831.5300000000025</v>
      </c>
    </row>
    <row r="16" spans="1:13" s="1" customFormat="1">
      <c r="A16" s="650" t="s">
        <v>264</v>
      </c>
      <c r="B16" s="651"/>
      <c r="C16" s="651"/>
      <c r="D16" s="651"/>
      <c r="E16" s="651"/>
      <c r="F16" s="651"/>
      <c r="G16" s="651"/>
      <c r="H16" s="438">
        <v>3200</v>
      </c>
      <c r="I16" s="438">
        <f t="shared" si="2"/>
        <v>3520.0000000000005</v>
      </c>
      <c r="J16" s="442">
        <f t="shared" si="2"/>
        <v>3872.0000000000009</v>
      </c>
      <c r="K16" s="438">
        <f t="shared" si="2"/>
        <v>4259.2000000000016</v>
      </c>
      <c r="L16" s="435">
        <f t="shared" si="2"/>
        <v>4685.1200000000026</v>
      </c>
      <c r="M16" s="326">
        <f t="shared" si="2"/>
        <v>5153.6320000000032</v>
      </c>
    </row>
    <row r="17" spans="1:13" s="1" customFormat="1" ht="12" thickBot="1">
      <c r="A17" s="652" t="s">
        <v>54</v>
      </c>
      <c r="B17" s="653"/>
      <c r="C17" s="653"/>
      <c r="D17" s="653"/>
      <c r="E17" s="653"/>
      <c r="F17" s="653"/>
      <c r="G17" s="653"/>
      <c r="H17" s="439">
        <v>800</v>
      </c>
      <c r="I17" s="439">
        <f t="shared" si="2"/>
        <v>880.00000000000011</v>
      </c>
      <c r="J17" s="443">
        <f t="shared" si="2"/>
        <v>968.00000000000023</v>
      </c>
      <c r="K17" s="439">
        <f t="shared" si="2"/>
        <v>1064.8000000000004</v>
      </c>
      <c r="L17" s="436">
        <f t="shared" si="2"/>
        <v>1171.2800000000007</v>
      </c>
      <c r="M17" s="329">
        <f t="shared" si="2"/>
        <v>1288.4080000000008</v>
      </c>
    </row>
    <row r="18" spans="1:13" s="6" customFormat="1" ht="12" thickBot="1">
      <c r="A18" s="429"/>
      <c r="B18" s="430"/>
      <c r="C18" s="430"/>
      <c r="D18" s="430"/>
      <c r="E18" s="430"/>
      <c r="F18" s="430"/>
      <c r="G18" s="430"/>
      <c r="H18" s="440">
        <f t="shared" ref="H18:M18" si="3">SUM(H15:H17)</f>
        <v>7000</v>
      </c>
      <c r="I18" s="440">
        <f t="shared" si="3"/>
        <v>7700.0000000000009</v>
      </c>
      <c r="J18" s="431">
        <f t="shared" si="3"/>
        <v>8470.0000000000018</v>
      </c>
      <c r="K18" s="440">
        <f t="shared" si="3"/>
        <v>9317.0000000000036</v>
      </c>
      <c r="L18" s="432">
        <f t="shared" si="3"/>
        <v>10248.700000000006</v>
      </c>
      <c r="M18" s="433">
        <f t="shared" si="3"/>
        <v>11273.570000000007</v>
      </c>
    </row>
    <row r="19" spans="1:13" s="6" customFormat="1" ht="12" thickBot="1">
      <c r="A19" s="144"/>
      <c r="B19" s="145"/>
      <c r="C19" s="145"/>
      <c r="D19" s="145"/>
      <c r="E19" s="145"/>
      <c r="F19" s="145"/>
      <c r="G19" s="145"/>
      <c r="H19" s="155"/>
      <c r="I19" s="155"/>
      <c r="J19" s="155"/>
    </row>
    <row r="20" spans="1:13" s="61" customFormat="1" ht="12" thickBot="1">
      <c r="A20" s="645" t="s">
        <v>55</v>
      </c>
      <c r="B20" s="646"/>
      <c r="C20" s="646"/>
      <c r="D20" s="646"/>
      <c r="E20" s="646"/>
      <c r="F20" s="646"/>
      <c r="G20" s="647"/>
      <c r="H20" s="157">
        <f t="shared" ref="H20:M20" si="4">+H10+H18</f>
        <v>8000</v>
      </c>
      <c r="I20" s="157">
        <f t="shared" si="4"/>
        <v>8700</v>
      </c>
      <c r="J20" s="157">
        <f t="shared" si="4"/>
        <v>9470.0000000000018</v>
      </c>
      <c r="K20" s="157">
        <f t="shared" si="4"/>
        <v>10367.000000000004</v>
      </c>
      <c r="L20" s="157">
        <f t="shared" si="4"/>
        <v>11351.200000000006</v>
      </c>
      <c r="M20" s="157">
        <f t="shared" si="4"/>
        <v>12431.195000000007</v>
      </c>
    </row>
    <row r="48" spans="2:2" ht="18">
      <c r="B48" s="22"/>
    </row>
  </sheetData>
  <mergeCells count="12">
    <mergeCell ref="A1:L2"/>
    <mergeCell ref="E3:G3"/>
    <mergeCell ref="A3:D3"/>
    <mergeCell ref="A6:A8"/>
    <mergeCell ref="A5:J5"/>
    <mergeCell ref="H3:M3"/>
    <mergeCell ref="A20:G20"/>
    <mergeCell ref="A15:G15"/>
    <mergeCell ref="A16:G16"/>
    <mergeCell ref="A17:G17"/>
    <mergeCell ref="A14:M14"/>
    <mergeCell ref="H12:M12"/>
  </mergeCells>
  <phoneticPr fontId="4" type="noConversion"/>
  <pageMargins left="0.2" right="0.26" top="0.35" bottom="0.33" header="0" footer="0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1" enableFormatConditionsCalculation="0">
    <tabColor theme="8" tint="0.39997558519241921"/>
  </sheetPr>
  <dimension ref="A1:P73"/>
  <sheetViews>
    <sheetView showGridLines="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H31" sqref="H31"/>
    </sheetView>
  </sheetViews>
  <sheetFormatPr baseColWidth="10" defaultRowHeight="10.5"/>
  <cols>
    <col min="1" max="1" width="28" style="1" customWidth="1"/>
    <col min="2" max="2" width="13.5703125" style="1" customWidth="1"/>
    <col min="3" max="3" width="13" style="1" customWidth="1"/>
    <col min="4" max="4" width="12.28515625" style="1" customWidth="1"/>
    <col min="5" max="5" width="11.140625" style="1" customWidth="1"/>
    <col min="6" max="6" width="12.5703125" style="1" customWidth="1"/>
    <col min="7" max="7" width="11.140625" style="1" customWidth="1"/>
    <col min="8" max="13" width="9.28515625" style="1" customWidth="1"/>
    <col min="14" max="14" width="10.28515625" style="1" bestFit="1" customWidth="1"/>
    <col min="15" max="15" width="12" style="1" customWidth="1"/>
    <col min="16" max="16" width="12.28515625" style="1" customWidth="1"/>
    <col min="17" max="17" width="10.85546875" style="1" customWidth="1"/>
    <col min="18" max="18" width="10.28515625" style="1" customWidth="1"/>
    <col min="19" max="16384" width="11.42578125" style="1"/>
  </cols>
  <sheetData>
    <row r="1" spans="1:7" ht="18.75" thickBot="1">
      <c r="A1" s="22" t="s">
        <v>109</v>
      </c>
    </row>
    <row r="2" spans="1:7">
      <c r="A2" s="49" t="s">
        <v>0</v>
      </c>
      <c r="B2" s="136" t="s">
        <v>222</v>
      </c>
      <c r="C2" s="136" t="s">
        <v>223</v>
      </c>
      <c r="D2" s="136" t="s">
        <v>83</v>
      </c>
      <c r="E2" s="136" t="s">
        <v>101</v>
      </c>
      <c r="F2" s="136" t="s">
        <v>102</v>
      </c>
      <c r="G2" s="136" t="s">
        <v>320</v>
      </c>
    </row>
    <row r="3" spans="1:7">
      <c r="A3" s="46" t="s">
        <v>19</v>
      </c>
      <c r="B3" s="127">
        <f>+D63</f>
        <v>300</v>
      </c>
      <c r="C3" s="48">
        <f>+'Anexo 10 - Suminis. y serv.'!E25</f>
        <v>315</v>
      </c>
      <c r="D3" s="48">
        <f t="shared" ref="D3:F5" si="0">+C3*1.05</f>
        <v>330.75</v>
      </c>
      <c r="E3" s="48">
        <f t="shared" si="0"/>
        <v>347.28750000000002</v>
      </c>
      <c r="F3" s="48">
        <f t="shared" si="0"/>
        <v>364.65187500000002</v>
      </c>
      <c r="G3" s="48">
        <f>+E3*1.05</f>
        <v>364.65187500000002</v>
      </c>
    </row>
    <row r="4" spans="1:7">
      <c r="A4" s="46" t="s">
        <v>32</v>
      </c>
      <c r="B4" s="127">
        <f>+D64</f>
        <v>360</v>
      </c>
      <c r="C4" s="48">
        <f>+'Anexo 10 - Suminis. y serv.'!E24</f>
        <v>378</v>
      </c>
      <c r="D4" s="48">
        <f t="shared" si="0"/>
        <v>396.90000000000003</v>
      </c>
      <c r="E4" s="48">
        <f t="shared" si="0"/>
        <v>416.74500000000006</v>
      </c>
      <c r="F4" s="48">
        <f t="shared" si="0"/>
        <v>437.5822500000001</v>
      </c>
      <c r="G4" s="48">
        <f>+E4*1.05</f>
        <v>437.5822500000001</v>
      </c>
    </row>
    <row r="5" spans="1:7">
      <c r="A5" s="46" t="s">
        <v>239</v>
      </c>
      <c r="B5" s="127">
        <f>+D65</f>
        <v>480</v>
      </c>
      <c r="C5" s="48">
        <f>+'Anexo 10 - Suminis. y serv.'!E23</f>
        <v>504</v>
      </c>
      <c r="D5" s="48">
        <f t="shared" si="0"/>
        <v>529.20000000000005</v>
      </c>
      <c r="E5" s="48">
        <f t="shared" si="0"/>
        <v>555.66000000000008</v>
      </c>
      <c r="F5" s="48">
        <f t="shared" si="0"/>
        <v>583.4430000000001</v>
      </c>
      <c r="G5" s="48">
        <f>+E5*1.05</f>
        <v>583.4430000000001</v>
      </c>
    </row>
    <row r="6" spans="1:7">
      <c r="A6" s="46" t="s">
        <v>41</v>
      </c>
      <c r="B6" s="127">
        <f>+D66</f>
        <v>495.9</v>
      </c>
      <c r="C6" s="48">
        <f>+'Anexo 10 - Suminis. y serv.'!E17</f>
        <v>520.69499999999994</v>
      </c>
      <c r="D6" s="48">
        <f>+'Anexo 10 - Suminis. y serv.'!F17</f>
        <v>546.72975000000008</v>
      </c>
      <c r="E6" s="48">
        <f>+'Anexo 10 - Suminis. y serv.'!G17</f>
        <v>574.06623750000006</v>
      </c>
      <c r="F6" s="48">
        <f>+'Anexo 10 - Suminis. y serv.'!H17</f>
        <v>602.76954937499988</v>
      </c>
      <c r="G6" s="48">
        <f>+'Anexo 10 - Suminis. y serv.'!I17</f>
        <v>632.90802684375012</v>
      </c>
    </row>
    <row r="7" spans="1:7">
      <c r="A7" s="46" t="s">
        <v>34</v>
      </c>
      <c r="B7" s="127">
        <f>+D67</f>
        <v>420</v>
      </c>
      <c r="C7" s="48">
        <f>+'Anexo 10 - Suminis. y serv.'!E26</f>
        <v>441</v>
      </c>
      <c r="D7" s="48">
        <f>+'Anexo 10 - Suminis. y serv.'!F26</f>
        <v>463.05</v>
      </c>
      <c r="E7" s="48">
        <f>+'Anexo 10 - Suminis. y serv.'!G26</f>
        <v>486.20250000000004</v>
      </c>
      <c r="F7" s="48">
        <f>+'Anexo 10 - Suminis. y serv.'!H26</f>
        <v>510.51262500000007</v>
      </c>
      <c r="G7" s="48">
        <f>+'Anexo 10 - Suminis. y serv.'!I26</f>
        <v>536.03825625000013</v>
      </c>
    </row>
    <row r="8" spans="1:7" hidden="1">
      <c r="A8" s="46" t="s">
        <v>100</v>
      </c>
      <c r="B8" s="127" t="e">
        <f>SUM(#REF!)</f>
        <v>#REF!</v>
      </c>
      <c r="C8" s="48" t="e">
        <f>+B8*1.05</f>
        <v>#REF!</v>
      </c>
      <c r="D8" s="48" t="e">
        <f>+C8*1.05</f>
        <v>#REF!</v>
      </c>
      <c r="E8" s="48" t="e">
        <f>+D8*1.05</f>
        <v>#REF!</v>
      </c>
      <c r="F8" s="48" t="e">
        <f>+E8*1.05</f>
        <v>#REF!</v>
      </c>
      <c r="G8" s="48" t="e">
        <f>+F8*1.05</f>
        <v>#REF!</v>
      </c>
    </row>
    <row r="9" spans="1:7">
      <c r="A9" s="46" t="s">
        <v>339</v>
      </c>
      <c r="B9" s="127">
        <f>+D60</f>
        <v>2000.6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</row>
    <row r="10" spans="1:7">
      <c r="A10" s="46" t="s">
        <v>35</v>
      </c>
      <c r="B10" s="127">
        <f>+D68</f>
        <v>25</v>
      </c>
      <c r="C10" s="48">
        <f t="shared" ref="C10:G12" si="1">+B10*1.05</f>
        <v>26.25</v>
      </c>
      <c r="D10" s="48">
        <f t="shared" si="1"/>
        <v>27.5625</v>
      </c>
      <c r="E10" s="48">
        <f t="shared" si="1"/>
        <v>28.940625000000001</v>
      </c>
      <c r="F10" s="48">
        <f t="shared" si="1"/>
        <v>30.387656250000003</v>
      </c>
      <c r="G10" s="48">
        <f t="shared" si="1"/>
        <v>31.907039062500004</v>
      </c>
    </row>
    <row r="11" spans="1:7">
      <c r="A11" s="46" t="s">
        <v>36</v>
      </c>
      <c r="B11" s="127">
        <f>+D69</f>
        <v>20</v>
      </c>
      <c r="C11" s="48">
        <f t="shared" si="1"/>
        <v>21</v>
      </c>
      <c r="D11" s="48">
        <f t="shared" si="1"/>
        <v>22.05</v>
      </c>
      <c r="E11" s="48">
        <f t="shared" si="1"/>
        <v>23.152500000000003</v>
      </c>
      <c r="F11" s="48">
        <f t="shared" si="1"/>
        <v>24.310125000000003</v>
      </c>
      <c r="G11" s="48">
        <f t="shared" si="1"/>
        <v>25.525631250000004</v>
      </c>
    </row>
    <row r="12" spans="1:7">
      <c r="A12" s="46" t="s">
        <v>37</v>
      </c>
      <c r="B12" s="127">
        <f>+D70</f>
        <v>10</v>
      </c>
      <c r="C12" s="48">
        <f t="shared" si="1"/>
        <v>10.5</v>
      </c>
      <c r="D12" s="48">
        <f t="shared" si="1"/>
        <v>11.025</v>
      </c>
      <c r="E12" s="48">
        <f t="shared" si="1"/>
        <v>11.576250000000002</v>
      </c>
      <c r="F12" s="48">
        <f t="shared" si="1"/>
        <v>12.155062500000001</v>
      </c>
      <c r="G12" s="48">
        <f t="shared" si="1"/>
        <v>12.762815625000002</v>
      </c>
    </row>
    <row r="13" spans="1:7" ht="12" customHeight="1">
      <c r="A13" s="46" t="s">
        <v>38</v>
      </c>
      <c r="B13" s="127">
        <v>80</v>
      </c>
      <c r="C13" s="48">
        <f>+B13*1.05</f>
        <v>84</v>
      </c>
      <c r="D13" s="48">
        <f>+C13*1.05</f>
        <v>88.2</v>
      </c>
      <c r="E13" s="48">
        <f>+D13*1.05</f>
        <v>92.610000000000014</v>
      </c>
      <c r="F13" s="48">
        <f>+E13*1.05</f>
        <v>97.240500000000011</v>
      </c>
      <c r="G13" s="48">
        <f>+E13*1.05</f>
        <v>97.240500000000011</v>
      </c>
    </row>
    <row r="14" spans="1:7" ht="11.25" thickBot="1">
      <c r="A14" s="81" t="s">
        <v>20</v>
      </c>
      <c r="B14" s="137">
        <f>+B3+B4+B5+B6+B7+B10+B11+B12+B13+B9</f>
        <v>4191.5</v>
      </c>
      <c r="C14" s="137">
        <f>+C3+C4+C5+C6+C7+C10+C11+C12+C13</f>
        <v>2300.4449999999997</v>
      </c>
      <c r="D14" s="137">
        <f>+D3+D4+D5+D6+D7+D10+D11+D12+D13</f>
        <v>2415.4672500000006</v>
      </c>
      <c r="E14" s="137">
        <f>+E3+E4+E5+E6+E7+E10+E11+E12+E13</f>
        <v>2536.2406125000007</v>
      </c>
      <c r="F14" s="137">
        <f>+F3+F4+F5+F6+F7+F10+F11+F12+F13</f>
        <v>2663.052643125</v>
      </c>
      <c r="G14" s="137">
        <f>+G3+G4+G5+G6+G7+G10+G11+G12+G13</f>
        <v>2722.0593940312501</v>
      </c>
    </row>
    <row r="17" spans="1:16" ht="17.25" customHeight="1" thickBot="1">
      <c r="A17" s="22" t="s">
        <v>69</v>
      </c>
    </row>
    <row r="18" spans="1:16" s="52" customFormat="1">
      <c r="A18" s="49" t="s">
        <v>0</v>
      </c>
      <c r="B18" s="136" t="s">
        <v>222</v>
      </c>
      <c r="C18" s="136" t="s">
        <v>223</v>
      </c>
      <c r="D18" s="136" t="s">
        <v>83</v>
      </c>
      <c r="E18" s="136" t="s">
        <v>101</v>
      </c>
      <c r="F18" s="136" t="s">
        <v>102</v>
      </c>
      <c r="G18" s="136" t="s">
        <v>320</v>
      </c>
    </row>
    <row r="19" spans="1:16">
      <c r="A19" s="46" t="s">
        <v>254</v>
      </c>
      <c r="B19" s="127">
        <f>+'Anexo 15 - Alquiler'!E5</f>
        <v>384</v>
      </c>
      <c r="C19" s="127">
        <f>+'Anexo 15 - Alquiler'!F5</f>
        <v>379</v>
      </c>
      <c r="D19" s="127">
        <f>+'Anexo 15 - Alquiler'!G5</f>
        <v>374</v>
      </c>
      <c r="E19" s="127">
        <f>+'Anexo 15 - Alquiler'!H5</f>
        <v>369</v>
      </c>
      <c r="F19" s="127">
        <f>+'Anexo 15 - Alquiler'!I5</f>
        <v>364</v>
      </c>
      <c r="G19" s="127">
        <f>+'Anexo 15 - Alquiler'!J5</f>
        <v>359</v>
      </c>
    </row>
    <row r="20" spans="1:16" ht="12.75" customHeight="1">
      <c r="A20" s="46" t="s">
        <v>255</v>
      </c>
      <c r="B20" s="127">
        <f>+'Anexo 15 - Alquiler'!E6</f>
        <v>480</v>
      </c>
      <c r="C20" s="127">
        <f>+'Anexo 15 - Alquiler'!F6</f>
        <v>475</v>
      </c>
      <c r="D20" s="127">
        <f>+'Anexo 15 - Alquiler'!G6</f>
        <v>470</v>
      </c>
      <c r="E20" s="127">
        <f>+'Anexo 15 - Alquiler'!H6</f>
        <v>465</v>
      </c>
      <c r="F20" s="127">
        <f>+'Anexo 15 - Alquiler'!I6</f>
        <v>460</v>
      </c>
      <c r="G20" s="127">
        <f>+'Anexo 15 - Alquiler'!J6</f>
        <v>455</v>
      </c>
    </row>
    <row r="21" spans="1:16">
      <c r="A21" s="46" t="s">
        <v>256</v>
      </c>
      <c r="B21" s="127">
        <f>+'Anexo 15 - Alquiler'!E7</f>
        <v>192</v>
      </c>
      <c r="C21" s="127">
        <f>+'Anexo 15 - Alquiler'!F7</f>
        <v>187</v>
      </c>
      <c r="D21" s="127">
        <f>+'Anexo 15 - Alquiler'!G7</f>
        <v>182</v>
      </c>
      <c r="E21" s="127">
        <f>+'Anexo 15 - Alquiler'!H7</f>
        <v>177</v>
      </c>
      <c r="F21" s="127">
        <f>+'Anexo 15 - Alquiler'!I7</f>
        <v>172</v>
      </c>
      <c r="G21" s="127">
        <f>+'Anexo 15 - Alquiler'!J7</f>
        <v>167</v>
      </c>
    </row>
    <row r="22" spans="1:16" ht="12.75" customHeight="1">
      <c r="A22" s="46" t="s">
        <v>257</v>
      </c>
      <c r="B22" s="127">
        <f>+'Anexo 7 - Materiales indirecto'!D11</f>
        <v>7800</v>
      </c>
      <c r="C22" s="127">
        <f>+'Anexo 7 - Materiales indirecto'!E11</f>
        <v>8190</v>
      </c>
      <c r="D22" s="127">
        <f>+'Anexo 7 - Materiales indirecto'!F11</f>
        <v>8599.5</v>
      </c>
      <c r="E22" s="127">
        <f>+'Anexo 7 - Materiales indirecto'!G11</f>
        <v>9029.4750000000004</v>
      </c>
      <c r="F22" s="127">
        <f>+'Anexo 7 - Materiales indirecto'!H11</f>
        <v>9480.9487499999996</v>
      </c>
      <c r="G22" s="127">
        <f>+'Anexo 7 - Materiales indirecto'!I11</f>
        <v>9632.8870312500003</v>
      </c>
    </row>
    <row r="23" spans="1:16" s="80" customFormat="1">
      <c r="A23" s="78" t="s">
        <v>258</v>
      </c>
      <c r="B23" s="138">
        <f>+'Anexo 6 - Materiales directos'!E16</f>
        <v>3143</v>
      </c>
      <c r="C23" s="138">
        <f>+'Anexo 6 - Materiales directos'!F16</f>
        <v>2071.65</v>
      </c>
      <c r="D23" s="138">
        <f>+'Anexo 6 - Materiales directos'!G16</f>
        <v>3403.7325000000005</v>
      </c>
      <c r="E23" s="138">
        <f>+'Anexo 6 - Materiales directos'!H16</f>
        <v>2283.9941250000002</v>
      </c>
      <c r="F23" s="138">
        <f>+'Anexo 6 - Materiales directos'!I16</f>
        <v>3688.1188312500003</v>
      </c>
      <c r="G23" s="138">
        <f>+'Anexo 6 - Materiales directos'!J16</f>
        <v>2398.1938312500001</v>
      </c>
    </row>
    <row r="24" spans="1:16" ht="11.25" thickBot="1">
      <c r="A24" s="81" t="s">
        <v>20</v>
      </c>
      <c r="B24" s="137">
        <f t="shared" ref="B24:G24" si="2">SUM(B19:B23)</f>
        <v>11999</v>
      </c>
      <c r="C24" s="137">
        <f t="shared" si="2"/>
        <v>11302.65</v>
      </c>
      <c r="D24" s="137">
        <f t="shared" si="2"/>
        <v>13029.2325</v>
      </c>
      <c r="E24" s="137">
        <f t="shared" si="2"/>
        <v>12324.469125</v>
      </c>
      <c r="F24" s="137">
        <f t="shared" si="2"/>
        <v>14165.067581249999</v>
      </c>
      <c r="G24" s="137">
        <f t="shared" si="2"/>
        <v>13012.080862500001</v>
      </c>
    </row>
    <row r="25" spans="1:16" s="94" customFormat="1">
      <c r="A25" s="55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8">
      <c r="A26" s="22" t="s">
        <v>84</v>
      </c>
    </row>
    <row r="27" spans="1:16" ht="18.75" thickBot="1">
      <c r="A27" s="22"/>
    </row>
    <row r="28" spans="1:16" ht="13.5" thickBot="1">
      <c r="A28" s="7" t="s">
        <v>85</v>
      </c>
      <c r="B28" s="250">
        <f>+'Anexo 13 -  Inversion Inicial'!B2</f>
        <v>66768.552000000011</v>
      </c>
      <c r="N28" s="143"/>
      <c r="P28" s="54"/>
    </row>
    <row r="29" spans="1:16" ht="12.75">
      <c r="A29" s="7" t="s">
        <v>86</v>
      </c>
      <c r="B29" s="95">
        <v>0.1125</v>
      </c>
      <c r="N29" s="95"/>
    </row>
    <row r="30" spans="1:16" ht="12.75">
      <c r="A30" s="7" t="s">
        <v>87</v>
      </c>
      <c r="B30" s="96">
        <v>60</v>
      </c>
      <c r="C30" s="1" t="s">
        <v>88</v>
      </c>
      <c r="N30" s="96"/>
    </row>
    <row r="31" spans="1:16" ht="13.5" thickBot="1">
      <c r="A31" s="7" t="s">
        <v>92</v>
      </c>
      <c r="B31" s="1" t="s">
        <v>322</v>
      </c>
    </row>
    <row r="32" spans="1:16" s="52" customFormat="1">
      <c r="A32" s="451" t="s">
        <v>0</v>
      </c>
      <c r="B32" s="290" t="s">
        <v>49</v>
      </c>
      <c r="C32" s="291" t="s">
        <v>50</v>
      </c>
      <c r="D32" s="291" t="s">
        <v>51</v>
      </c>
      <c r="E32" s="291" t="s">
        <v>105</v>
      </c>
      <c r="F32" s="291" t="s">
        <v>106</v>
      </c>
      <c r="G32" s="305" t="s">
        <v>325</v>
      </c>
    </row>
    <row r="33" spans="1:7">
      <c r="A33" s="452" t="s">
        <v>89</v>
      </c>
      <c r="B33" s="455">
        <f>+'Anexo11 - Amortización Prestamo'!$D$17</f>
        <v>10667.876566698153</v>
      </c>
      <c r="C33" s="455">
        <f>+'Anexo11 - Amortización Prestamo'!$D$18</f>
        <v>11868.012680451695</v>
      </c>
      <c r="D33" s="455">
        <f>+'Anexo11 - Amortización Prestamo'!$D$19</f>
        <v>13203.164107002509</v>
      </c>
      <c r="E33" s="455">
        <f>+'Anexo11 - Amortización Prestamo'!$D$20</f>
        <v>14688.520069040291</v>
      </c>
      <c r="F33" s="455">
        <f>+'Anexo11 - Amortización Prestamo'!$D$21</f>
        <v>16340.978576807323</v>
      </c>
      <c r="G33" s="455"/>
    </row>
    <row r="34" spans="1:7" s="80" customFormat="1">
      <c r="A34" s="453" t="s">
        <v>90</v>
      </c>
      <c r="B34" s="456">
        <f>+'Anexo11 - Amortización Prestamo'!$E$17</f>
        <v>7511.4621000000016</v>
      </c>
      <c r="C34" s="456">
        <f>+'Anexo11 - Amortización Prestamo'!$E$18</f>
        <v>6311.3259862464593</v>
      </c>
      <c r="D34" s="456">
        <f>+'Anexo11 - Amortización Prestamo'!$E$19</f>
        <v>4976.1745596956443</v>
      </c>
      <c r="E34" s="456">
        <f>+'Anexo11 - Amortización Prestamo'!$E$20</f>
        <v>3490.818597657862</v>
      </c>
      <c r="F34" s="456">
        <f>+'Anexo11 - Amortización Prestamo'!$E$21</f>
        <v>1838.3600898908294</v>
      </c>
      <c r="G34" s="456"/>
    </row>
    <row r="35" spans="1:7" ht="11.25" thickBot="1">
      <c r="A35" s="454" t="s">
        <v>91</v>
      </c>
      <c r="B35" s="457">
        <f>SUM(B33:B34)</f>
        <v>18179.338666698153</v>
      </c>
      <c r="C35" s="310">
        <f>SUM(C33:C34)</f>
        <v>18179.338666698153</v>
      </c>
      <c r="D35" s="310">
        <f>SUM(D33:D34)</f>
        <v>18179.338666698153</v>
      </c>
      <c r="E35" s="310">
        <f>SUM(E33:E34)</f>
        <v>18179.338666698153</v>
      </c>
      <c r="F35" s="310">
        <f>SUM(F33:F34)</f>
        <v>18179.338666698153</v>
      </c>
      <c r="G35" s="311"/>
    </row>
    <row r="37" spans="1:7" ht="18">
      <c r="A37" s="22" t="s">
        <v>70</v>
      </c>
    </row>
    <row r="38" spans="1:7" ht="11.25" thickBot="1">
      <c r="A38" s="55"/>
    </row>
    <row r="39" spans="1:7" s="52" customFormat="1">
      <c r="A39" s="290" t="s">
        <v>0</v>
      </c>
      <c r="B39" s="291" t="s">
        <v>49</v>
      </c>
      <c r="C39" s="291" t="s">
        <v>50</v>
      </c>
      <c r="D39" s="291" t="s">
        <v>51</v>
      </c>
      <c r="E39" s="291" t="s">
        <v>105</v>
      </c>
      <c r="F39" s="305" t="s">
        <v>106</v>
      </c>
      <c r="G39" s="305" t="s">
        <v>325</v>
      </c>
    </row>
    <row r="40" spans="1:7">
      <c r="A40" s="306" t="s">
        <v>80</v>
      </c>
      <c r="B40" s="47">
        <f>+'Anexo 16 - Estrateg. Publicidad'!H10</f>
        <v>1000</v>
      </c>
      <c r="C40" s="47">
        <f>+'Anexo 16 - Estrateg. Publicidad'!I10</f>
        <v>1000</v>
      </c>
      <c r="D40" s="47">
        <f>+'Anexo 16 - Estrateg. Publicidad'!J10</f>
        <v>1000</v>
      </c>
      <c r="E40" s="47">
        <f>+'Anexo 16 - Estrateg. Publicidad'!K10</f>
        <v>1050</v>
      </c>
      <c r="F40" s="307">
        <f>+'Anexo 16 - Estrateg. Publicidad'!K10</f>
        <v>1050</v>
      </c>
      <c r="G40" s="307">
        <f>+'Anexo 16 - Estrateg. Publicidad'!L10</f>
        <v>1102.5</v>
      </c>
    </row>
    <row r="41" spans="1:7">
      <c r="A41" s="306" t="s">
        <v>81</v>
      </c>
      <c r="B41" s="79">
        <f>+'Anexo 16 - Estrateg. Publicidad'!H18</f>
        <v>7000</v>
      </c>
      <c r="C41" s="79">
        <f>+'Anexo 16 - Estrateg. Publicidad'!I18</f>
        <v>7700.0000000000009</v>
      </c>
      <c r="D41" s="79">
        <f>+'Anexo 16 - Estrateg. Publicidad'!J18</f>
        <v>8470.0000000000018</v>
      </c>
      <c r="E41" s="79">
        <f>+'Anexo 16 - Estrateg. Publicidad'!K18</f>
        <v>9317.0000000000036</v>
      </c>
      <c r="F41" s="308">
        <f>+'Anexo 16 - Estrateg. Publicidad'!K18</f>
        <v>9317.0000000000036</v>
      </c>
      <c r="G41" s="308">
        <f>+'Anexo 16 - Estrateg. Publicidad'!L18</f>
        <v>10248.700000000006</v>
      </c>
    </row>
    <row r="42" spans="1:7">
      <c r="A42" s="306"/>
      <c r="B42" s="47"/>
      <c r="C42" s="47"/>
      <c r="D42" s="47"/>
      <c r="E42" s="47"/>
      <c r="F42" s="307"/>
      <c r="G42" s="307"/>
    </row>
    <row r="43" spans="1:7" ht="11.25" thickBot="1">
      <c r="A43" s="309" t="s">
        <v>20</v>
      </c>
      <c r="B43" s="310">
        <f t="shared" ref="B43:G43" si="3">SUM(B40:B42)</f>
        <v>8000</v>
      </c>
      <c r="C43" s="310">
        <f t="shared" si="3"/>
        <v>8700</v>
      </c>
      <c r="D43" s="310">
        <f t="shared" si="3"/>
        <v>9470.0000000000018</v>
      </c>
      <c r="E43" s="310">
        <f t="shared" si="3"/>
        <v>10367.000000000004</v>
      </c>
      <c r="F43" s="311">
        <f t="shared" si="3"/>
        <v>10367.000000000004</v>
      </c>
      <c r="G43" s="311">
        <f t="shared" si="3"/>
        <v>11351.200000000006</v>
      </c>
    </row>
    <row r="45" spans="1:7" ht="18">
      <c r="A45" s="22" t="s">
        <v>71</v>
      </c>
    </row>
    <row r="46" spans="1:7" ht="11.25" thickBot="1"/>
    <row r="47" spans="1:7" s="2" customFormat="1" ht="13.5" thickBot="1">
      <c r="A47" s="85" t="s">
        <v>275</v>
      </c>
      <c r="B47" s="83"/>
      <c r="C47" s="83"/>
      <c r="D47" s="84"/>
    </row>
    <row r="48" spans="1:7" s="2" customFormat="1" ht="12.75">
      <c r="A48" s="87" t="s">
        <v>76</v>
      </c>
      <c r="B48" s="88"/>
      <c r="C48" s="88"/>
      <c r="D48" s="89"/>
    </row>
    <row r="49" spans="1:4" ht="12.75">
      <c r="A49" s="90" t="s">
        <v>65</v>
      </c>
      <c r="B49" s="9"/>
      <c r="C49" s="10"/>
      <c r="D49" s="11">
        <v>400</v>
      </c>
    </row>
    <row r="50" spans="1:4" ht="12.75">
      <c r="A50" s="90" t="s">
        <v>66</v>
      </c>
      <c r="B50" s="9"/>
      <c r="C50" s="10"/>
      <c r="D50" s="11">
        <v>15</v>
      </c>
    </row>
    <row r="51" spans="1:4" ht="12.75">
      <c r="A51" s="90" t="s">
        <v>67</v>
      </c>
      <c r="B51" s="9"/>
      <c r="C51" s="10"/>
      <c r="D51" s="11">
        <v>0</v>
      </c>
    </row>
    <row r="52" spans="1:4" ht="12.75">
      <c r="A52" s="90" t="s">
        <v>277</v>
      </c>
      <c r="B52" s="9"/>
      <c r="C52" s="10"/>
      <c r="D52" s="11">
        <v>74.599999999999994</v>
      </c>
    </row>
    <row r="53" spans="1:4" ht="12.75">
      <c r="A53" s="90" t="s">
        <v>278</v>
      </c>
      <c r="B53" s="12"/>
      <c r="C53" s="13"/>
      <c r="D53" s="14">
        <v>231</v>
      </c>
    </row>
    <row r="54" spans="1:4" ht="12.75">
      <c r="A54" s="90" t="s">
        <v>279</v>
      </c>
      <c r="B54" s="12"/>
      <c r="C54" s="13"/>
      <c r="D54" s="14">
        <v>200</v>
      </c>
    </row>
    <row r="55" spans="1:4" ht="12.75">
      <c r="A55" s="90" t="s">
        <v>270</v>
      </c>
      <c r="B55" s="12"/>
      <c r="C55" s="13"/>
      <c r="D55" s="14">
        <v>30</v>
      </c>
    </row>
    <row r="56" spans="1:4" ht="12.75">
      <c r="A56" s="90" t="s">
        <v>271</v>
      </c>
      <c r="B56" s="12"/>
      <c r="C56" s="13"/>
      <c r="D56" s="14">
        <v>30</v>
      </c>
    </row>
    <row r="57" spans="1:4" ht="12.75">
      <c r="A57" s="90" t="s">
        <v>272</v>
      </c>
      <c r="B57" s="12"/>
      <c r="C57" s="13"/>
      <c r="D57" s="14">
        <v>0</v>
      </c>
    </row>
    <row r="58" spans="1:4" ht="12.75">
      <c r="A58" s="91" t="s">
        <v>273</v>
      </c>
      <c r="B58" s="15"/>
      <c r="C58" s="16"/>
      <c r="D58" s="17">
        <v>20</v>
      </c>
    </row>
    <row r="59" spans="1:4" ht="13.5" thickBot="1">
      <c r="A59" s="90" t="s">
        <v>274</v>
      </c>
      <c r="B59" s="12"/>
      <c r="C59" s="13"/>
      <c r="D59" s="14">
        <v>1000</v>
      </c>
    </row>
    <row r="60" spans="1:4" ht="13.5" thickBot="1">
      <c r="A60" s="18" t="s">
        <v>276</v>
      </c>
      <c r="B60" s="19"/>
      <c r="C60" s="20"/>
      <c r="D60" s="21">
        <f>SUM(D49:D59)</f>
        <v>2000.6</v>
      </c>
    </row>
    <row r="61" spans="1:4" ht="12" customHeight="1"/>
    <row r="62" spans="1:4" ht="12.75">
      <c r="A62" s="87" t="s">
        <v>75</v>
      </c>
      <c r="B62" s="88"/>
      <c r="C62" s="88"/>
      <c r="D62" s="89"/>
    </row>
    <row r="63" spans="1:4" ht="12.75">
      <c r="A63" s="90" t="s">
        <v>19</v>
      </c>
      <c r="B63" s="9"/>
      <c r="C63" s="10"/>
      <c r="D63" s="11">
        <f>+'Anexo 10 - Suminis. y serv.'!D25</f>
        <v>300</v>
      </c>
    </row>
    <row r="64" spans="1:4" ht="12.75">
      <c r="A64" s="90" t="s">
        <v>32</v>
      </c>
      <c r="B64" s="9"/>
      <c r="C64" s="10"/>
      <c r="D64" s="11">
        <f>+'Anexo 10 - Suminis. y serv.'!D24</f>
        <v>360</v>
      </c>
    </row>
    <row r="65" spans="1:4" ht="12.75">
      <c r="A65" s="90" t="s">
        <v>33</v>
      </c>
      <c r="B65" s="12"/>
      <c r="C65" s="13"/>
      <c r="D65" s="11">
        <f>+'Anexo 10 - Suminis. y serv.'!D23</f>
        <v>480</v>
      </c>
    </row>
    <row r="66" spans="1:4" ht="12.75">
      <c r="A66" s="90" t="s">
        <v>41</v>
      </c>
      <c r="B66" s="12"/>
      <c r="C66" s="13"/>
      <c r="D66" s="11">
        <f>+'Anexo 10 - Suminis. y serv.'!D17</f>
        <v>495.9</v>
      </c>
    </row>
    <row r="67" spans="1:4" ht="12.75">
      <c r="A67" s="90" t="s">
        <v>34</v>
      </c>
      <c r="B67" s="12"/>
      <c r="C67" s="13"/>
      <c r="D67" s="11">
        <f>+'Anexo 10 - Suminis. y serv.'!D26</f>
        <v>420</v>
      </c>
    </row>
    <row r="68" spans="1:4" ht="12.75">
      <c r="A68" s="90" t="s">
        <v>77</v>
      </c>
      <c r="B68" s="15"/>
      <c r="C68" s="16"/>
      <c r="D68" s="11">
        <v>25</v>
      </c>
    </row>
    <row r="69" spans="1:4" ht="12.75">
      <c r="A69" s="90" t="s">
        <v>36</v>
      </c>
      <c r="B69" s="15"/>
      <c r="C69" s="16"/>
      <c r="D69" s="11">
        <v>20</v>
      </c>
    </row>
    <row r="70" spans="1:4" ht="12.75">
      <c r="A70" s="90" t="s">
        <v>37</v>
      </c>
      <c r="B70" s="15"/>
      <c r="C70" s="16"/>
      <c r="D70" s="11">
        <v>10</v>
      </c>
    </row>
    <row r="71" spans="1:4" ht="12.75">
      <c r="A71" s="90" t="s">
        <v>38</v>
      </c>
      <c r="B71" s="15"/>
      <c r="C71" s="16"/>
      <c r="D71" s="11">
        <v>80</v>
      </c>
    </row>
    <row r="72" spans="1:4" ht="13.5" thickBot="1">
      <c r="A72" s="91"/>
      <c r="B72" s="15"/>
      <c r="C72" s="16"/>
      <c r="D72" s="11"/>
    </row>
    <row r="73" spans="1:4" ht="13.5" thickBot="1">
      <c r="A73" s="18" t="s">
        <v>68</v>
      </c>
      <c r="B73" s="19"/>
      <c r="C73" s="20"/>
      <c r="D73" s="21">
        <f>SUM(D63:D72)</f>
        <v>2190.9</v>
      </c>
    </row>
  </sheetData>
  <phoneticPr fontId="0" type="noConversion"/>
  <printOptions horizontalCentered="1" verticalCentered="1"/>
  <pageMargins left="0.27559055118110237" right="0.23622047244094491" top="0.31496062992125984" bottom="0.98425196850393704" header="0" footer="0"/>
  <pageSetup paperSize="9"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8">
    <tabColor theme="8" tint="0.39997558519241921"/>
  </sheetPr>
  <dimension ref="A1:S52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3" sqref="D33"/>
    </sheetView>
  </sheetViews>
  <sheetFormatPr baseColWidth="10" defaultRowHeight="10.5"/>
  <cols>
    <col min="1" max="1" width="36.7109375" style="1" customWidth="1"/>
    <col min="2" max="2" width="11.7109375" style="60" customWidth="1"/>
    <col min="3" max="3" width="12.140625" style="60" customWidth="1"/>
    <col min="4" max="4" width="13.140625" style="60" customWidth="1"/>
    <col min="5" max="5" width="11.7109375" style="60" customWidth="1"/>
    <col min="6" max="6" width="12.42578125" style="60" customWidth="1"/>
    <col min="7" max="7" width="12.85546875" style="60" customWidth="1"/>
    <col min="8" max="9" width="10.140625" style="60" customWidth="1"/>
    <col min="10" max="11" width="11.28515625" style="60" customWidth="1"/>
    <col min="12" max="12" width="11.7109375" style="60" customWidth="1"/>
    <col min="13" max="13" width="11.28515625" style="60" customWidth="1"/>
    <col min="14" max="14" width="12.7109375" style="60" customWidth="1"/>
    <col min="15" max="15" width="11.140625" style="60" customWidth="1"/>
    <col min="16" max="16" width="11.28515625" style="60" bestFit="1" customWidth="1"/>
    <col min="17" max="17" width="11.7109375" style="60" customWidth="1"/>
    <col min="18" max="19" width="11.5703125" style="1" bestFit="1" customWidth="1"/>
    <col min="20" max="16384" width="11.42578125" style="1"/>
  </cols>
  <sheetData>
    <row r="1" spans="1:19" ht="18">
      <c r="A1" s="22" t="s">
        <v>187</v>
      </c>
      <c r="B1" s="22"/>
      <c r="C1" s="22"/>
      <c r="D1" s="22"/>
    </row>
    <row r="2" spans="1:19" ht="11.25" thickBot="1"/>
    <row r="3" spans="1:19" s="52" customFormat="1" ht="11.25" thickBot="1">
      <c r="A3" s="372" t="s">
        <v>0</v>
      </c>
      <c r="B3" s="367" t="s">
        <v>222</v>
      </c>
      <c r="C3" s="368" t="s">
        <v>223</v>
      </c>
      <c r="D3" s="368" t="s">
        <v>83</v>
      </c>
      <c r="E3" s="368" t="s">
        <v>101</v>
      </c>
      <c r="F3" s="368" t="s">
        <v>102</v>
      </c>
      <c r="G3" s="369" t="s">
        <v>320</v>
      </c>
    </row>
    <row r="4" spans="1:19">
      <c r="A4" s="373" t="s">
        <v>47</v>
      </c>
      <c r="B4" s="370">
        <f t="shared" ref="B4:G4" si="0">+B19+B26+B27+B28</f>
        <v>13200</v>
      </c>
      <c r="C4" s="370">
        <f t="shared" si="0"/>
        <v>13860</v>
      </c>
      <c r="D4" s="370">
        <f t="shared" si="0"/>
        <v>14376.6</v>
      </c>
      <c r="E4" s="370">
        <f t="shared" si="0"/>
        <v>15280.65</v>
      </c>
      <c r="F4" s="370">
        <f t="shared" si="0"/>
        <v>16044.682500000001</v>
      </c>
      <c r="G4" s="383">
        <f t="shared" si="0"/>
        <v>16846.916625000002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>
      <c r="A5" s="374" t="s">
        <v>23</v>
      </c>
      <c r="B5" s="371">
        <v>0</v>
      </c>
      <c r="C5" s="371">
        <v>1</v>
      </c>
      <c r="D5" s="371">
        <v>2</v>
      </c>
      <c r="E5" s="371">
        <v>3</v>
      </c>
      <c r="F5" s="371">
        <v>4</v>
      </c>
      <c r="G5" s="384">
        <v>5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375" t="s">
        <v>24</v>
      </c>
      <c r="B6" s="371">
        <f t="shared" ref="B6:G6" si="1">+B4*11.15%</f>
        <v>1471.8</v>
      </c>
      <c r="C6" s="371">
        <f t="shared" si="1"/>
        <v>1545.39</v>
      </c>
      <c r="D6" s="371">
        <f t="shared" si="1"/>
        <v>1602.9909</v>
      </c>
      <c r="E6" s="371">
        <f t="shared" si="1"/>
        <v>1703.792475</v>
      </c>
      <c r="F6" s="371">
        <f t="shared" si="1"/>
        <v>1788.9820987500002</v>
      </c>
      <c r="G6" s="384">
        <f t="shared" si="1"/>
        <v>1878.4312036875003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9">
      <c r="A7" s="375" t="s">
        <v>25</v>
      </c>
      <c r="B7" s="371">
        <f t="shared" ref="B7:G7" si="2">+B4/24</f>
        <v>550</v>
      </c>
      <c r="C7" s="371">
        <f t="shared" si="2"/>
        <v>577.5</v>
      </c>
      <c r="D7" s="371">
        <f t="shared" si="2"/>
        <v>599.02499999999998</v>
      </c>
      <c r="E7" s="371">
        <f t="shared" si="2"/>
        <v>636.69375000000002</v>
      </c>
      <c r="F7" s="371">
        <f t="shared" si="2"/>
        <v>668.5284375</v>
      </c>
      <c r="G7" s="384">
        <f t="shared" si="2"/>
        <v>701.95485937500007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9">
      <c r="A8" s="375" t="s">
        <v>26</v>
      </c>
      <c r="B8" s="371">
        <v>0</v>
      </c>
      <c r="C8" s="127">
        <f>+C4/12</f>
        <v>1155</v>
      </c>
      <c r="D8" s="127">
        <f>+D4/12</f>
        <v>1198.05</v>
      </c>
      <c r="E8" s="127">
        <f>+E4/12</f>
        <v>1273.3875</v>
      </c>
      <c r="F8" s="127">
        <f>+F4/12</f>
        <v>1337.056875</v>
      </c>
      <c r="G8" s="385">
        <f>+G4/12</f>
        <v>1403.9097187500001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>
      <c r="A9" s="376" t="s">
        <v>27</v>
      </c>
      <c r="B9" s="371">
        <f t="shared" ref="B9:G9" si="3">+B4/12</f>
        <v>1100</v>
      </c>
      <c r="C9" s="371">
        <f t="shared" si="3"/>
        <v>1155</v>
      </c>
      <c r="D9" s="371">
        <f t="shared" si="3"/>
        <v>1198.05</v>
      </c>
      <c r="E9" s="371">
        <f t="shared" si="3"/>
        <v>1273.3875</v>
      </c>
      <c r="F9" s="371">
        <f t="shared" si="3"/>
        <v>1337.056875</v>
      </c>
      <c r="G9" s="384">
        <f t="shared" si="3"/>
        <v>1403.9097187500001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9" ht="11.25" thickBot="1">
      <c r="A10" s="377" t="s">
        <v>28</v>
      </c>
      <c r="B10" s="386">
        <f>+B12*4</f>
        <v>960</v>
      </c>
      <c r="C10" s="387">
        <f>+B10*1.05</f>
        <v>1008</v>
      </c>
      <c r="D10" s="387">
        <f>+C10*1.05</f>
        <v>1058.4000000000001</v>
      </c>
      <c r="E10" s="387">
        <f>+D10*1.05</f>
        <v>1111.3200000000002</v>
      </c>
      <c r="F10" s="387">
        <f>+E10*1.05</f>
        <v>1166.8860000000002</v>
      </c>
      <c r="G10" s="388">
        <f>+F10*1.05</f>
        <v>1225.2303000000002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9" ht="11.25" thickBot="1">
      <c r="A11" s="378" t="s">
        <v>48</v>
      </c>
      <c r="B11" s="379">
        <f t="shared" ref="B11:G11" si="4">SUM(B4:B10)</f>
        <v>17281.8</v>
      </c>
      <c r="C11" s="380">
        <f t="shared" si="4"/>
        <v>19301.89</v>
      </c>
      <c r="D11" s="380">
        <f t="shared" si="4"/>
        <v>20035.115900000001</v>
      </c>
      <c r="E11" s="381">
        <f t="shared" si="4"/>
        <v>21282.231225</v>
      </c>
      <c r="F11" s="382">
        <f t="shared" si="4"/>
        <v>22347.192786249998</v>
      </c>
      <c r="G11" s="382">
        <f t="shared" si="4"/>
        <v>23465.352425562505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9">
      <c r="A12" s="1" t="s">
        <v>189</v>
      </c>
      <c r="B12" s="60">
        <v>240</v>
      </c>
      <c r="R12" s="60"/>
      <c r="S12" s="60"/>
    </row>
    <row r="15" spans="1:19">
      <c r="A15" s="667" t="s">
        <v>42</v>
      </c>
      <c r="B15" s="667"/>
      <c r="C15" s="667"/>
      <c r="D15" s="667"/>
      <c r="E15" s="667"/>
      <c r="F15" s="668"/>
    </row>
    <row r="16" spans="1:19" ht="11.25" thickBot="1">
      <c r="B16" s="63"/>
      <c r="C16" s="63"/>
      <c r="D16" s="63"/>
      <c r="E16" s="63"/>
      <c r="F16" s="63"/>
      <c r="L16" s="86"/>
      <c r="M16" s="86"/>
      <c r="N16" s="86"/>
      <c r="O16" s="86"/>
    </row>
    <row r="17" spans="1:17" ht="10.5" customHeight="1" thickBot="1">
      <c r="A17" s="365"/>
      <c r="B17" s="669" t="s">
        <v>72</v>
      </c>
      <c r="C17" s="670"/>
      <c r="D17" s="670"/>
      <c r="E17" s="670"/>
      <c r="F17" s="670"/>
      <c r="G17" s="671"/>
      <c r="H17" s="100"/>
      <c r="L17" s="1"/>
      <c r="M17" s="1"/>
      <c r="N17" s="1"/>
      <c r="O17" s="1"/>
      <c r="P17" s="1"/>
      <c r="Q17" s="1"/>
    </row>
    <row r="18" spans="1:17" ht="30.75" customHeight="1" thickBot="1">
      <c r="A18" s="366" t="s">
        <v>43</v>
      </c>
      <c r="B18" s="361" t="s">
        <v>222</v>
      </c>
      <c r="C18" s="361" t="s">
        <v>223</v>
      </c>
      <c r="D18" s="362" t="s">
        <v>83</v>
      </c>
      <c r="E18" s="363" t="s">
        <v>101</v>
      </c>
      <c r="F18" s="361" t="s">
        <v>102</v>
      </c>
      <c r="G18" s="364" t="s">
        <v>320</v>
      </c>
      <c r="H18" s="63"/>
      <c r="K18" s="1"/>
      <c r="L18" s="1"/>
      <c r="M18" s="1"/>
      <c r="N18" s="1"/>
      <c r="O18" s="1"/>
      <c r="P18" s="1"/>
      <c r="Q18" s="1"/>
    </row>
    <row r="19" spans="1:17" ht="11.25">
      <c r="A19" s="213" t="s">
        <v>107</v>
      </c>
      <c r="B19" s="335">
        <f>(+'Anexo 3 - Mano de Obra'!B15)*12</f>
        <v>3360</v>
      </c>
      <c r="C19" s="335">
        <f>+'Anexo 3 - Mano de Obra'!G15</f>
        <v>3528</v>
      </c>
      <c r="D19" s="332">
        <f>+'Anexo 3 - Mano de Obra'!G15</f>
        <v>3528</v>
      </c>
      <c r="E19" s="339">
        <f>+'Anexo 3 - Mano de Obra'!I15</f>
        <v>3889.6200000000003</v>
      </c>
      <c r="F19" s="345">
        <f>+'Anexo 3 - Mano de Obra'!J15</f>
        <v>4084.1010000000006</v>
      </c>
      <c r="G19" s="342">
        <f>+'Anexo 3 - Mano de Obra'!K15</f>
        <v>4288.3060500000011</v>
      </c>
      <c r="H19" s="63"/>
      <c r="K19" s="1"/>
      <c r="L19" s="1"/>
      <c r="M19" s="1"/>
      <c r="N19" s="1"/>
      <c r="O19" s="1"/>
      <c r="P19" s="1"/>
      <c r="Q19" s="1"/>
    </row>
    <row r="20" spans="1:17">
      <c r="A20" s="330"/>
      <c r="B20" s="338"/>
      <c r="C20" s="336"/>
      <c r="D20" s="333"/>
      <c r="E20" s="340"/>
      <c r="F20" s="338"/>
      <c r="G20" s="343"/>
      <c r="H20" s="63"/>
      <c r="K20" s="1"/>
      <c r="L20" s="1"/>
      <c r="M20" s="1"/>
      <c r="N20" s="1"/>
      <c r="O20" s="1"/>
      <c r="P20" s="1"/>
      <c r="Q20" s="1"/>
    </row>
    <row r="21" spans="1:17" s="61" customFormat="1" ht="11.25" thickBot="1">
      <c r="A21" s="331" t="s">
        <v>64</v>
      </c>
      <c r="B21" s="337">
        <f t="shared" ref="B21:G21" si="5">SUM(B19:B20)</f>
        <v>3360</v>
      </c>
      <c r="C21" s="337">
        <f t="shared" si="5"/>
        <v>3528</v>
      </c>
      <c r="D21" s="334">
        <f t="shared" si="5"/>
        <v>3528</v>
      </c>
      <c r="E21" s="341">
        <f t="shared" si="5"/>
        <v>3889.6200000000003</v>
      </c>
      <c r="F21" s="337">
        <f t="shared" si="5"/>
        <v>4084.1010000000006</v>
      </c>
      <c r="G21" s="344">
        <f t="shared" si="5"/>
        <v>4288.3060500000011</v>
      </c>
      <c r="H21" s="101"/>
    </row>
    <row r="22" spans="1:17" s="204" customFormat="1">
      <c r="A22" s="200"/>
      <c r="B22" s="201"/>
      <c r="C22" s="201"/>
      <c r="D22" s="201"/>
      <c r="E22" s="201"/>
      <c r="F22" s="201"/>
      <c r="G22" s="202"/>
      <c r="H22" s="202"/>
      <c r="I22" s="202"/>
      <c r="J22" s="202"/>
      <c r="K22" s="202"/>
      <c r="L22" s="202"/>
      <c r="M22" s="202"/>
      <c r="N22" s="202"/>
      <c r="O22" s="203"/>
    </row>
    <row r="23" spans="1:17" ht="11.25" thickBot="1">
      <c r="A23" s="158"/>
      <c r="B23" s="62"/>
      <c r="C23" s="62"/>
      <c r="D23" s="62"/>
      <c r="L23" s="1"/>
      <c r="M23" s="1"/>
      <c r="N23" s="1"/>
      <c r="O23" s="6"/>
    </row>
    <row r="24" spans="1:17" ht="12.75" customHeight="1" thickBot="1">
      <c r="A24" s="355"/>
      <c r="B24" s="672" t="s">
        <v>72</v>
      </c>
      <c r="C24" s="673"/>
      <c r="D24" s="673"/>
      <c r="E24" s="673"/>
      <c r="F24" s="673"/>
      <c r="G24" s="674"/>
      <c r="H24" s="100"/>
      <c r="K24" s="1"/>
      <c r="L24" s="1"/>
      <c r="M24" s="1"/>
      <c r="N24" s="1"/>
      <c r="O24" s="1"/>
      <c r="P24" s="1"/>
      <c r="Q24" s="1"/>
    </row>
    <row r="25" spans="1:17" ht="11.25" thickBot="1">
      <c r="A25" s="360" t="s">
        <v>44</v>
      </c>
      <c r="B25" s="361" t="s">
        <v>222</v>
      </c>
      <c r="C25" s="361" t="s">
        <v>223</v>
      </c>
      <c r="D25" s="362" t="s">
        <v>83</v>
      </c>
      <c r="E25" s="363" t="s">
        <v>101</v>
      </c>
      <c r="F25" s="361" t="s">
        <v>102</v>
      </c>
      <c r="G25" s="364" t="s">
        <v>320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1.25">
      <c r="A26" s="359" t="s">
        <v>176</v>
      </c>
      <c r="B26" s="335">
        <f>+'Anexo 3 - Mano de Obra'!F18</f>
        <v>2640</v>
      </c>
      <c r="C26" s="335">
        <f>+'Anexo 3 - Mano de Obra'!G18</f>
        <v>2772</v>
      </c>
      <c r="D26" s="335">
        <f>+'Anexo 3 - Mano de Obra'!H18</f>
        <v>2910.6</v>
      </c>
      <c r="E26" s="335">
        <f>+'Anexo 3 - Mano de Obra'!I18</f>
        <v>3056.13</v>
      </c>
      <c r="F26" s="335">
        <f>+'Anexo 3 - Mano de Obra'!J18</f>
        <v>3208.9365000000003</v>
      </c>
      <c r="G26" s="335">
        <f>+'Anexo 3 - Mano de Obra'!K18</f>
        <v>3369.3833250000002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25">
      <c r="A27" s="356" t="s">
        <v>129</v>
      </c>
      <c r="B27" s="335">
        <f>+'Anexo 3 - Mano de Obra'!F19</f>
        <v>2400</v>
      </c>
      <c r="C27" s="335">
        <f>+'Anexo 3 - Mano de Obra'!G19</f>
        <v>2520</v>
      </c>
      <c r="D27" s="335">
        <f>+'Anexo 3 - Mano de Obra'!H19</f>
        <v>2646</v>
      </c>
      <c r="E27" s="335">
        <f>+'Anexo 3 - Mano de Obra'!I19</f>
        <v>2778.3</v>
      </c>
      <c r="F27" s="335">
        <f>+'Anexo 3 - Mano de Obra'!J19</f>
        <v>2917.2150000000001</v>
      </c>
      <c r="G27" s="335">
        <f>+'Anexo 3 - Mano de Obra'!K19</f>
        <v>3063.0757500000004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357" t="s">
        <v>188</v>
      </c>
      <c r="B28" s="335">
        <f>+'Anexo 3 - Mano de Obra'!F6</f>
        <v>4800</v>
      </c>
      <c r="C28" s="335">
        <f>+'Anexo 3 - Mano de Obra'!G6</f>
        <v>5040</v>
      </c>
      <c r="D28" s="335">
        <f>+'Anexo 3 - Mano de Obra'!H6</f>
        <v>5292</v>
      </c>
      <c r="E28" s="335">
        <f>+'Anexo 3 - Mano de Obra'!I6</f>
        <v>5556.6</v>
      </c>
      <c r="F28" s="335">
        <f>+'Anexo 3 - Mano de Obra'!J6</f>
        <v>5834.43</v>
      </c>
      <c r="G28" s="335">
        <f>+'Anexo 3 - Mano de Obra'!K6</f>
        <v>6126.1515000000009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1.25" thickBot="1">
      <c r="A29" s="358"/>
      <c r="B29" s="346"/>
      <c r="C29" s="346"/>
      <c r="D29" s="347"/>
      <c r="E29" s="348"/>
      <c r="F29" s="349"/>
      <c r="G29" s="350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61" customFormat="1" ht="11.25" thickBot="1">
      <c r="A30" s="352" t="s">
        <v>64</v>
      </c>
      <c r="B30" s="351">
        <f t="shared" ref="B30:G30" si="6">SUM(B26:B29)</f>
        <v>9840</v>
      </c>
      <c r="C30" s="353">
        <f t="shared" si="6"/>
        <v>10332</v>
      </c>
      <c r="D30" s="351">
        <f t="shared" si="6"/>
        <v>10848.6</v>
      </c>
      <c r="E30" s="353">
        <f t="shared" si="6"/>
        <v>11391.03</v>
      </c>
      <c r="F30" s="351">
        <f t="shared" si="6"/>
        <v>11960.5815</v>
      </c>
      <c r="G30" s="354">
        <f t="shared" si="6"/>
        <v>12558.610575000002</v>
      </c>
    </row>
    <row r="31" spans="1:17">
      <c r="A31" s="8"/>
      <c r="G31" s="98"/>
      <c r="H31" s="98"/>
      <c r="I31" s="98"/>
      <c r="J31" s="98"/>
      <c r="K31" s="99"/>
      <c r="L31" s="99"/>
      <c r="M31" s="99"/>
      <c r="N31" s="99"/>
      <c r="O31" s="99"/>
    </row>
    <row r="32" spans="1:17">
      <c r="F32" s="99"/>
      <c r="G32" s="99"/>
      <c r="H32" s="99"/>
      <c r="K32" s="1"/>
      <c r="L32" s="1"/>
      <c r="M32" s="1"/>
      <c r="N32" s="1"/>
      <c r="O32" s="1"/>
      <c r="P32" s="1"/>
      <c r="Q32" s="1"/>
    </row>
    <row r="33" spans="1:17">
      <c r="A33" s="61"/>
      <c r="F33" s="99"/>
      <c r="G33" s="99"/>
      <c r="H33" s="99"/>
      <c r="K33" s="1"/>
      <c r="L33" s="1"/>
      <c r="M33" s="1"/>
      <c r="N33" s="1"/>
      <c r="O33" s="1"/>
      <c r="P33" s="1"/>
      <c r="Q33" s="1"/>
    </row>
    <row r="34" spans="1:17">
      <c r="F34" s="86"/>
      <c r="G34" s="86"/>
      <c r="H34" s="86"/>
      <c r="K34" s="1"/>
      <c r="L34" s="1"/>
      <c r="M34" s="1"/>
      <c r="N34" s="1"/>
      <c r="O34" s="1"/>
      <c r="P34" s="1"/>
      <c r="Q34" s="1"/>
    </row>
    <row r="35" spans="1:17">
      <c r="F35" s="86"/>
      <c r="G35" s="86"/>
      <c r="H35" s="86"/>
      <c r="K35" s="1"/>
      <c r="L35" s="1"/>
      <c r="M35" s="1"/>
      <c r="N35" s="1"/>
      <c r="O35" s="1"/>
      <c r="P35" s="1"/>
      <c r="Q35" s="1"/>
    </row>
    <row r="36" spans="1:17">
      <c r="F36" s="86"/>
      <c r="G36" s="86"/>
      <c r="H36" s="86"/>
      <c r="K36" s="1"/>
      <c r="L36" s="1"/>
      <c r="M36" s="1"/>
      <c r="N36" s="1"/>
      <c r="O36" s="1"/>
      <c r="P36" s="1"/>
      <c r="Q36" s="1"/>
    </row>
    <row r="37" spans="1:17">
      <c r="F37" s="86"/>
      <c r="G37" s="86"/>
      <c r="H37" s="86"/>
      <c r="K37" s="1"/>
      <c r="L37" s="1"/>
      <c r="M37" s="1"/>
      <c r="N37" s="1"/>
      <c r="O37" s="1"/>
      <c r="P37" s="1"/>
      <c r="Q37" s="1"/>
    </row>
    <row r="38" spans="1:17">
      <c r="K38" s="1"/>
      <c r="L38" s="1"/>
      <c r="M38" s="1"/>
      <c r="N38" s="1"/>
      <c r="O38" s="1"/>
      <c r="P38" s="1"/>
      <c r="Q38" s="1"/>
    </row>
    <row r="39" spans="1:17">
      <c r="K39" s="1"/>
      <c r="L39" s="1"/>
      <c r="M39" s="1"/>
      <c r="N39" s="1"/>
      <c r="O39" s="1"/>
      <c r="P39" s="1"/>
      <c r="Q39" s="1"/>
    </row>
    <row r="40" spans="1:17">
      <c r="K40" s="1"/>
      <c r="L40" s="1"/>
      <c r="M40" s="1"/>
      <c r="N40" s="1"/>
      <c r="O40" s="1"/>
      <c r="P40" s="1"/>
      <c r="Q40" s="1"/>
    </row>
    <row r="41" spans="1:17">
      <c r="K41" s="1"/>
      <c r="L41" s="1"/>
      <c r="M41" s="1"/>
      <c r="N41" s="1"/>
      <c r="O41" s="1"/>
      <c r="P41" s="1"/>
      <c r="Q41" s="1"/>
    </row>
    <row r="42" spans="1:17">
      <c r="K42" s="1"/>
      <c r="L42" s="1"/>
      <c r="M42" s="1"/>
      <c r="N42" s="1"/>
      <c r="O42" s="1"/>
      <c r="P42" s="1"/>
      <c r="Q42" s="1"/>
    </row>
    <row r="43" spans="1:17">
      <c r="K43" s="1"/>
      <c r="L43" s="1"/>
      <c r="M43" s="1"/>
      <c r="N43" s="1"/>
      <c r="O43" s="1"/>
      <c r="P43" s="1"/>
      <c r="Q43" s="1"/>
    </row>
    <row r="44" spans="1:17">
      <c r="K44" s="1"/>
      <c r="L44" s="1"/>
      <c r="M44" s="1"/>
      <c r="N44" s="1"/>
      <c r="O44" s="1"/>
      <c r="P44" s="1"/>
      <c r="Q44" s="1"/>
    </row>
    <row r="45" spans="1:17">
      <c r="K45" s="1"/>
      <c r="L45" s="1"/>
      <c r="M45" s="1"/>
      <c r="N45" s="1"/>
      <c r="O45" s="1"/>
      <c r="P45" s="1"/>
      <c r="Q45" s="1"/>
    </row>
    <row r="46" spans="1:17">
      <c r="K46" s="1"/>
      <c r="L46" s="1"/>
      <c r="M46" s="1"/>
      <c r="N46" s="1"/>
      <c r="O46" s="1"/>
      <c r="P46" s="1"/>
      <c r="Q46" s="1"/>
    </row>
    <row r="47" spans="1:17">
      <c r="K47" s="1"/>
      <c r="L47" s="1"/>
      <c r="M47" s="1"/>
      <c r="N47" s="1"/>
      <c r="O47" s="1"/>
      <c r="P47" s="1"/>
      <c r="Q47" s="1"/>
    </row>
    <row r="48" spans="1:17">
      <c r="K48" s="1"/>
      <c r="L48" s="1"/>
      <c r="M48" s="1"/>
      <c r="N48" s="1"/>
      <c r="O48" s="1"/>
      <c r="P48" s="1"/>
      <c r="Q48" s="1"/>
    </row>
    <row r="49" spans="11:17">
      <c r="K49" s="1"/>
      <c r="L49" s="1"/>
      <c r="M49" s="1"/>
      <c r="N49" s="1"/>
      <c r="O49" s="1"/>
      <c r="P49" s="1"/>
      <c r="Q49" s="1"/>
    </row>
    <row r="50" spans="11:17">
      <c r="K50" s="1"/>
      <c r="L50" s="1"/>
      <c r="M50" s="1"/>
      <c r="N50" s="1"/>
      <c r="O50" s="1"/>
      <c r="P50" s="1"/>
      <c r="Q50" s="1"/>
    </row>
    <row r="51" spans="11:17">
      <c r="K51" s="1"/>
      <c r="L51" s="1"/>
      <c r="M51" s="1"/>
      <c r="N51" s="1"/>
      <c r="O51" s="1"/>
      <c r="P51" s="1"/>
      <c r="Q51" s="1"/>
    </row>
    <row r="52" spans="11:17">
      <c r="K52" s="1"/>
      <c r="L52" s="1"/>
      <c r="M52" s="1"/>
      <c r="N52" s="1"/>
      <c r="O52" s="1"/>
      <c r="P52" s="1"/>
      <c r="Q52" s="1"/>
    </row>
  </sheetData>
  <mergeCells count="3">
    <mergeCell ref="A15:F15"/>
    <mergeCell ref="B17:G17"/>
    <mergeCell ref="B24:G24"/>
  </mergeCells>
  <phoneticPr fontId="0" type="noConversion"/>
  <printOptions horizontalCentered="1" verticalCentered="1"/>
  <pageMargins left="0.23622047244094491" right="0.19685039370078741" top="0.23622047244094491" bottom="0.6692913385826772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G29"/>
  <sheetViews>
    <sheetView showGridLines="0" workbookViewId="0">
      <selection activeCell="B17" sqref="B17"/>
    </sheetView>
  </sheetViews>
  <sheetFormatPr baseColWidth="10" defaultRowHeight="11.25"/>
  <cols>
    <col min="1" max="1" width="30.85546875" style="2" customWidth="1"/>
    <col min="2" max="2" width="17.7109375" style="2" customWidth="1"/>
    <col min="3" max="3" width="15.5703125" style="2" customWidth="1"/>
    <col min="4" max="5" width="15.140625" style="2" customWidth="1"/>
    <col min="6" max="6" width="16.85546875" style="2" customWidth="1"/>
    <col min="7" max="7" width="14.140625" style="2" customWidth="1"/>
    <col min="8" max="16384" width="11.42578125" style="2"/>
  </cols>
  <sheetData>
    <row r="1" spans="1:7" s="3" customFormat="1" ht="26.25" customHeight="1">
      <c r="A1" s="590" t="s">
        <v>160</v>
      </c>
      <c r="B1" s="590"/>
      <c r="C1" s="590"/>
      <c r="D1" s="590"/>
      <c r="E1" s="590"/>
      <c r="F1" s="590"/>
    </row>
    <row r="2" spans="1:7" s="3" customFormat="1" ht="18.75" customHeight="1" thickBot="1">
      <c r="A2" s="591"/>
      <c r="B2" s="591"/>
      <c r="C2" s="591"/>
      <c r="D2" s="591"/>
      <c r="E2" s="591"/>
      <c r="F2" s="591"/>
    </row>
    <row r="3" spans="1:7" ht="20.100000000000001" customHeight="1" thickBot="1">
      <c r="A3" s="525" t="s">
        <v>145</v>
      </c>
      <c r="B3" s="526" t="s">
        <v>332</v>
      </c>
      <c r="C3" s="527" t="s">
        <v>50</v>
      </c>
      <c r="D3" s="527" t="s">
        <v>51</v>
      </c>
      <c r="E3" s="527" t="s">
        <v>105</v>
      </c>
      <c r="F3" s="527" t="s">
        <v>106</v>
      </c>
      <c r="G3" s="528" t="s">
        <v>325</v>
      </c>
    </row>
    <row r="4" spans="1:7" ht="20.100000000000001" customHeight="1">
      <c r="A4" s="532" t="s">
        <v>146</v>
      </c>
      <c r="B4" s="533">
        <v>1</v>
      </c>
      <c r="C4" s="533">
        <v>1</v>
      </c>
      <c r="D4" s="534">
        <v>1</v>
      </c>
      <c r="E4" s="534">
        <v>1</v>
      </c>
      <c r="F4" s="534">
        <v>1</v>
      </c>
      <c r="G4" s="535">
        <v>1</v>
      </c>
    </row>
    <row r="5" spans="1:7" ht="20.100000000000001" customHeight="1">
      <c r="A5" s="168" t="s">
        <v>147</v>
      </c>
      <c r="B5" s="185">
        <v>70</v>
      </c>
      <c r="C5" s="186">
        <v>0</v>
      </c>
      <c r="D5" s="186">
        <f>+B5*1.5</f>
        <v>105</v>
      </c>
      <c r="E5" s="186">
        <v>0</v>
      </c>
      <c r="F5" s="186">
        <f>+D5*1.5</f>
        <v>157.5</v>
      </c>
      <c r="G5" s="187">
        <v>0</v>
      </c>
    </row>
    <row r="6" spans="1:7" ht="20.100000000000001" customHeight="1">
      <c r="A6" s="168" t="s">
        <v>148</v>
      </c>
      <c r="B6" s="185">
        <v>26</v>
      </c>
      <c r="C6" s="186">
        <v>0</v>
      </c>
      <c r="D6" s="186">
        <f>+B6*1.5</f>
        <v>39</v>
      </c>
      <c r="E6" s="186">
        <v>0</v>
      </c>
      <c r="F6" s="186">
        <f>+D6*1.5</f>
        <v>58.5</v>
      </c>
      <c r="G6" s="187">
        <v>0</v>
      </c>
    </row>
    <row r="7" spans="1:7" ht="20.100000000000001" customHeight="1">
      <c r="A7" s="168" t="s">
        <v>149</v>
      </c>
      <c r="B7" s="185">
        <v>17</v>
      </c>
      <c r="C7" s="186">
        <v>0</v>
      </c>
      <c r="D7" s="186">
        <f>+B7*1.5</f>
        <v>25.5</v>
      </c>
      <c r="E7" s="186">
        <v>0</v>
      </c>
      <c r="F7" s="186">
        <f>+D7*1.5</f>
        <v>38.25</v>
      </c>
      <c r="G7" s="187">
        <v>0</v>
      </c>
    </row>
    <row r="8" spans="1:7" ht="20.100000000000001" customHeight="1">
      <c r="A8" s="168" t="s">
        <v>150</v>
      </c>
      <c r="B8" s="185">
        <v>10</v>
      </c>
      <c r="C8" s="186">
        <f t="shared" ref="C8:G12" si="0">+B8*1.2</f>
        <v>12</v>
      </c>
      <c r="D8" s="186">
        <f t="shared" si="0"/>
        <v>14.399999999999999</v>
      </c>
      <c r="E8" s="186">
        <f t="shared" si="0"/>
        <v>17.279999999999998</v>
      </c>
      <c r="F8" s="186">
        <f t="shared" si="0"/>
        <v>20.735999999999997</v>
      </c>
      <c r="G8" s="187">
        <f t="shared" si="0"/>
        <v>24.883199999999995</v>
      </c>
    </row>
    <row r="9" spans="1:7" ht="20.100000000000001" customHeight="1">
      <c r="A9" s="168" t="s">
        <v>151</v>
      </c>
      <c r="B9" s="185">
        <v>24</v>
      </c>
      <c r="C9" s="186">
        <f t="shared" si="0"/>
        <v>28.799999999999997</v>
      </c>
      <c r="D9" s="186">
        <f t="shared" si="0"/>
        <v>34.559999999999995</v>
      </c>
      <c r="E9" s="186">
        <f t="shared" si="0"/>
        <v>41.471999999999994</v>
      </c>
      <c r="F9" s="186">
        <f t="shared" si="0"/>
        <v>49.76639999999999</v>
      </c>
      <c r="G9" s="187">
        <f t="shared" si="0"/>
        <v>59.719679999999983</v>
      </c>
    </row>
    <row r="10" spans="1:7" ht="20.100000000000001" customHeight="1">
      <c r="A10" s="168" t="s">
        <v>152</v>
      </c>
      <c r="B10" s="185">
        <v>30</v>
      </c>
      <c r="C10" s="186">
        <f t="shared" si="0"/>
        <v>36</v>
      </c>
      <c r="D10" s="186">
        <f t="shared" si="0"/>
        <v>43.199999999999996</v>
      </c>
      <c r="E10" s="186">
        <f t="shared" si="0"/>
        <v>51.839999999999996</v>
      </c>
      <c r="F10" s="186">
        <f t="shared" si="0"/>
        <v>62.207999999999991</v>
      </c>
      <c r="G10" s="187">
        <f t="shared" si="0"/>
        <v>74.649599999999992</v>
      </c>
    </row>
    <row r="11" spans="1:7" ht="20.100000000000001" customHeight="1">
      <c r="A11" s="168" t="s">
        <v>153</v>
      </c>
      <c r="B11" s="185">
        <v>70</v>
      </c>
      <c r="C11" s="186">
        <f t="shared" si="0"/>
        <v>84</v>
      </c>
      <c r="D11" s="186">
        <f t="shared" si="0"/>
        <v>100.8</v>
      </c>
      <c r="E11" s="186">
        <f t="shared" si="0"/>
        <v>120.96</v>
      </c>
      <c r="F11" s="186">
        <f t="shared" si="0"/>
        <v>145.15199999999999</v>
      </c>
      <c r="G11" s="187">
        <f t="shared" si="0"/>
        <v>174.18239999999997</v>
      </c>
    </row>
    <row r="12" spans="1:7" ht="20.100000000000001" customHeight="1">
      <c r="A12" s="168" t="s">
        <v>154</v>
      </c>
      <c r="B12" s="185">
        <v>40</v>
      </c>
      <c r="C12" s="186">
        <f t="shared" si="0"/>
        <v>48</v>
      </c>
      <c r="D12" s="186">
        <f t="shared" si="0"/>
        <v>57.599999999999994</v>
      </c>
      <c r="E12" s="186">
        <f t="shared" si="0"/>
        <v>69.11999999999999</v>
      </c>
      <c r="F12" s="186">
        <f t="shared" si="0"/>
        <v>82.943999999999988</v>
      </c>
      <c r="G12" s="187">
        <f t="shared" si="0"/>
        <v>99.53279999999998</v>
      </c>
    </row>
    <row r="13" spans="1:7" ht="20.100000000000001" customHeight="1">
      <c r="A13" s="175" t="s">
        <v>155</v>
      </c>
      <c r="B13" s="188">
        <v>0</v>
      </c>
      <c r="C13" s="189">
        <v>170</v>
      </c>
      <c r="D13" s="189">
        <f>+C13*1.2</f>
        <v>204</v>
      </c>
      <c r="E13" s="189">
        <f>+D13*1.2</f>
        <v>244.79999999999998</v>
      </c>
      <c r="F13" s="189">
        <f>+E13*1.2</f>
        <v>293.76</v>
      </c>
      <c r="G13" s="536">
        <f>+F13*1.2</f>
        <v>352.512</v>
      </c>
    </row>
    <row r="14" spans="1:7" ht="20.100000000000001" customHeight="1">
      <c r="A14" s="168" t="s">
        <v>156</v>
      </c>
      <c r="B14" s="185">
        <v>0</v>
      </c>
      <c r="C14" s="186">
        <v>50</v>
      </c>
      <c r="D14" s="189">
        <f t="shared" ref="D14:G16" si="1">+C14*1.2</f>
        <v>60</v>
      </c>
      <c r="E14" s="189">
        <f t="shared" si="1"/>
        <v>72</v>
      </c>
      <c r="F14" s="189">
        <f t="shared" si="1"/>
        <v>86.399999999999991</v>
      </c>
      <c r="G14" s="536">
        <f t="shared" si="1"/>
        <v>103.67999999999999</v>
      </c>
    </row>
    <row r="15" spans="1:7" ht="20.100000000000001" customHeight="1">
      <c r="A15" s="168" t="s">
        <v>157</v>
      </c>
      <c r="B15" s="185">
        <v>0</v>
      </c>
      <c r="C15" s="186">
        <v>130</v>
      </c>
      <c r="D15" s="189">
        <f t="shared" si="1"/>
        <v>156</v>
      </c>
      <c r="E15" s="189">
        <f t="shared" si="1"/>
        <v>187.2</v>
      </c>
      <c r="F15" s="189">
        <f t="shared" si="1"/>
        <v>224.64</v>
      </c>
      <c r="G15" s="536">
        <f t="shared" si="1"/>
        <v>269.56799999999998</v>
      </c>
    </row>
    <row r="16" spans="1:7" ht="20.100000000000001" customHeight="1" thickBot="1">
      <c r="A16" s="191" t="s">
        <v>158</v>
      </c>
      <c r="B16" s="537">
        <f>SUM(B4:B15)</f>
        <v>288</v>
      </c>
      <c r="C16" s="538">
        <f>SUM(C4:C15)</f>
        <v>559.79999999999995</v>
      </c>
      <c r="D16" s="538">
        <f t="shared" si="1"/>
        <v>671.75999999999988</v>
      </c>
      <c r="E16" s="538">
        <f t="shared" si="1"/>
        <v>806.11199999999985</v>
      </c>
      <c r="F16" s="538">
        <f t="shared" si="1"/>
        <v>967.33439999999973</v>
      </c>
      <c r="G16" s="539">
        <f t="shared" si="1"/>
        <v>1160.8012799999997</v>
      </c>
    </row>
    <row r="17" spans="1:7" ht="20.100000000000001" customHeight="1" thickBot="1">
      <c r="A17" s="529" t="s">
        <v>159</v>
      </c>
      <c r="B17" s="530">
        <f>+B16*C22</f>
        <v>259.2</v>
      </c>
      <c r="C17" s="530">
        <f>+C16*C23</f>
        <v>554.202</v>
      </c>
      <c r="D17" s="530">
        <f>+D16*C24</f>
        <v>731.5466399999998</v>
      </c>
      <c r="E17" s="530">
        <f>+E16*C25</f>
        <v>965.64156479999974</v>
      </c>
      <c r="F17" s="530">
        <f>+C26*F16</f>
        <v>1274.6468655359997</v>
      </c>
      <c r="G17" s="531">
        <f>+C27*G16</f>
        <v>1682.5338625075196</v>
      </c>
    </row>
    <row r="18" spans="1:7" ht="12.75">
      <c r="A18"/>
      <c r="B18"/>
      <c r="C18"/>
      <c r="D18"/>
      <c r="E18"/>
      <c r="F18"/>
    </row>
    <row r="19" spans="1:7" ht="12.75">
      <c r="A19"/>
      <c r="B19"/>
      <c r="C19"/>
      <c r="D19"/>
      <c r="E19"/>
      <c r="F19"/>
    </row>
    <row r="20" spans="1:7" ht="15.75" thickBot="1">
      <c r="A20"/>
      <c r="B20" s="592" t="s">
        <v>164</v>
      </c>
      <c r="C20" s="592"/>
      <c r="D20"/>
      <c r="E20"/>
      <c r="F20"/>
    </row>
    <row r="21" spans="1:7" ht="13.5" thickBot="1">
      <c r="B21" s="181" t="s">
        <v>162</v>
      </c>
      <c r="C21" s="182" t="s">
        <v>161</v>
      </c>
      <c r="D21"/>
    </row>
    <row r="22" spans="1:7" ht="12.75">
      <c r="B22" s="180">
        <v>1</v>
      </c>
      <c r="C22" s="193">
        <v>0.9</v>
      </c>
      <c r="D22"/>
      <c r="E22"/>
      <c r="F22"/>
    </row>
    <row r="23" spans="1:7" ht="12.75">
      <c r="A23"/>
      <c r="B23" s="168">
        <v>2</v>
      </c>
      <c r="C23" s="190">
        <f>+(C22*$C$29)+C22</f>
        <v>0.99</v>
      </c>
      <c r="D23"/>
      <c r="F23"/>
    </row>
    <row r="24" spans="1:7">
      <c r="B24" s="168">
        <v>3</v>
      </c>
      <c r="C24" s="190">
        <f>+(C23*$C$29)+C23</f>
        <v>1.089</v>
      </c>
    </row>
    <row r="25" spans="1:7">
      <c r="B25" s="168">
        <v>4</v>
      </c>
      <c r="C25" s="190">
        <f>+(C24*$C$29)+C24</f>
        <v>1.1979</v>
      </c>
    </row>
    <row r="26" spans="1:7">
      <c r="B26" s="168">
        <v>5</v>
      </c>
      <c r="C26" s="190">
        <f>+(C25*$C$29)+C25</f>
        <v>1.31769</v>
      </c>
    </row>
    <row r="27" spans="1:7" ht="12" thickBot="1">
      <c r="B27" s="191">
        <v>6</v>
      </c>
      <c r="C27" s="192">
        <f>+(C26*$C$29)+C26</f>
        <v>1.4494590000000001</v>
      </c>
    </row>
    <row r="28" spans="1:7" ht="12" thickBot="1"/>
    <row r="29" spans="1:7" ht="12" thickBot="1">
      <c r="B29" s="194" t="s">
        <v>163</v>
      </c>
      <c r="C29" s="199">
        <v>0.1</v>
      </c>
    </row>
  </sheetData>
  <mergeCells count="2">
    <mergeCell ref="A1:F2"/>
    <mergeCell ref="B20:C20"/>
  </mergeCells>
  <printOptions horizontalCentered="1" verticalCentered="1"/>
  <pageMargins left="0.51181102362204722" right="0.19685039370078741" top="0.43307086614173229" bottom="0.6692913385826772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K37"/>
  <sheetViews>
    <sheetView showGridLines="0" workbookViewId="0">
      <selection activeCell="F32" sqref="F32"/>
    </sheetView>
  </sheetViews>
  <sheetFormatPr baseColWidth="10" defaultRowHeight="11.25"/>
  <cols>
    <col min="1" max="1" width="29.5703125" style="2" customWidth="1"/>
    <col min="2" max="2" width="15" style="2" customWidth="1"/>
    <col min="3" max="3" width="11.42578125" style="2"/>
    <col min="4" max="4" width="9.5703125" style="2" customWidth="1"/>
    <col min="5" max="5" width="7.42578125" style="2" customWidth="1"/>
    <col min="6" max="7" width="14.7109375" style="2" customWidth="1"/>
    <col min="8" max="9" width="13.28515625" style="2" customWidth="1"/>
    <col min="10" max="10" width="13.42578125" style="2" customWidth="1"/>
    <col min="11" max="11" width="13" style="2" customWidth="1"/>
    <col min="12" max="16384" width="11.42578125" style="2"/>
  </cols>
  <sheetData>
    <row r="1" spans="1:11" ht="18" customHeight="1">
      <c r="A1" s="590" t="s">
        <v>166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11" ht="13.5" customHeight="1" thickBot="1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</row>
    <row r="3" spans="1:11" s="198" customFormat="1">
      <c r="A3" s="197" t="s">
        <v>0</v>
      </c>
      <c r="B3" s="195" t="s">
        <v>1</v>
      </c>
      <c r="C3" s="195" t="s">
        <v>2</v>
      </c>
      <c r="D3" s="196" t="s">
        <v>182</v>
      </c>
      <c r="E3" s="196"/>
      <c r="F3" s="196" t="s">
        <v>326</v>
      </c>
      <c r="G3" s="196" t="s">
        <v>327</v>
      </c>
      <c r="H3" s="196" t="s">
        <v>328</v>
      </c>
      <c r="I3" s="196" t="s">
        <v>329</v>
      </c>
      <c r="J3" s="196" t="s">
        <v>330</v>
      </c>
      <c r="K3" s="196" t="s">
        <v>331</v>
      </c>
    </row>
    <row r="4" spans="1:11" ht="12.75">
      <c r="A4" s="599" t="s">
        <v>168</v>
      </c>
      <c r="B4" s="600"/>
      <c r="C4" s="600"/>
      <c r="D4" s="600"/>
      <c r="E4" s="600"/>
      <c r="F4" s="601"/>
    </row>
    <row r="5" spans="1:11">
      <c r="A5" s="282" t="s">
        <v>319</v>
      </c>
      <c r="B5" s="283">
        <v>900</v>
      </c>
      <c r="C5" s="283">
        <v>1</v>
      </c>
      <c r="D5" s="283">
        <v>1</v>
      </c>
      <c r="E5" s="283" t="s">
        <v>183</v>
      </c>
      <c r="F5" s="283">
        <f>+D5*C5*B5</f>
        <v>900</v>
      </c>
      <c r="G5" s="283">
        <f>+F5*1.05</f>
        <v>945</v>
      </c>
      <c r="H5" s="283">
        <f>+G5*1.05</f>
        <v>992.25</v>
      </c>
      <c r="I5" s="283">
        <f>+H5*1.05</f>
        <v>1041.8625</v>
      </c>
      <c r="J5" s="283">
        <f>+I5*1.05</f>
        <v>1093.9556250000001</v>
      </c>
      <c r="K5" s="283">
        <f>+J5*1.05</f>
        <v>1148.6534062500002</v>
      </c>
    </row>
    <row r="6" spans="1:11">
      <c r="A6" s="282" t="s">
        <v>131</v>
      </c>
      <c r="B6" s="283">
        <v>400</v>
      </c>
      <c r="C6" s="283">
        <v>1</v>
      </c>
      <c r="D6" s="283">
        <v>12</v>
      </c>
      <c r="E6" s="283" t="s">
        <v>181</v>
      </c>
      <c r="F6" s="283">
        <f>+D6*C6*B6</f>
        <v>4800</v>
      </c>
      <c r="G6" s="283">
        <f t="shared" ref="G6:K10" si="0">+F6*1.05</f>
        <v>5040</v>
      </c>
      <c r="H6" s="283">
        <f t="shared" si="0"/>
        <v>5292</v>
      </c>
      <c r="I6" s="283">
        <f t="shared" si="0"/>
        <v>5556.6</v>
      </c>
      <c r="J6" s="283">
        <f t="shared" si="0"/>
        <v>5834.43</v>
      </c>
      <c r="K6" s="283">
        <f t="shared" si="0"/>
        <v>6126.1515000000009</v>
      </c>
    </row>
    <row r="7" spans="1:11">
      <c r="A7" s="282" t="s">
        <v>132</v>
      </c>
      <c r="B7" s="283">
        <f>+'Anexo 2 - Horas jornaleros'!C22</f>
        <v>0.9</v>
      </c>
      <c r="C7" s="283">
        <v>8</v>
      </c>
      <c r="D7" s="283">
        <f>+'Anexo 2 - Horas jornaleros'!B16/C7</f>
        <v>36</v>
      </c>
      <c r="E7" s="283" t="s">
        <v>184</v>
      </c>
      <c r="F7" s="283">
        <f>+D7*C7*B7</f>
        <v>259.2</v>
      </c>
      <c r="G7" s="283">
        <f t="shared" si="0"/>
        <v>272.16000000000003</v>
      </c>
      <c r="H7" s="283">
        <f t="shared" si="0"/>
        <v>285.76800000000003</v>
      </c>
      <c r="I7" s="283">
        <f t="shared" si="0"/>
        <v>300.05640000000005</v>
      </c>
      <c r="J7" s="283">
        <f t="shared" si="0"/>
        <v>315.0592200000001</v>
      </c>
      <c r="K7" s="283">
        <f t="shared" si="0"/>
        <v>330.81218100000012</v>
      </c>
    </row>
    <row r="8" spans="1:11" s="162" customFormat="1">
      <c r="A8" s="284" t="s">
        <v>130</v>
      </c>
      <c r="B8" s="283">
        <v>250</v>
      </c>
      <c r="C8" s="283">
        <v>1</v>
      </c>
      <c r="D8" s="283">
        <v>12</v>
      </c>
      <c r="E8" s="283" t="s">
        <v>181</v>
      </c>
      <c r="F8" s="283">
        <v>0</v>
      </c>
      <c r="G8" s="283">
        <f>+D8*C8*B8</f>
        <v>3000</v>
      </c>
      <c r="H8" s="283">
        <f t="shared" si="0"/>
        <v>3150</v>
      </c>
      <c r="I8" s="283">
        <f t="shared" si="0"/>
        <v>3307.5</v>
      </c>
      <c r="J8" s="283">
        <f t="shared" si="0"/>
        <v>3472.875</v>
      </c>
      <c r="K8" s="283">
        <f t="shared" si="0"/>
        <v>3646.5187500000002</v>
      </c>
    </row>
    <row r="9" spans="1:11">
      <c r="A9" s="285" t="s">
        <v>186</v>
      </c>
      <c r="B9" s="283">
        <v>250</v>
      </c>
      <c r="C9" s="283">
        <v>1</v>
      </c>
      <c r="D9" s="283">
        <v>12</v>
      </c>
      <c r="E9" s="283" t="s">
        <v>181</v>
      </c>
      <c r="F9" s="283">
        <f>+D9*C9*B9</f>
        <v>3000</v>
      </c>
      <c r="G9" s="283">
        <f t="shared" si="0"/>
        <v>3150</v>
      </c>
      <c r="H9" s="283">
        <f t="shared" si="0"/>
        <v>3307.5</v>
      </c>
      <c r="I9" s="283">
        <f t="shared" si="0"/>
        <v>3472.875</v>
      </c>
      <c r="J9" s="283">
        <f t="shared" si="0"/>
        <v>3646.5187500000002</v>
      </c>
      <c r="K9" s="283">
        <f t="shared" si="0"/>
        <v>3828.8446875000004</v>
      </c>
    </row>
    <row r="10" spans="1:11">
      <c r="A10" s="285" t="s">
        <v>185</v>
      </c>
      <c r="B10" s="283">
        <v>400</v>
      </c>
      <c r="C10" s="283">
        <v>1</v>
      </c>
      <c r="D10" s="283">
        <v>12</v>
      </c>
      <c r="E10" s="283" t="s">
        <v>181</v>
      </c>
      <c r="F10" s="283">
        <f>+D10*C10*200</f>
        <v>2400</v>
      </c>
      <c r="G10" s="283">
        <f>+D10*C10*B10</f>
        <v>4800</v>
      </c>
      <c r="H10" s="283">
        <f t="shared" si="0"/>
        <v>5040</v>
      </c>
      <c r="I10" s="283">
        <f t="shared" si="0"/>
        <v>5292</v>
      </c>
      <c r="J10" s="283">
        <f t="shared" si="0"/>
        <v>5556.6</v>
      </c>
      <c r="K10" s="283">
        <f t="shared" si="0"/>
        <v>5834.43</v>
      </c>
    </row>
    <row r="11" spans="1:11">
      <c r="A11" s="285"/>
      <c r="B11" s="283"/>
      <c r="C11" s="283"/>
      <c r="D11" s="283"/>
      <c r="E11" s="283"/>
      <c r="F11" s="283"/>
      <c r="G11" s="283"/>
      <c r="H11" s="283"/>
      <c r="I11" s="283"/>
      <c r="J11" s="283"/>
      <c r="K11" s="283"/>
    </row>
    <row r="12" spans="1:11">
      <c r="A12" s="286" t="s">
        <v>167</v>
      </c>
      <c r="B12" s="287"/>
      <c r="C12" s="287"/>
      <c r="D12" s="287"/>
      <c r="E12" s="287"/>
      <c r="F12" s="287">
        <f t="shared" ref="F12:K12" si="1">SUM(F5:F11)</f>
        <v>11359.2</v>
      </c>
      <c r="G12" s="287">
        <f t="shared" si="1"/>
        <v>17207.16</v>
      </c>
      <c r="H12" s="287">
        <f t="shared" si="1"/>
        <v>18067.518</v>
      </c>
      <c r="I12" s="287">
        <f t="shared" si="1"/>
        <v>18970.893900000003</v>
      </c>
      <c r="J12" s="287">
        <f t="shared" si="1"/>
        <v>19919.438595</v>
      </c>
      <c r="K12" s="287">
        <f t="shared" si="1"/>
        <v>20915.410524750005</v>
      </c>
    </row>
    <row r="13" spans="1:11">
      <c r="A13" s="285"/>
      <c r="B13" s="283"/>
      <c r="C13" s="283"/>
      <c r="D13" s="283"/>
      <c r="E13" s="283"/>
      <c r="F13" s="283"/>
      <c r="G13" s="283"/>
      <c r="H13" s="283"/>
      <c r="I13" s="283"/>
      <c r="J13" s="283"/>
      <c r="K13" s="283"/>
    </row>
    <row r="14" spans="1:11" ht="12.75">
      <c r="A14" s="593" t="s">
        <v>169</v>
      </c>
      <c r="B14" s="594"/>
      <c r="C14" s="594"/>
      <c r="D14" s="594"/>
      <c r="E14" s="594"/>
      <c r="F14" s="595"/>
    </row>
    <row r="15" spans="1:11">
      <c r="A15" s="282" t="s">
        <v>107</v>
      </c>
      <c r="B15" s="283">
        <v>280</v>
      </c>
      <c r="C15" s="283">
        <v>1</v>
      </c>
      <c r="D15" s="283">
        <v>12</v>
      </c>
      <c r="E15" s="283" t="s">
        <v>181</v>
      </c>
      <c r="F15" s="283">
        <f>B15*C15*D15</f>
        <v>3360</v>
      </c>
      <c r="G15" s="283">
        <f t="shared" ref="G15:K19" si="2">+F15*1.05</f>
        <v>3528</v>
      </c>
      <c r="H15" s="283">
        <f t="shared" si="2"/>
        <v>3704.4</v>
      </c>
      <c r="I15" s="283">
        <f t="shared" si="2"/>
        <v>3889.6200000000003</v>
      </c>
      <c r="J15" s="283">
        <f t="shared" si="2"/>
        <v>4084.1010000000006</v>
      </c>
      <c r="K15" s="283">
        <f t="shared" si="2"/>
        <v>4288.3060500000011</v>
      </c>
    </row>
    <row r="16" spans="1:11">
      <c r="A16" s="282" t="s">
        <v>108</v>
      </c>
      <c r="B16" s="283">
        <v>350</v>
      </c>
      <c r="C16" s="283">
        <v>1</v>
      </c>
      <c r="D16" s="283">
        <v>1</v>
      </c>
      <c r="E16" s="283" t="s">
        <v>183</v>
      </c>
      <c r="F16" s="283">
        <f>B16*C16*D16</f>
        <v>350</v>
      </c>
      <c r="G16" s="283">
        <f t="shared" si="2"/>
        <v>367.5</v>
      </c>
      <c r="H16" s="283">
        <f t="shared" si="2"/>
        <v>385.875</v>
      </c>
      <c r="I16" s="283">
        <f t="shared" si="2"/>
        <v>405.16875000000005</v>
      </c>
      <c r="J16" s="283">
        <f t="shared" si="2"/>
        <v>425.42718750000006</v>
      </c>
      <c r="K16" s="283">
        <f t="shared" si="2"/>
        <v>446.69854687500009</v>
      </c>
    </row>
    <row r="17" spans="1:11">
      <c r="A17" s="282" t="s">
        <v>128</v>
      </c>
      <c r="B17" s="283">
        <v>450</v>
      </c>
      <c r="C17" s="283">
        <v>1</v>
      </c>
      <c r="D17" s="283">
        <v>1</v>
      </c>
      <c r="E17" s="283" t="s">
        <v>183</v>
      </c>
      <c r="F17" s="283">
        <f>B17*C17*D17</f>
        <v>450</v>
      </c>
      <c r="G17" s="283">
        <f t="shared" si="2"/>
        <v>472.5</v>
      </c>
      <c r="H17" s="283">
        <f t="shared" si="2"/>
        <v>496.125</v>
      </c>
      <c r="I17" s="283">
        <f t="shared" si="2"/>
        <v>520.93124999999998</v>
      </c>
      <c r="J17" s="283">
        <f t="shared" si="2"/>
        <v>546.97781250000003</v>
      </c>
      <c r="K17" s="283">
        <f t="shared" si="2"/>
        <v>574.32670312500011</v>
      </c>
    </row>
    <row r="18" spans="1:11">
      <c r="A18" s="282" t="s">
        <v>176</v>
      </c>
      <c r="B18" s="283">
        <v>220</v>
      </c>
      <c r="C18" s="283">
        <v>1</v>
      </c>
      <c r="D18" s="283">
        <v>12</v>
      </c>
      <c r="E18" s="283" t="s">
        <v>181</v>
      </c>
      <c r="F18" s="283">
        <f>B18*C18*D18</f>
        <v>2640</v>
      </c>
      <c r="G18" s="283">
        <f t="shared" si="2"/>
        <v>2772</v>
      </c>
      <c r="H18" s="283">
        <f t="shared" si="2"/>
        <v>2910.6</v>
      </c>
      <c r="I18" s="283">
        <f t="shared" si="2"/>
        <v>3056.13</v>
      </c>
      <c r="J18" s="283">
        <f t="shared" si="2"/>
        <v>3208.9365000000003</v>
      </c>
      <c r="K18" s="283">
        <f t="shared" si="2"/>
        <v>3369.3833250000002</v>
      </c>
    </row>
    <row r="19" spans="1:11">
      <c r="A19" s="282" t="s">
        <v>129</v>
      </c>
      <c r="B19" s="283">
        <v>200</v>
      </c>
      <c r="C19" s="283">
        <v>1</v>
      </c>
      <c r="D19" s="283">
        <v>12</v>
      </c>
      <c r="E19" s="283" t="s">
        <v>181</v>
      </c>
      <c r="F19" s="283">
        <f>B19*C19*D19</f>
        <v>2400</v>
      </c>
      <c r="G19" s="283">
        <f t="shared" si="2"/>
        <v>2520</v>
      </c>
      <c r="H19" s="283">
        <f t="shared" si="2"/>
        <v>2646</v>
      </c>
      <c r="I19" s="283">
        <f t="shared" si="2"/>
        <v>2778.3</v>
      </c>
      <c r="J19" s="283">
        <f t="shared" si="2"/>
        <v>2917.2150000000001</v>
      </c>
      <c r="K19" s="283">
        <f t="shared" si="2"/>
        <v>3063.0757500000004</v>
      </c>
    </row>
    <row r="20" spans="1:11">
      <c r="A20" s="282"/>
      <c r="B20" s="283"/>
      <c r="C20" s="283"/>
      <c r="D20" s="283"/>
      <c r="E20" s="283"/>
      <c r="F20" s="283"/>
      <c r="G20" s="283"/>
      <c r="H20" s="283"/>
      <c r="I20" s="283"/>
      <c r="J20" s="283"/>
      <c r="K20" s="283"/>
    </row>
    <row r="21" spans="1:11">
      <c r="A21" s="286" t="s">
        <v>170</v>
      </c>
      <c r="B21" s="287"/>
      <c r="C21" s="287"/>
      <c r="D21" s="287"/>
      <c r="E21" s="287"/>
      <c r="F21" s="287">
        <f t="shared" ref="F21:K21" si="3">SUM(F15:F16)</f>
        <v>3710</v>
      </c>
      <c r="G21" s="287">
        <f t="shared" si="3"/>
        <v>3895.5</v>
      </c>
      <c r="H21" s="287">
        <f t="shared" si="3"/>
        <v>4090.2750000000001</v>
      </c>
      <c r="I21" s="287">
        <f t="shared" si="3"/>
        <v>4294.7887500000006</v>
      </c>
      <c r="J21" s="287">
        <f t="shared" si="3"/>
        <v>4509.528187500001</v>
      </c>
      <c r="K21" s="287">
        <f t="shared" si="3"/>
        <v>4735.004596875001</v>
      </c>
    </row>
    <row r="22" spans="1:11">
      <c r="A22" s="285"/>
      <c r="B22" s="28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2.75">
      <c r="A23" s="593" t="s">
        <v>171</v>
      </c>
      <c r="B23" s="594"/>
      <c r="C23" s="594"/>
      <c r="D23" s="594"/>
      <c r="E23" s="594"/>
      <c r="F23" s="595"/>
    </row>
    <row r="24" spans="1:11">
      <c r="A24" s="285" t="s">
        <v>165</v>
      </c>
      <c r="B24" s="283">
        <v>500</v>
      </c>
      <c r="C24" s="283">
        <v>1</v>
      </c>
      <c r="D24" s="283">
        <v>12</v>
      </c>
      <c r="E24" s="283" t="s">
        <v>181</v>
      </c>
      <c r="F24" s="283">
        <f>B24*C24*D24</f>
        <v>6000</v>
      </c>
      <c r="G24" s="283">
        <f t="shared" ref="G24:K26" si="4">+F24*1.05</f>
        <v>6300</v>
      </c>
      <c r="H24" s="283">
        <f t="shared" si="4"/>
        <v>6615</v>
      </c>
      <c r="I24" s="283">
        <f t="shared" si="4"/>
        <v>6945.75</v>
      </c>
      <c r="J24" s="283">
        <f t="shared" si="4"/>
        <v>7293.0375000000004</v>
      </c>
      <c r="K24" s="283">
        <f t="shared" si="4"/>
        <v>7657.6893750000008</v>
      </c>
    </row>
    <row r="25" spans="1:11">
      <c r="A25" s="285" t="s">
        <v>179</v>
      </c>
      <c r="B25" s="283">
        <v>500</v>
      </c>
      <c r="C25" s="283">
        <v>1</v>
      </c>
      <c r="D25" s="283">
        <v>12</v>
      </c>
      <c r="E25" s="283" t="s">
        <v>181</v>
      </c>
      <c r="F25" s="283">
        <f>B25*C25*D25</f>
        <v>6000</v>
      </c>
      <c r="G25" s="283">
        <f t="shared" si="4"/>
        <v>6300</v>
      </c>
      <c r="H25" s="283">
        <f t="shared" si="4"/>
        <v>6615</v>
      </c>
      <c r="I25" s="283">
        <f t="shared" si="4"/>
        <v>6945.75</v>
      </c>
      <c r="J25" s="283">
        <f t="shared" si="4"/>
        <v>7293.0375000000004</v>
      </c>
      <c r="K25" s="283">
        <f t="shared" si="4"/>
        <v>7657.6893750000008</v>
      </c>
    </row>
    <row r="26" spans="1:11">
      <c r="A26" s="285" t="s">
        <v>180</v>
      </c>
      <c r="B26" s="283">
        <v>500</v>
      </c>
      <c r="C26" s="283">
        <v>1</v>
      </c>
      <c r="D26" s="283">
        <v>12</v>
      </c>
      <c r="E26" s="283" t="s">
        <v>181</v>
      </c>
      <c r="F26" s="283">
        <f>B26*C26*D26</f>
        <v>6000</v>
      </c>
      <c r="G26" s="283">
        <f t="shared" si="4"/>
        <v>6300</v>
      </c>
      <c r="H26" s="283">
        <f t="shared" si="4"/>
        <v>6615</v>
      </c>
      <c r="I26" s="283">
        <f t="shared" si="4"/>
        <v>6945.75</v>
      </c>
      <c r="J26" s="283">
        <f t="shared" si="4"/>
        <v>7293.0375000000004</v>
      </c>
      <c r="K26" s="283">
        <f t="shared" si="4"/>
        <v>7657.6893750000008</v>
      </c>
    </row>
    <row r="27" spans="1:11">
      <c r="A27" s="285"/>
      <c r="B27" s="283"/>
      <c r="C27" s="283"/>
      <c r="D27" s="283"/>
      <c r="E27" s="283"/>
      <c r="F27" s="283"/>
      <c r="G27" s="283"/>
      <c r="H27" s="283"/>
      <c r="I27" s="283"/>
      <c r="J27" s="283"/>
      <c r="K27" s="283"/>
    </row>
    <row r="28" spans="1:11">
      <c r="A28" s="286" t="s">
        <v>172</v>
      </c>
      <c r="B28" s="287"/>
      <c r="C28" s="287"/>
      <c r="D28" s="287"/>
      <c r="E28" s="287"/>
      <c r="F28" s="287">
        <f t="shared" ref="F28:K28" si="5">SUM(F24:F27)</f>
        <v>18000</v>
      </c>
      <c r="G28" s="287">
        <f t="shared" si="5"/>
        <v>18900</v>
      </c>
      <c r="H28" s="287">
        <f t="shared" si="5"/>
        <v>19845</v>
      </c>
      <c r="I28" s="287">
        <f t="shared" si="5"/>
        <v>20837.25</v>
      </c>
      <c r="J28" s="287">
        <f t="shared" si="5"/>
        <v>21879.112500000003</v>
      </c>
      <c r="K28" s="287">
        <f t="shared" si="5"/>
        <v>22973.068125000002</v>
      </c>
    </row>
    <row r="29" spans="1:11">
      <c r="A29" s="285"/>
      <c r="B29" s="28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ht="12.75">
      <c r="A30" s="593" t="s">
        <v>173</v>
      </c>
      <c r="B30" s="594"/>
      <c r="C30" s="594"/>
      <c r="D30" s="594"/>
      <c r="E30" s="594"/>
      <c r="F30" s="595"/>
    </row>
    <row r="31" spans="1:11" s="162" customFormat="1">
      <c r="A31" s="284" t="s">
        <v>177</v>
      </c>
      <c r="B31" s="283">
        <v>240</v>
      </c>
      <c r="C31" s="283">
        <v>1</v>
      </c>
      <c r="D31" s="283">
        <v>12</v>
      </c>
      <c r="E31" s="283" t="s">
        <v>181</v>
      </c>
      <c r="F31" s="283">
        <f>+(B31*C31*4)</f>
        <v>960</v>
      </c>
      <c r="G31" s="283">
        <f>+D31*B31*C31</f>
        <v>2880</v>
      </c>
      <c r="H31" s="283">
        <f t="shared" ref="H31:K32" si="6">+G31*1.05</f>
        <v>3024</v>
      </c>
      <c r="I31" s="283">
        <f t="shared" si="6"/>
        <v>3175.2000000000003</v>
      </c>
      <c r="J31" s="283">
        <f t="shared" si="6"/>
        <v>3333.9600000000005</v>
      </c>
      <c r="K31" s="283">
        <f t="shared" si="6"/>
        <v>3500.6580000000008</v>
      </c>
    </row>
    <row r="32" spans="1:11">
      <c r="A32" s="284" t="s">
        <v>178</v>
      </c>
      <c r="B32" s="283">
        <v>240</v>
      </c>
      <c r="C32" s="283">
        <v>1</v>
      </c>
      <c r="D32" s="283">
        <v>12</v>
      </c>
      <c r="E32" s="283" t="s">
        <v>181</v>
      </c>
      <c r="F32" s="283">
        <f>+(B32*C32*4)</f>
        <v>960</v>
      </c>
      <c r="G32" s="283">
        <f>+D32*B32*C32</f>
        <v>2880</v>
      </c>
      <c r="H32" s="283">
        <f t="shared" si="6"/>
        <v>3024</v>
      </c>
      <c r="I32" s="283">
        <f t="shared" si="6"/>
        <v>3175.2000000000003</v>
      </c>
      <c r="J32" s="283">
        <f t="shared" si="6"/>
        <v>3333.9600000000005</v>
      </c>
      <c r="K32" s="283">
        <f t="shared" si="6"/>
        <v>3500.6580000000008</v>
      </c>
    </row>
    <row r="33" spans="1:11">
      <c r="A33" s="284"/>
      <c r="B33" s="283"/>
      <c r="C33" s="283"/>
      <c r="D33" s="283"/>
      <c r="E33" s="283"/>
      <c r="F33" s="283"/>
      <c r="G33" s="283"/>
      <c r="H33" s="283"/>
      <c r="I33" s="283"/>
      <c r="J33" s="283"/>
      <c r="K33" s="283"/>
    </row>
    <row r="34" spans="1:11">
      <c r="A34" s="286" t="s">
        <v>174</v>
      </c>
      <c r="B34" s="287"/>
      <c r="C34" s="287"/>
      <c r="D34" s="287"/>
      <c r="E34" s="287"/>
      <c r="F34" s="287">
        <f t="shared" ref="F34:K34" si="7">SUM(F31:F33)</f>
        <v>1920</v>
      </c>
      <c r="G34" s="287">
        <f t="shared" si="7"/>
        <v>5760</v>
      </c>
      <c r="H34" s="287">
        <f t="shared" si="7"/>
        <v>6048</v>
      </c>
      <c r="I34" s="287">
        <f t="shared" si="7"/>
        <v>6350.4000000000005</v>
      </c>
      <c r="J34" s="287">
        <f t="shared" si="7"/>
        <v>6667.920000000001</v>
      </c>
      <c r="K34" s="287">
        <f t="shared" si="7"/>
        <v>7001.3160000000016</v>
      </c>
    </row>
    <row r="35" spans="1:11">
      <c r="A35" s="289"/>
      <c r="B35" s="285"/>
      <c r="C35" s="285"/>
      <c r="D35" s="283"/>
      <c r="E35" s="283"/>
      <c r="F35" s="282"/>
      <c r="G35" s="282"/>
      <c r="H35" s="282"/>
      <c r="I35" s="282"/>
      <c r="J35" s="282"/>
      <c r="K35" s="282"/>
    </row>
    <row r="36" spans="1:11" ht="13.5" thickBot="1">
      <c r="A36" s="596" t="s">
        <v>175</v>
      </c>
      <c r="B36" s="597"/>
      <c r="C36" s="597"/>
      <c r="D36" s="597"/>
      <c r="E36" s="598"/>
      <c r="F36" s="288">
        <f t="shared" ref="F36:K36" si="8">+F12+F21+F28+F34</f>
        <v>34989.199999999997</v>
      </c>
      <c r="G36" s="288">
        <f t="shared" si="8"/>
        <v>45762.66</v>
      </c>
      <c r="H36" s="288">
        <f t="shared" si="8"/>
        <v>48050.793000000005</v>
      </c>
      <c r="I36" s="288">
        <f t="shared" si="8"/>
        <v>50453.332650000004</v>
      </c>
      <c r="J36" s="288">
        <f t="shared" si="8"/>
        <v>52975.999282500001</v>
      </c>
      <c r="K36" s="288">
        <f t="shared" si="8"/>
        <v>55624.799246625007</v>
      </c>
    </row>
    <row r="37" spans="1:11">
      <c r="A37" s="24"/>
      <c r="B37" s="5"/>
      <c r="C37" s="5"/>
      <c r="D37" s="25"/>
      <c r="E37" s="25"/>
      <c r="F37" s="25"/>
      <c r="G37" s="25"/>
    </row>
  </sheetData>
  <mergeCells count="6">
    <mergeCell ref="A30:F30"/>
    <mergeCell ref="A36:E36"/>
    <mergeCell ref="A4:F4"/>
    <mergeCell ref="A14:F14"/>
    <mergeCell ref="A23:F23"/>
    <mergeCell ref="A1:K2"/>
  </mergeCells>
  <printOptions horizontalCentered="1" verticalCentered="1"/>
  <pageMargins left="0.51181102362204722" right="0.19685039370078741" top="0.43307086614173229" bottom="0.6692913385826772" header="0" footer="0"/>
  <pageSetup paperSize="9" scale="85" orientation="landscape" r:id="rId1"/>
  <headerFooter alignWithMargins="0"/>
  <ignoredErrors>
    <ignoredError sqref="G8:G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P2"/>
  <sheetViews>
    <sheetView workbookViewId="0"/>
  </sheetViews>
  <sheetFormatPr baseColWidth="10" defaultRowHeight="12.75"/>
  <sheetData>
    <row r="2" spans="16:16">
      <c r="P2" t="e">
        <f ca="1">CB.RecalcCounterFN()</f>
        <v>#NAME?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2:N8"/>
  <sheetViews>
    <sheetView topLeftCell="C1" workbookViewId="0">
      <selection activeCell="B31" sqref="B31"/>
    </sheetView>
  </sheetViews>
  <sheetFormatPr baseColWidth="10" defaultRowHeight="12.75"/>
  <cols>
    <col min="2" max="2" width="21.42578125" customWidth="1"/>
  </cols>
  <sheetData>
    <row r="2" spans="2:14" ht="12.75" customHeight="1">
      <c r="B2" s="602" t="s">
        <v>387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</row>
    <row r="3" spans="2:14" ht="13.5" customHeight="1" thickBot="1"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</row>
    <row r="4" spans="2:14" ht="13.5" thickBot="1">
      <c r="B4" s="464" t="s">
        <v>0</v>
      </c>
      <c r="C4" s="461" t="s">
        <v>388</v>
      </c>
      <c r="D4" s="461" t="s">
        <v>389</v>
      </c>
      <c r="E4" s="469" t="s">
        <v>390</v>
      </c>
      <c r="F4" s="461" t="s">
        <v>391</v>
      </c>
      <c r="G4" s="469" t="s">
        <v>392</v>
      </c>
      <c r="H4" s="461" t="s">
        <v>393</v>
      </c>
      <c r="I4" s="469" t="s">
        <v>394</v>
      </c>
      <c r="J4" s="461" t="s">
        <v>395</v>
      </c>
      <c r="K4" s="469" t="s">
        <v>396</v>
      </c>
      <c r="L4" s="461" t="s">
        <v>397</v>
      </c>
      <c r="M4" s="461" t="s">
        <v>398</v>
      </c>
      <c r="N4" s="472" t="s">
        <v>418</v>
      </c>
    </row>
    <row r="5" spans="2:14">
      <c r="B5" s="465" t="s">
        <v>342</v>
      </c>
      <c r="C5" s="462">
        <v>0</v>
      </c>
      <c r="D5" s="462">
        <v>0</v>
      </c>
      <c r="E5" s="470">
        <v>0</v>
      </c>
      <c r="F5" s="462">
        <v>0</v>
      </c>
      <c r="G5" s="470">
        <v>0</v>
      </c>
      <c r="H5" s="462">
        <v>0</v>
      </c>
      <c r="I5" s="470">
        <v>0</v>
      </c>
      <c r="J5" s="462">
        <v>0</v>
      </c>
      <c r="K5" s="462">
        <f>+'Anexo 5 - Presup de Ingresos'!C28/4</f>
        <v>10571.339479166667</v>
      </c>
      <c r="L5" s="462">
        <f>+K5</f>
        <v>10571.339479166667</v>
      </c>
      <c r="M5" s="473">
        <f>+L5</f>
        <v>10571.339479166667</v>
      </c>
      <c r="N5" s="473">
        <f>+M5</f>
        <v>10571.339479166667</v>
      </c>
    </row>
    <row r="6" spans="2:14">
      <c r="B6" s="465" t="s">
        <v>384</v>
      </c>
      <c r="C6" s="462">
        <f>(+'Anexo 17 - Otros Gastos'!B14+'Anexo 17 - Otros Gastos'!B24+'Anexo 17 - Otros Gastos'!B43+'Anexo 17 - Otros Gastos'!D60+'Anexo 3 - Mano de Obra'!F36)/12</f>
        <v>5098.3583333333327</v>
      </c>
      <c r="D6" s="462">
        <f>+C6</f>
        <v>5098.3583333333327</v>
      </c>
      <c r="E6" s="470">
        <f t="shared" ref="E6:M6" si="0">+D6</f>
        <v>5098.3583333333327</v>
      </c>
      <c r="F6" s="462">
        <f t="shared" si="0"/>
        <v>5098.3583333333327</v>
      </c>
      <c r="G6" s="470">
        <f t="shared" si="0"/>
        <v>5098.3583333333327</v>
      </c>
      <c r="H6" s="462">
        <f t="shared" si="0"/>
        <v>5098.3583333333327</v>
      </c>
      <c r="I6" s="470">
        <f t="shared" si="0"/>
        <v>5098.3583333333327</v>
      </c>
      <c r="J6" s="462">
        <f t="shared" si="0"/>
        <v>5098.3583333333327</v>
      </c>
      <c r="K6" s="470">
        <f t="shared" si="0"/>
        <v>5098.3583333333327</v>
      </c>
      <c r="L6" s="462">
        <f t="shared" si="0"/>
        <v>5098.3583333333327</v>
      </c>
      <c r="M6" s="462">
        <f t="shared" si="0"/>
        <v>5098.3583333333327</v>
      </c>
      <c r="N6" s="473">
        <f>+L6</f>
        <v>5098.3583333333327</v>
      </c>
    </row>
    <row r="7" spans="2:14" ht="13.5" thickBot="1">
      <c r="B7" s="466" t="s">
        <v>385</v>
      </c>
      <c r="C7" s="462">
        <f>+C5-C6</f>
        <v>-5098.3583333333327</v>
      </c>
      <c r="D7" s="462">
        <f>+D5-D6</f>
        <v>-5098.3583333333327</v>
      </c>
      <c r="E7" s="470">
        <f t="shared" ref="E7:N7" si="1">+E5-E6</f>
        <v>-5098.3583333333327</v>
      </c>
      <c r="F7" s="462">
        <f t="shared" si="1"/>
        <v>-5098.3583333333327</v>
      </c>
      <c r="G7" s="470">
        <f t="shared" si="1"/>
        <v>-5098.3583333333327</v>
      </c>
      <c r="H7" s="462">
        <f t="shared" si="1"/>
        <v>-5098.3583333333327</v>
      </c>
      <c r="I7" s="470">
        <f t="shared" si="1"/>
        <v>-5098.3583333333327</v>
      </c>
      <c r="J7" s="462">
        <f t="shared" si="1"/>
        <v>-5098.3583333333327</v>
      </c>
      <c r="K7" s="462">
        <f t="shared" si="1"/>
        <v>5472.9811458333343</v>
      </c>
      <c r="L7" s="462">
        <f t="shared" si="1"/>
        <v>5472.9811458333343</v>
      </c>
      <c r="M7" s="462">
        <f t="shared" si="1"/>
        <v>5472.9811458333343</v>
      </c>
      <c r="N7" s="473">
        <f t="shared" si="1"/>
        <v>5472.9811458333343</v>
      </c>
    </row>
    <row r="8" spans="2:14" ht="13.5" thickBot="1">
      <c r="B8" s="467" t="s">
        <v>386</v>
      </c>
      <c r="C8" s="468">
        <f>+C7</f>
        <v>-5098.3583333333327</v>
      </c>
      <c r="D8" s="463">
        <f>+C8+D7</f>
        <v>-10196.716666666665</v>
      </c>
      <c r="E8" s="471">
        <f t="shared" ref="E8:M8" si="2">+D8+E7</f>
        <v>-15295.074999999997</v>
      </c>
      <c r="F8" s="463">
        <f t="shared" si="2"/>
        <v>-20393.433333333331</v>
      </c>
      <c r="G8" s="471">
        <f t="shared" si="2"/>
        <v>-25491.791666666664</v>
      </c>
      <c r="H8" s="463">
        <f t="shared" si="2"/>
        <v>-30590.149999999998</v>
      </c>
      <c r="I8" s="471">
        <f t="shared" si="2"/>
        <v>-35688.508333333331</v>
      </c>
      <c r="J8" s="463">
        <f t="shared" si="2"/>
        <v>-40786.866666666661</v>
      </c>
      <c r="K8" s="471">
        <f t="shared" si="2"/>
        <v>-35313.885520833326</v>
      </c>
      <c r="L8" s="463">
        <f t="shared" si="2"/>
        <v>-29840.904374999991</v>
      </c>
      <c r="M8" s="463">
        <f t="shared" si="2"/>
        <v>-24367.923229166656</v>
      </c>
      <c r="N8" s="474">
        <f>+M8+N7</f>
        <v>-18894.942083333321</v>
      </c>
    </row>
  </sheetData>
  <mergeCells count="1">
    <mergeCell ref="B2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theme="8" tint="0.39997558519241921"/>
  </sheetPr>
  <dimension ref="A1:DG45"/>
  <sheetViews>
    <sheetView showGridLines="0" workbookViewId="0">
      <pane xSplit="1" topLeftCell="B1" activePane="topRight" state="frozen"/>
      <selection pane="topRight" activeCell="A3" sqref="A3:H28"/>
    </sheetView>
  </sheetViews>
  <sheetFormatPr baseColWidth="10" defaultRowHeight="11.25"/>
  <cols>
    <col min="1" max="1" width="19.85546875" style="2" customWidth="1"/>
    <col min="2" max="2" width="16.140625" style="2" customWidth="1"/>
    <col min="3" max="3" width="11.5703125" style="2" customWidth="1"/>
    <col min="4" max="4" width="14.42578125" style="2" bestFit="1" customWidth="1"/>
    <col min="5" max="8" width="14.140625" style="2" bestFit="1" customWidth="1"/>
    <col min="9" max="16384" width="11.42578125" style="2"/>
  </cols>
  <sheetData>
    <row r="1" spans="1:111" ht="18" customHeight="1">
      <c r="A1" s="585" t="s">
        <v>315</v>
      </c>
      <c r="B1" s="585"/>
      <c r="C1" s="585"/>
      <c r="D1" s="585"/>
      <c r="E1" s="585"/>
      <c r="F1" s="585"/>
      <c r="G1" s="585"/>
      <c r="H1" s="58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</row>
    <row r="2" spans="1:111" ht="12" thickBot="1">
      <c r="A2" s="591"/>
      <c r="B2" s="591"/>
      <c r="C2" s="591"/>
      <c r="D2" s="591"/>
      <c r="E2" s="591"/>
      <c r="F2" s="591"/>
      <c r="G2" s="591"/>
      <c r="H2" s="591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</row>
    <row r="3" spans="1:111" s="52" customFormat="1" ht="18" customHeight="1">
      <c r="A3" s="290" t="s">
        <v>309</v>
      </c>
      <c r="B3" s="291" t="s">
        <v>0</v>
      </c>
      <c r="C3" s="291" t="s">
        <v>49</v>
      </c>
      <c r="D3" s="292" t="s">
        <v>50</v>
      </c>
      <c r="E3" s="292" t="s">
        <v>51</v>
      </c>
      <c r="F3" s="292" t="s">
        <v>105</v>
      </c>
      <c r="G3" s="292" t="s">
        <v>106</v>
      </c>
      <c r="H3" s="293" t="s">
        <v>325</v>
      </c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</row>
    <row r="4" spans="1:111" s="131" customFormat="1" ht="17.25" customHeight="1">
      <c r="A4" s="604" t="s">
        <v>310</v>
      </c>
      <c r="B4" s="130" t="s">
        <v>2</v>
      </c>
      <c r="C4" s="53">
        <f>3.5*(D4/12)</f>
        <v>2643.375</v>
      </c>
      <c r="D4" s="567">
        <v>9063</v>
      </c>
      <c r="E4" s="92">
        <f t="shared" ref="E4:H5" si="0">+D4*1.05</f>
        <v>9516.15</v>
      </c>
      <c r="F4" s="92">
        <f t="shared" si="0"/>
        <v>9991.9575000000004</v>
      </c>
      <c r="G4" s="92">
        <f t="shared" si="0"/>
        <v>10491.555375000002</v>
      </c>
      <c r="H4" s="294">
        <f t="shared" si="0"/>
        <v>11016.133143750003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</row>
    <row r="5" spans="1:111" s="54" customFormat="1" ht="19.5" customHeight="1">
      <c r="A5" s="604"/>
      <c r="B5" s="128" t="s">
        <v>1</v>
      </c>
      <c r="C5" s="129">
        <f>+C34</f>
        <v>2.27</v>
      </c>
      <c r="D5" s="69">
        <f>+AVERAGE(C5:C5)</f>
        <v>2.27</v>
      </c>
      <c r="E5" s="69">
        <f t="shared" si="0"/>
        <v>2.3835000000000002</v>
      </c>
      <c r="F5" s="69">
        <f t="shared" si="0"/>
        <v>2.5026750000000004</v>
      </c>
      <c r="G5" s="69">
        <f t="shared" si="0"/>
        <v>2.6278087500000007</v>
      </c>
      <c r="H5" s="295">
        <f t="shared" si="0"/>
        <v>2.759199187500001</v>
      </c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</row>
    <row r="6" spans="1:111" s="1" customFormat="1" ht="21" customHeight="1" thickBot="1">
      <c r="A6" s="605"/>
      <c r="B6" s="223" t="s">
        <v>21</v>
      </c>
      <c r="C6" s="224">
        <f>C5*C4</f>
        <v>6000.4612500000003</v>
      </c>
      <c r="D6" s="69">
        <f>+D5*D4</f>
        <v>20573.009999999998</v>
      </c>
      <c r="E6" s="225">
        <f>+E4*E5</f>
        <v>22681.743525000002</v>
      </c>
      <c r="F6" s="225">
        <f>+F4*F5</f>
        <v>25006.622236312505</v>
      </c>
      <c r="G6" s="225">
        <f>+G4*G5</f>
        <v>27569.801015534544</v>
      </c>
      <c r="H6" s="296">
        <f>+H4*H5</f>
        <v>30395.705619626842</v>
      </c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</row>
    <row r="7" spans="1:111" s="52" customFormat="1" ht="20.25" customHeight="1">
      <c r="A7" s="297" t="s">
        <v>22</v>
      </c>
      <c r="B7" s="50" t="s">
        <v>0</v>
      </c>
      <c r="C7" s="50" t="s">
        <v>49</v>
      </c>
      <c r="D7" s="51" t="s">
        <v>50</v>
      </c>
      <c r="E7" s="51" t="s">
        <v>51</v>
      </c>
      <c r="F7" s="51" t="s">
        <v>105</v>
      </c>
      <c r="G7" s="51" t="s">
        <v>106</v>
      </c>
      <c r="H7" s="298" t="s">
        <v>325</v>
      </c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</row>
    <row r="8" spans="1:111" s="132" customFormat="1" ht="15.75" customHeight="1">
      <c r="A8" s="604" t="s">
        <v>437</v>
      </c>
      <c r="B8" s="53" t="s">
        <v>2</v>
      </c>
      <c r="C8" s="53">
        <f>3.5*(D8/12)</f>
        <v>53.083333333333329</v>
      </c>
      <c r="D8" s="567">
        <v>182</v>
      </c>
      <c r="E8" s="92">
        <f t="shared" ref="E8:H9" si="1">+D8*1.05</f>
        <v>191.1</v>
      </c>
      <c r="F8" s="92">
        <f t="shared" si="1"/>
        <v>200.655</v>
      </c>
      <c r="G8" s="92">
        <f t="shared" si="1"/>
        <v>210.68775000000002</v>
      </c>
      <c r="H8" s="294">
        <f t="shared" si="1"/>
        <v>221.22213750000003</v>
      </c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</row>
    <row r="9" spans="1:111" s="54" customFormat="1" ht="19.5" customHeight="1">
      <c r="A9" s="604"/>
      <c r="B9" s="128" t="s">
        <v>1</v>
      </c>
      <c r="C9" s="129">
        <f>+C39</f>
        <v>7.63</v>
      </c>
      <c r="D9" s="69">
        <f>+AVERAGE(C9:C9)</f>
        <v>7.63</v>
      </c>
      <c r="E9" s="69">
        <f t="shared" si="1"/>
        <v>8.0114999999999998</v>
      </c>
      <c r="F9" s="69">
        <f t="shared" si="1"/>
        <v>8.4120749999999997</v>
      </c>
      <c r="G9" s="69">
        <f t="shared" si="1"/>
        <v>8.8326787499999995</v>
      </c>
      <c r="H9" s="299">
        <f t="shared" si="1"/>
        <v>9.2743126875000002</v>
      </c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</row>
    <row r="10" spans="1:111" s="1" customFormat="1" ht="23.25" customHeight="1" thickBot="1">
      <c r="A10" s="605"/>
      <c r="B10" s="223" t="s">
        <v>21</v>
      </c>
      <c r="C10" s="224">
        <f>C9*C8</f>
        <v>405.02583333333331</v>
      </c>
      <c r="D10" s="225">
        <f>+D9*D8</f>
        <v>1388.66</v>
      </c>
      <c r="E10" s="225">
        <f>+E8*E9</f>
        <v>1530.99765</v>
      </c>
      <c r="F10" s="225">
        <f>+F8*F9</f>
        <v>1687.9249091249999</v>
      </c>
      <c r="G10" s="225">
        <f>+G8*G9</f>
        <v>1860.9372123103126</v>
      </c>
      <c r="H10" s="296">
        <f>+H8*H9</f>
        <v>2051.6832765721197</v>
      </c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</row>
    <row r="11" spans="1:111" s="52" customFormat="1" ht="20.25" customHeight="1">
      <c r="A11" s="297" t="s">
        <v>22</v>
      </c>
      <c r="B11" s="50" t="s">
        <v>0</v>
      </c>
      <c r="C11" s="50" t="s">
        <v>49</v>
      </c>
      <c r="D11" s="51" t="s">
        <v>50</v>
      </c>
      <c r="E11" s="51" t="s">
        <v>51</v>
      </c>
      <c r="F11" s="51" t="s">
        <v>105</v>
      </c>
      <c r="G11" s="51" t="s">
        <v>106</v>
      </c>
      <c r="H11" s="298" t="s">
        <v>325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</row>
    <row r="12" spans="1:111" s="131" customFormat="1" ht="15" customHeight="1">
      <c r="A12" s="604" t="s">
        <v>311</v>
      </c>
      <c r="B12" s="130" t="s">
        <v>2</v>
      </c>
      <c r="C12" s="53">
        <f>3.5*(D12/12)</f>
        <v>3143.291666666667</v>
      </c>
      <c r="D12" s="568">
        <v>10777</v>
      </c>
      <c r="E12" s="92">
        <f t="shared" ref="E12:H13" si="2">+D12*1.05</f>
        <v>11315.85</v>
      </c>
      <c r="F12" s="92">
        <f t="shared" si="2"/>
        <v>11881.642500000002</v>
      </c>
      <c r="G12" s="92">
        <f t="shared" si="2"/>
        <v>12475.724625000003</v>
      </c>
      <c r="H12" s="294">
        <f t="shared" si="2"/>
        <v>13099.510856250003</v>
      </c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</row>
    <row r="13" spans="1:111" s="54" customFormat="1" ht="15" customHeight="1">
      <c r="A13" s="604"/>
      <c r="B13" s="128" t="s">
        <v>1</v>
      </c>
      <c r="C13" s="129">
        <f>+C40</f>
        <v>7.08</v>
      </c>
      <c r="D13" s="69">
        <f>+AVERAGE(C13:C13)</f>
        <v>7.08</v>
      </c>
      <c r="E13" s="69">
        <f t="shared" si="2"/>
        <v>7.4340000000000002</v>
      </c>
      <c r="F13" s="69">
        <f t="shared" si="2"/>
        <v>7.8057000000000007</v>
      </c>
      <c r="G13" s="69">
        <f t="shared" si="2"/>
        <v>8.1959850000000003</v>
      </c>
      <c r="H13" s="295">
        <f t="shared" si="2"/>
        <v>8.605784250000001</v>
      </c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</row>
    <row r="14" spans="1:111" s="1" customFormat="1" ht="21" customHeight="1" thickBot="1">
      <c r="A14" s="605"/>
      <c r="B14" s="223" t="s">
        <v>21</v>
      </c>
      <c r="C14" s="224">
        <f>C13*C12</f>
        <v>22254.505000000001</v>
      </c>
      <c r="D14" s="225">
        <f>+D13*D12</f>
        <v>76301.16</v>
      </c>
      <c r="E14" s="225">
        <f>+E12*E13</f>
        <v>84122.028900000005</v>
      </c>
      <c r="F14" s="225">
        <f>+F12*F13</f>
        <v>92744.536862250025</v>
      </c>
      <c r="G14" s="225">
        <f>+G12*G13</f>
        <v>102250.85189063066</v>
      </c>
      <c r="H14" s="296">
        <f>+H12*H13</f>
        <v>112731.56420942031</v>
      </c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</row>
    <row r="15" spans="1:111" s="52" customFormat="1" ht="19.5" customHeight="1">
      <c r="A15" s="297" t="s">
        <v>22</v>
      </c>
      <c r="B15" s="50" t="s">
        <v>0</v>
      </c>
      <c r="C15" s="50" t="s">
        <v>49</v>
      </c>
      <c r="D15" s="51" t="s">
        <v>50</v>
      </c>
      <c r="E15" s="51" t="s">
        <v>51</v>
      </c>
      <c r="F15" s="51" t="s">
        <v>105</v>
      </c>
      <c r="G15" s="51" t="s">
        <v>106</v>
      </c>
      <c r="H15" s="298" t="s">
        <v>325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</row>
    <row r="16" spans="1:111" s="131" customFormat="1" ht="15" customHeight="1">
      <c r="A16" s="604" t="s">
        <v>317</v>
      </c>
      <c r="B16" s="226" t="s">
        <v>2</v>
      </c>
      <c r="C16" s="53">
        <f>3.5*(D16/12)</f>
        <v>1797.5416666666667</v>
      </c>
      <c r="D16" s="569">
        <v>6163</v>
      </c>
      <c r="E16" s="92">
        <f>+D16*1.05</f>
        <v>6471.1500000000005</v>
      </c>
      <c r="F16" s="102">
        <f>+(E16*1.05)</f>
        <v>6794.7075000000004</v>
      </c>
      <c r="G16" s="102">
        <f>+(F16*1.05)</f>
        <v>7134.4428750000006</v>
      </c>
      <c r="H16" s="300">
        <f>+(G16*1.05)</f>
        <v>7491.1650187500009</v>
      </c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</row>
    <row r="17" spans="1:111" s="54" customFormat="1" ht="15" customHeight="1">
      <c r="A17" s="604"/>
      <c r="B17" s="128" t="s">
        <v>1</v>
      </c>
      <c r="C17" s="129">
        <f>+C41</f>
        <v>7.58</v>
      </c>
      <c r="D17" s="69">
        <f>+AVERAGE(C17:C17)</f>
        <v>7.58</v>
      </c>
      <c r="E17" s="69">
        <f>+D17*1.05</f>
        <v>7.9590000000000005</v>
      </c>
      <c r="F17" s="69">
        <f>+E17*1.05</f>
        <v>8.3569500000000012</v>
      </c>
      <c r="G17" s="69">
        <f>+F17*1.05</f>
        <v>8.7747975000000018</v>
      </c>
      <c r="H17" s="299">
        <f>+G17*1.05</f>
        <v>9.2135373750000031</v>
      </c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</row>
    <row r="18" spans="1:111" s="1" customFormat="1" ht="21" customHeight="1" thickBot="1">
      <c r="A18" s="613"/>
      <c r="B18" s="301" t="s">
        <v>21</v>
      </c>
      <c r="C18" s="302">
        <f>C17*C16</f>
        <v>13625.365833333333</v>
      </c>
      <c r="D18" s="303">
        <f>+D17*D16</f>
        <v>46715.54</v>
      </c>
      <c r="E18" s="303">
        <f>+E16*E17</f>
        <v>51503.882850000009</v>
      </c>
      <c r="F18" s="303">
        <f>+F16*F17</f>
        <v>56783.030842125008</v>
      </c>
      <c r="G18" s="303">
        <f>+G16*G17</f>
        <v>62603.29150344283</v>
      </c>
      <c r="H18" s="304">
        <f>+H16*H17</f>
        <v>69020.12888254573</v>
      </c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</row>
    <row r="19" spans="1:111" s="1" customFormat="1" ht="10.5">
      <c r="B19" s="55"/>
      <c r="C19" s="56"/>
      <c r="D19" s="57"/>
      <c r="E19" s="57"/>
      <c r="F19" s="57"/>
      <c r="G19" s="57"/>
      <c r="H19" s="57"/>
      <c r="I19" s="234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</row>
    <row r="20" spans="1:111" s="1" customFormat="1" ht="12.75">
      <c r="A20" s="606" t="s">
        <v>282</v>
      </c>
      <c r="B20" s="607"/>
      <c r="C20" s="58">
        <f t="shared" ref="C20:H20" si="3">+C4</f>
        <v>2643.375</v>
      </c>
      <c r="D20" s="58">
        <f t="shared" si="3"/>
        <v>9063</v>
      </c>
      <c r="E20" s="58">
        <f t="shared" si="3"/>
        <v>9516.15</v>
      </c>
      <c r="F20" s="58">
        <f t="shared" si="3"/>
        <v>9991.9575000000004</v>
      </c>
      <c r="G20" s="58">
        <f t="shared" si="3"/>
        <v>10491.555375000002</v>
      </c>
      <c r="H20" s="58">
        <f t="shared" si="3"/>
        <v>11016.133143750003</v>
      </c>
      <c r="I20" s="234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</row>
    <row r="21" spans="1:111" s="1" customFormat="1" ht="10.5">
      <c r="B21" s="55"/>
      <c r="I21" s="234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</row>
    <row r="22" spans="1:111" s="1" customFormat="1" ht="12.75">
      <c r="A22" s="606" t="s">
        <v>283</v>
      </c>
      <c r="B22" s="607"/>
      <c r="C22" s="58">
        <f t="shared" ref="C22:H22" si="4">+C8+C12+C16</f>
        <v>4993.916666666667</v>
      </c>
      <c r="D22" s="58">
        <f t="shared" si="4"/>
        <v>17122</v>
      </c>
      <c r="E22" s="58">
        <f t="shared" si="4"/>
        <v>17978.100000000002</v>
      </c>
      <c r="F22" s="58">
        <f t="shared" si="4"/>
        <v>18877.005000000005</v>
      </c>
      <c r="G22" s="58">
        <f t="shared" si="4"/>
        <v>19820.855250000001</v>
      </c>
      <c r="H22" s="58">
        <f t="shared" si="4"/>
        <v>20811.898012500005</v>
      </c>
      <c r="I22" s="234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</row>
    <row r="23" spans="1:111" s="1" customFormat="1" ht="10.5">
      <c r="B23" s="55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</row>
    <row r="24" spans="1:111" s="1" customFormat="1" ht="12.75">
      <c r="A24" s="606" t="s">
        <v>280</v>
      </c>
      <c r="B24" s="607"/>
      <c r="C24" s="58">
        <f t="shared" ref="C24:H24" si="5">C6</f>
        <v>6000.4612500000003</v>
      </c>
      <c r="D24" s="58">
        <f t="shared" si="5"/>
        <v>20573.009999999998</v>
      </c>
      <c r="E24" s="58">
        <f t="shared" si="5"/>
        <v>22681.743525000002</v>
      </c>
      <c r="F24" s="58">
        <f t="shared" si="5"/>
        <v>25006.622236312505</v>
      </c>
      <c r="G24" s="58">
        <f t="shared" si="5"/>
        <v>27569.801015534544</v>
      </c>
      <c r="H24" s="58">
        <f t="shared" si="5"/>
        <v>30395.705619626842</v>
      </c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</row>
    <row r="25" spans="1:111" s="1" customFormat="1" ht="10.5">
      <c r="B25" s="55"/>
      <c r="C25" s="56"/>
      <c r="D25" s="56"/>
      <c r="E25" s="56"/>
      <c r="F25" s="56"/>
      <c r="G25" s="56"/>
      <c r="H25" s="56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</row>
    <row r="26" spans="1:111" s="1" customFormat="1" ht="12.75">
      <c r="A26" s="606" t="s">
        <v>281</v>
      </c>
      <c r="B26" s="607"/>
      <c r="C26" s="58">
        <f t="shared" ref="C26:H26" si="6">+C10+C14+C18</f>
        <v>36284.896666666667</v>
      </c>
      <c r="D26" s="58">
        <f t="shared" si="6"/>
        <v>124405.36000000002</v>
      </c>
      <c r="E26" s="58">
        <f t="shared" si="6"/>
        <v>137156.9094</v>
      </c>
      <c r="F26" s="58">
        <f t="shared" si="6"/>
        <v>151215.49261350004</v>
      </c>
      <c r="G26" s="58">
        <f t="shared" si="6"/>
        <v>166715.0806063838</v>
      </c>
      <c r="H26" s="58">
        <f t="shared" si="6"/>
        <v>183803.37636853816</v>
      </c>
      <c r="I26" s="234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</row>
    <row r="27" spans="1:111" s="1" customFormat="1" ht="10.5">
      <c r="B27" s="55"/>
      <c r="C27" s="56"/>
      <c r="D27" s="56"/>
      <c r="E27" s="56"/>
      <c r="F27" s="56"/>
      <c r="G27" s="56"/>
      <c r="H27" s="56"/>
      <c r="I27" s="234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</row>
    <row r="28" spans="1:111" s="1" customFormat="1" ht="12.75">
      <c r="A28" s="608" t="s">
        <v>93</v>
      </c>
      <c r="B28" s="609"/>
      <c r="C28" s="59">
        <f t="shared" ref="C28:H28" si="7">+C24+C26</f>
        <v>42285.357916666668</v>
      </c>
      <c r="D28" s="59">
        <f t="shared" si="7"/>
        <v>144978.37000000002</v>
      </c>
      <c r="E28" s="59">
        <f t="shared" si="7"/>
        <v>159838.652925</v>
      </c>
      <c r="F28" s="59">
        <f t="shared" si="7"/>
        <v>176222.11484981255</v>
      </c>
      <c r="G28" s="59">
        <f t="shared" si="7"/>
        <v>194284.88162191835</v>
      </c>
      <c r="H28" s="59">
        <f t="shared" si="7"/>
        <v>214199.08198816501</v>
      </c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</row>
    <row r="29" spans="1:111" s="1" customFormat="1" ht="10.5"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</row>
    <row r="30" spans="1:111">
      <c r="D30" s="5"/>
      <c r="E30" s="5"/>
      <c r="F30" s="5"/>
      <c r="G30" s="5"/>
      <c r="H30" s="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</row>
    <row r="31" spans="1:111"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</row>
    <row r="33" spans="1:111">
      <c r="A33" s="239" t="s">
        <v>313</v>
      </c>
      <c r="B33" s="241"/>
      <c r="C33" s="240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</row>
    <row r="34" spans="1:111">
      <c r="A34" s="228" t="s">
        <v>312</v>
      </c>
      <c r="B34" s="236"/>
      <c r="C34" s="566">
        <v>2.27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</row>
    <row r="35" spans="1:111">
      <c r="A35" s="237" t="s">
        <v>285</v>
      </c>
      <c r="B35" s="238"/>
      <c r="C35" s="227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</row>
    <row r="36" spans="1:11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</row>
    <row r="37" spans="1:11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</row>
    <row r="38" spans="1:111">
      <c r="A38" s="239" t="s">
        <v>314</v>
      </c>
      <c r="B38" s="241"/>
      <c r="C38" s="240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</row>
    <row r="39" spans="1:111" ht="12.75">
      <c r="A39" s="228" t="s">
        <v>437</v>
      </c>
      <c r="B39" s="242"/>
      <c r="C39" s="565">
        <v>7.63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</row>
    <row r="40" spans="1:111">
      <c r="A40" s="228" t="s">
        <v>311</v>
      </c>
      <c r="B40" s="236"/>
      <c r="C40" s="566">
        <v>7.08</v>
      </c>
    </row>
    <row r="41" spans="1:111">
      <c r="A41" s="614" t="s">
        <v>317</v>
      </c>
      <c r="B41" s="615"/>
      <c r="C41" s="566">
        <v>7.58</v>
      </c>
    </row>
    <row r="42" spans="1:111">
      <c r="A42" s="611" t="s">
        <v>285</v>
      </c>
      <c r="B42" s="612"/>
      <c r="C42" s="227"/>
    </row>
    <row r="44" spans="1:111" ht="12.75">
      <c r="A44" s="606" t="s">
        <v>316</v>
      </c>
      <c r="B44" s="610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</row>
    <row r="45" spans="1:111" ht="12.75">
      <c r="A45" s="228" t="s">
        <v>284</v>
      </c>
      <c r="B45" s="255">
        <v>3.0000000000000001E-3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</row>
  </sheetData>
  <mergeCells count="13">
    <mergeCell ref="A16:A18"/>
    <mergeCell ref="A41:B41"/>
    <mergeCell ref="A4:A6"/>
    <mergeCell ref="A8:A10"/>
    <mergeCell ref="A24:B24"/>
    <mergeCell ref="A28:B28"/>
    <mergeCell ref="A1:H2"/>
    <mergeCell ref="A44:B44"/>
    <mergeCell ref="A26:B26"/>
    <mergeCell ref="A20:B20"/>
    <mergeCell ref="A22:B22"/>
    <mergeCell ref="A12:A14"/>
    <mergeCell ref="A42:B42"/>
  </mergeCells>
  <phoneticPr fontId="0" type="noConversion"/>
  <printOptions horizontalCentered="1" verticalCentered="1"/>
  <pageMargins left="0.19685039370078741" right="0.19685039370078741" top="0.31496062992125984" bottom="0.23622047244094491" header="0" footer="0"/>
  <pageSetup paperSize="9" scale="75" orientation="landscape" r:id="rId1"/>
  <headerFooter alignWithMargins="0"/>
  <ignoredErrors>
    <ignoredError sqref="D17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L22"/>
  <sheetViews>
    <sheetView showGridLines="0" tabSelected="1" workbookViewId="0">
      <selection activeCell="F16" sqref="F16"/>
    </sheetView>
  </sheetViews>
  <sheetFormatPr baseColWidth="10" defaultRowHeight="11.25"/>
  <cols>
    <col min="1" max="1" width="28" style="2" customWidth="1"/>
    <col min="2" max="2" width="10.42578125" style="2" customWidth="1"/>
    <col min="3" max="3" width="7.140625" style="2" customWidth="1"/>
    <col min="4" max="4" width="9.28515625" style="2" customWidth="1"/>
    <col min="5" max="5" width="14.140625" style="2" customWidth="1"/>
    <col min="6" max="6" width="14" style="2" customWidth="1"/>
    <col min="7" max="7" width="14.7109375" style="2" customWidth="1"/>
    <col min="8" max="8" width="14.28515625" style="2" customWidth="1"/>
    <col min="9" max="9" width="14.7109375" style="2" customWidth="1"/>
    <col min="10" max="10" width="14.42578125" style="2" customWidth="1"/>
    <col min="11" max="11" width="16.140625" style="2" customWidth="1"/>
    <col min="12" max="12" width="17.42578125" style="2" customWidth="1"/>
    <col min="13" max="13" width="9.140625" style="2" customWidth="1"/>
    <col min="14" max="14" width="15.140625" style="2" customWidth="1"/>
    <col min="15" max="15" width="6.7109375" style="2" customWidth="1"/>
    <col min="16" max="16" width="10.42578125" style="2" customWidth="1"/>
    <col min="17" max="17" width="16.140625" style="2" customWidth="1"/>
    <col min="18" max="18" width="16.28515625" style="2" customWidth="1"/>
    <col min="19" max="19" width="16.140625" style="2" customWidth="1"/>
    <col min="20" max="16384" width="11.42578125" style="2"/>
  </cols>
  <sheetData>
    <row r="1" spans="1:12" s="3" customFormat="1" ht="18" customHeight="1">
      <c r="A1" s="585" t="s">
        <v>318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12" s="3" customFormat="1" ht="18.75" customHeight="1" thickBot="1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</row>
    <row r="3" spans="1:12" ht="13.5" customHeight="1" thickBot="1">
      <c r="A3" s="561" t="s">
        <v>119</v>
      </c>
      <c r="B3" s="320"/>
      <c r="C3" s="320"/>
      <c r="D3" s="562"/>
      <c r="E3" s="315" t="s">
        <v>222</v>
      </c>
      <c r="F3" s="251" t="s">
        <v>223</v>
      </c>
      <c r="G3" s="251" t="s">
        <v>83</v>
      </c>
      <c r="H3" s="251" t="s">
        <v>101</v>
      </c>
      <c r="I3" s="251" t="s">
        <v>102</v>
      </c>
      <c r="J3" s="182" t="s">
        <v>320</v>
      </c>
      <c r="K3" s="179" t="s">
        <v>55</v>
      </c>
      <c r="L3" s="179" t="s">
        <v>224</v>
      </c>
    </row>
    <row r="4" spans="1:12" ht="12" thickBot="1">
      <c r="A4" s="563"/>
      <c r="B4" s="563" t="s">
        <v>220</v>
      </c>
      <c r="C4" s="563" t="s">
        <v>221</v>
      </c>
      <c r="D4" s="563" t="s">
        <v>233</v>
      </c>
      <c r="E4" s="253" t="s">
        <v>120</v>
      </c>
      <c r="F4" s="183" t="s">
        <v>120</v>
      </c>
      <c r="G4" s="183" t="s">
        <v>120</v>
      </c>
      <c r="H4" s="183" t="s">
        <v>120</v>
      </c>
      <c r="I4" s="183" t="s">
        <v>120</v>
      </c>
      <c r="J4" s="182" t="s">
        <v>120</v>
      </c>
      <c r="K4" s="253" t="s">
        <v>120</v>
      </c>
      <c r="L4" s="183" t="s">
        <v>225</v>
      </c>
    </row>
    <row r="5" spans="1:12">
      <c r="A5" s="285" t="s">
        <v>286</v>
      </c>
      <c r="B5" s="559" t="s">
        <v>213</v>
      </c>
      <c r="C5" s="285">
        <v>3900</v>
      </c>
      <c r="D5" s="578">
        <v>0.3</v>
      </c>
      <c r="E5" s="556">
        <f>+C5*D5</f>
        <v>1170</v>
      </c>
      <c r="F5" s="184">
        <v>0</v>
      </c>
      <c r="G5" s="184">
        <f>+E5*(1+$B$17)</f>
        <v>1228.5</v>
      </c>
      <c r="H5" s="215">
        <v>0</v>
      </c>
      <c r="I5" s="215">
        <f>+G5*(1+$B$17)</f>
        <v>1289.925</v>
      </c>
      <c r="J5" s="193">
        <v>0</v>
      </c>
      <c r="K5" s="193">
        <f>+SUM(E5:J5)</f>
        <v>3688.4250000000002</v>
      </c>
      <c r="L5" s="313">
        <f>+K5/$K$16</f>
        <v>0.21711062799376066</v>
      </c>
    </row>
    <row r="6" spans="1:12">
      <c r="A6" s="285" t="s">
        <v>204</v>
      </c>
      <c r="B6" s="285" t="s">
        <v>214</v>
      </c>
      <c r="C6" s="285">
        <v>45</v>
      </c>
      <c r="D6" s="578">
        <v>23</v>
      </c>
      <c r="E6" s="557">
        <f>+D6*C6</f>
        <v>1035</v>
      </c>
      <c r="F6" s="211">
        <f>+E6*(1+$B$17)</f>
        <v>1086.75</v>
      </c>
      <c r="G6" s="211">
        <f>+F6*(1+$B$17)</f>
        <v>1141.0875000000001</v>
      </c>
      <c r="H6" s="211">
        <f>+G6*(1+$B$17)</f>
        <v>1198.1418750000003</v>
      </c>
      <c r="I6" s="211">
        <f>+H6*(1+$B$17)</f>
        <v>1258.0489687500003</v>
      </c>
      <c r="J6" s="211">
        <f>+H6*(1+$B$17)</f>
        <v>1258.0489687500003</v>
      </c>
      <c r="K6" s="193">
        <f t="shared" ref="K6:K15" si="0">+SUM(E6:J6)</f>
        <v>6977.0773125000014</v>
      </c>
      <c r="L6" s="313">
        <f t="shared" ref="L6:L14" si="1">+K6/$K$16</f>
        <v>0.41068955906054616</v>
      </c>
    </row>
    <row r="7" spans="1:12">
      <c r="A7" s="285" t="s">
        <v>205</v>
      </c>
      <c r="B7" s="285" t="s">
        <v>215</v>
      </c>
      <c r="C7" s="285">
        <v>19</v>
      </c>
      <c r="D7" s="578">
        <v>11</v>
      </c>
      <c r="E7" s="557">
        <f t="shared" ref="E7:E14" si="2">+D7*C7</f>
        <v>209</v>
      </c>
      <c r="F7" s="211">
        <f t="shared" ref="F7:I14" si="3">+E7*(1+$B$17)</f>
        <v>219.45000000000002</v>
      </c>
      <c r="G7" s="211">
        <f t="shared" si="3"/>
        <v>230.42250000000001</v>
      </c>
      <c r="H7" s="211">
        <f t="shared" si="3"/>
        <v>241.94362500000003</v>
      </c>
      <c r="I7" s="211">
        <f t="shared" si="3"/>
        <v>254.04080625000003</v>
      </c>
      <c r="J7" s="211">
        <f t="shared" ref="J7:J14" si="4">+H7*(1+$B$17)</f>
        <v>254.04080625000003</v>
      </c>
      <c r="K7" s="193">
        <f t="shared" si="0"/>
        <v>1408.8977375000002</v>
      </c>
      <c r="L7" s="313">
        <f t="shared" si="1"/>
        <v>8.2931514824786612E-2</v>
      </c>
    </row>
    <row r="8" spans="1:12">
      <c r="A8" s="285" t="s">
        <v>206</v>
      </c>
      <c r="B8" s="285" t="s">
        <v>215</v>
      </c>
      <c r="C8" s="285">
        <v>15</v>
      </c>
      <c r="D8" s="578">
        <v>10</v>
      </c>
      <c r="E8" s="557">
        <f t="shared" si="2"/>
        <v>150</v>
      </c>
      <c r="F8" s="211">
        <f t="shared" si="3"/>
        <v>157.5</v>
      </c>
      <c r="G8" s="211">
        <f t="shared" si="3"/>
        <v>165.375</v>
      </c>
      <c r="H8" s="211">
        <f t="shared" si="3"/>
        <v>173.64375000000001</v>
      </c>
      <c r="I8" s="211">
        <f t="shared" si="3"/>
        <v>182.32593750000001</v>
      </c>
      <c r="J8" s="211">
        <f t="shared" si="4"/>
        <v>182.32593750000001</v>
      </c>
      <c r="K8" s="193">
        <f t="shared" si="0"/>
        <v>1011.170625</v>
      </c>
      <c r="L8" s="313">
        <f t="shared" si="1"/>
        <v>5.9520225950803779E-2</v>
      </c>
    </row>
    <row r="9" spans="1:12">
      <c r="A9" s="285" t="s">
        <v>207</v>
      </c>
      <c r="B9" s="285" t="s">
        <v>216</v>
      </c>
      <c r="C9" s="285">
        <v>8</v>
      </c>
      <c r="D9" s="578">
        <v>9</v>
      </c>
      <c r="E9" s="557">
        <f t="shared" si="2"/>
        <v>72</v>
      </c>
      <c r="F9" s="211">
        <f t="shared" si="3"/>
        <v>75.600000000000009</v>
      </c>
      <c r="G9" s="211">
        <f t="shared" si="3"/>
        <v>79.38000000000001</v>
      </c>
      <c r="H9" s="211">
        <f t="shared" si="3"/>
        <v>83.349000000000018</v>
      </c>
      <c r="I9" s="211">
        <f t="shared" si="3"/>
        <v>87.51645000000002</v>
      </c>
      <c r="J9" s="211">
        <f t="shared" si="4"/>
        <v>87.51645000000002</v>
      </c>
      <c r="K9" s="193">
        <f t="shared" si="0"/>
        <v>485.36190000000011</v>
      </c>
      <c r="L9" s="313">
        <f t="shared" si="1"/>
        <v>2.8569708456385821E-2</v>
      </c>
    </row>
    <row r="10" spans="1:12">
      <c r="A10" s="285" t="s">
        <v>208</v>
      </c>
      <c r="B10" s="285" t="s">
        <v>215</v>
      </c>
      <c r="C10" s="285">
        <v>5</v>
      </c>
      <c r="D10" s="578">
        <v>10</v>
      </c>
      <c r="E10" s="557">
        <f t="shared" si="2"/>
        <v>50</v>
      </c>
      <c r="F10" s="211">
        <f t="shared" si="3"/>
        <v>52.5</v>
      </c>
      <c r="G10" s="211">
        <f t="shared" si="3"/>
        <v>55.125</v>
      </c>
      <c r="H10" s="211">
        <f t="shared" si="3"/>
        <v>57.881250000000001</v>
      </c>
      <c r="I10" s="211">
        <f t="shared" si="3"/>
        <v>60.775312500000005</v>
      </c>
      <c r="J10" s="211">
        <f t="shared" si="4"/>
        <v>60.775312500000005</v>
      </c>
      <c r="K10" s="193">
        <f t="shared" si="0"/>
        <v>337.05687499999999</v>
      </c>
      <c r="L10" s="313">
        <f t="shared" si="1"/>
        <v>1.9840075316934592E-2</v>
      </c>
    </row>
    <row r="11" spans="1:12">
      <c r="A11" s="285" t="s">
        <v>209</v>
      </c>
      <c r="B11" s="285" t="s">
        <v>217</v>
      </c>
      <c r="C11" s="285">
        <v>2</v>
      </c>
      <c r="D11" s="578">
        <v>4.5</v>
      </c>
      <c r="E11" s="557">
        <f t="shared" si="2"/>
        <v>9</v>
      </c>
      <c r="F11" s="211">
        <f t="shared" si="3"/>
        <v>9.4500000000000011</v>
      </c>
      <c r="G11" s="211">
        <f t="shared" si="3"/>
        <v>9.9225000000000012</v>
      </c>
      <c r="H11" s="211">
        <f t="shared" si="3"/>
        <v>10.418625000000002</v>
      </c>
      <c r="I11" s="211">
        <f t="shared" si="3"/>
        <v>10.939556250000003</v>
      </c>
      <c r="J11" s="211">
        <f t="shared" si="4"/>
        <v>10.939556250000003</v>
      </c>
      <c r="K11" s="193">
        <f t="shared" si="0"/>
        <v>60.670237500000013</v>
      </c>
      <c r="L11" s="313">
        <f t="shared" si="1"/>
        <v>3.5712135570482276E-3</v>
      </c>
    </row>
    <row r="12" spans="1:12">
      <c r="A12" s="285" t="s">
        <v>210</v>
      </c>
      <c r="B12" s="285" t="s">
        <v>217</v>
      </c>
      <c r="C12" s="285">
        <v>2</v>
      </c>
      <c r="D12" s="578">
        <v>16.5</v>
      </c>
      <c r="E12" s="557">
        <f t="shared" si="2"/>
        <v>33</v>
      </c>
      <c r="F12" s="211">
        <f t="shared" si="3"/>
        <v>34.65</v>
      </c>
      <c r="G12" s="211">
        <f t="shared" si="3"/>
        <v>36.3825</v>
      </c>
      <c r="H12" s="211">
        <f t="shared" si="3"/>
        <v>38.201625</v>
      </c>
      <c r="I12" s="211">
        <f t="shared" si="3"/>
        <v>40.111706250000005</v>
      </c>
      <c r="J12" s="211">
        <f t="shared" si="4"/>
        <v>40.111706250000005</v>
      </c>
      <c r="K12" s="193">
        <f t="shared" si="0"/>
        <v>222.4575375</v>
      </c>
      <c r="L12" s="313">
        <f t="shared" si="1"/>
        <v>1.3094449709176833E-2</v>
      </c>
    </row>
    <row r="13" spans="1:12">
      <c r="A13" s="285" t="s">
        <v>211</v>
      </c>
      <c r="B13" s="285" t="s">
        <v>218</v>
      </c>
      <c r="C13" s="285">
        <v>40</v>
      </c>
      <c r="D13" s="578">
        <v>10</v>
      </c>
      <c r="E13" s="557">
        <f t="shared" si="2"/>
        <v>400</v>
      </c>
      <c r="F13" s="211">
        <f t="shared" si="3"/>
        <v>420</v>
      </c>
      <c r="G13" s="211">
        <f t="shared" si="3"/>
        <v>441</v>
      </c>
      <c r="H13" s="211">
        <f t="shared" si="3"/>
        <v>463.05</v>
      </c>
      <c r="I13" s="211">
        <f t="shared" si="3"/>
        <v>486.20250000000004</v>
      </c>
      <c r="J13" s="211">
        <f t="shared" si="4"/>
        <v>486.20250000000004</v>
      </c>
      <c r="K13" s="193">
        <f t="shared" si="0"/>
        <v>2696.4549999999999</v>
      </c>
      <c r="L13" s="313">
        <f t="shared" si="1"/>
        <v>0.15872060253547673</v>
      </c>
    </row>
    <row r="14" spans="1:12">
      <c r="A14" s="285" t="s">
        <v>212</v>
      </c>
      <c r="B14" s="285" t="s">
        <v>219</v>
      </c>
      <c r="C14" s="285">
        <v>3</v>
      </c>
      <c r="D14" s="578">
        <v>5</v>
      </c>
      <c r="E14" s="557">
        <f t="shared" si="2"/>
        <v>15</v>
      </c>
      <c r="F14" s="211">
        <f t="shared" si="3"/>
        <v>15.75</v>
      </c>
      <c r="G14" s="211">
        <f t="shared" si="3"/>
        <v>16.537500000000001</v>
      </c>
      <c r="H14" s="211">
        <f t="shared" si="3"/>
        <v>17.364375000000003</v>
      </c>
      <c r="I14" s="211">
        <f t="shared" si="3"/>
        <v>18.232593750000003</v>
      </c>
      <c r="J14" s="211">
        <f t="shared" si="4"/>
        <v>18.232593750000003</v>
      </c>
      <c r="K14" s="193">
        <f t="shared" si="0"/>
        <v>101.11706250000002</v>
      </c>
      <c r="L14" s="313">
        <f t="shared" si="1"/>
        <v>5.9520225950803795E-3</v>
      </c>
    </row>
    <row r="15" spans="1:12" ht="12" thickBot="1">
      <c r="A15" s="285"/>
      <c r="B15" s="285"/>
      <c r="C15" s="285"/>
      <c r="D15" s="285"/>
      <c r="E15" s="558"/>
      <c r="F15" s="207"/>
      <c r="G15" s="207"/>
      <c r="H15" s="207"/>
      <c r="I15" s="207"/>
      <c r="J15" s="317"/>
      <c r="K15" s="193">
        <f t="shared" si="0"/>
        <v>0</v>
      </c>
      <c r="L15" s="314"/>
    </row>
    <row r="16" spans="1:12" ht="13.5" customHeight="1" thickBot="1">
      <c r="A16" s="616" t="s">
        <v>203</v>
      </c>
      <c r="B16" s="616"/>
      <c r="C16" s="564"/>
      <c r="D16" s="564"/>
      <c r="E16" s="560">
        <f>SUM(E5:E15)</f>
        <v>3143</v>
      </c>
      <c r="F16" s="212">
        <f>SUM(F5:F15)</f>
        <v>2071.65</v>
      </c>
      <c r="G16" s="212">
        <f>SUM(G5:G15)</f>
        <v>3403.7325000000005</v>
      </c>
      <c r="H16" s="212">
        <f>+SUM(H5:H14)</f>
        <v>2283.9941250000002</v>
      </c>
      <c r="I16" s="212">
        <f>+SUM(I5:I14)</f>
        <v>3688.1188312500003</v>
      </c>
      <c r="J16" s="212">
        <f>+SUM(J5:J14)</f>
        <v>2398.1938312500001</v>
      </c>
      <c r="K16" s="212">
        <f>+SUM(K5:K14)</f>
        <v>16988.689287500005</v>
      </c>
      <c r="L16" s="216">
        <f>+SUM(L5:L15)</f>
        <v>0.99999999999999989</v>
      </c>
    </row>
    <row r="17" spans="1:5">
      <c r="A17" s="2" t="s">
        <v>432</v>
      </c>
      <c r="B17" s="571">
        <v>0.05</v>
      </c>
      <c r="E17" s="133"/>
    </row>
    <row r="18" spans="1:5">
      <c r="E18" s="133"/>
    </row>
    <row r="19" spans="1:5">
      <c r="E19" s="133"/>
    </row>
    <row r="20" spans="1:5">
      <c r="E20" s="133"/>
    </row>
    <row r="21" spans="1:5">
      <c r="E21" s="133"/>
    </row>
    <row r="22" spans="1:5">
      <c r="E22" s="133"/>
    </row>
  </sheetData>
  <mergeCells count="2">
    <mergeCell ref="A16:B16"/>
    <mergeCell ref="A1:L2"/>
  </mergeCells>
  <printOptions horizontalCentered="1" verticalCentered="1"/>
  <pageMargins left="0.51181102362204722" right="0.19685039370078741" top="0.43307086614173229" bottom="0.6692913385826772" header="0" footer="0"/>
  <pageSetup paperSize="9" scale="85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K12"/>
  <sheetViews>
    <sheetView showGridLines="0" workbookViewId="0">
      <selection activeCell="A3" sqref="A3:I11"/>
    </sheetView>
  </sheetViews>
  <sheetFormatPr baseColWidth="10" defaultRowHeight="11.25"/>
  <cols>
    <col min="1" max="1" width="28" style="2" customWidth="1"/>
    <col min="2" max="2" width="9.42578125" style="2" customWidth="1"/>
    <col min="3" max="3" width="16.28515625" style="2" customWidth="1"/>
    <col min="4" max="4" width="14.5703125" style="2" customWidth="1"/>
    <col min="5" max="5" width="14.28515625" style="2" customWidth="1"/>
    <col min="6" max="7" width="14" style="2" bestFit="1" customWidth="1"/>
    <col min="8" max="8" width="15.140625" style="2" customWidth="1"/>
    <col min="9" max="9" width="14.7109375" style="2" customWidth="1"/>
    <col min="10" max="10" width="15.28515625" style="2" customWidth="1"/>
    <col min="11" max="11" width="18.85546875" style="2" customWidth="1"/>
    <col min="12" max="12" width="12.28515625" style="2" customWidth="1"/>
    <col min="13" max="13" width="6.7109375" style="2" customWidth="1"/>
    <col min="14" max="14" width="9.85546875" style="2" customWidth="1"/>
    <col min="15" max="15" width="16.140625" style="2" customWidth="1"/>
    <col min="16" max="16" width="16.28515625" style="2" customWidth="1"/>
    <col min="17" max="17" width="16.140625" style="2" customWidth="1"/>
    <col min="18" max="16384" width="11.42578125" style="2"/>
  </cols>
  <sheetData>
    <row r="1" spans="1:11" s="3" customFormat="1" ht="18" customHeight="1">
      <c r="A1" s="585" t="s">
        <v>226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</row>
    <row r="2" spans="1:11" s="3" customFormat="1" ht="18.75" customHeight="1" thickBot="1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</row>
    <row r="3" spans="1:11" ht="12" thickBot="1">
      <c r="A3" s="181" t="s">
        <v>119</v>
      </c>
      <c r="B3" s="252"/>
      <c r="C3" s="209"/>
      <c r="D3" s="315" t="s">
        <v>222</v>
      </c>
      <c r="E3" s="251" t="s">
        <v>223</v>
      </c>
      <c r="F3" s="251" t="s">
        <v>83</v>
      </c>
      <c r="G3" s="251" t="s">
        <v>101</v>
      </c>
      <c r="H3" s="251" t="s">
        <v>102</v>
      </c>
      <c r="I3" s="182" t="s">
        <v>320</v>
      </c>
      <c r="J3" s="253" t="s">
        <v>55</v>
      </c>
      <c r="K3" s="253" t="s">
        <v>224</v>
      </c>
    </row>
    <row r="4" spans="1:11" ht="12" thickBot="1">
      <c r="A4" s="322" t="s">
        <v>227</v>
      </c>
      <c r="B4" s="323" t="s">
        <v>221</v>
      </c>
      <c r="C4" s="320" t="s">
        <v>233</v>
      </c>
      <c r="D4" s="182" t="s">
        <v>120</v>
      </c>
      <c r="E4" s="183" t="s">
        <v>120</v>
      </c>
      <c r="F4" s="183" t="s">
        <v>120</v>
      </c>
      <c r="G4" s="183" t="s">
        <v>120</v>
      </c>
      <c r="H4" s="183" t="s">
        <v>120</v>
      </c>
      <c r="I4" s="182" t="s">
        <v>120</v>
      </c>
      <c r="J4" s="253" t="s">
        <v>120</v>
      </c>
      <c r="K4" s="183" t="s">
        <v>225</v>
      </c>
    </row>
    <row r="5" spans="1:11">
      <c r="A5" s="213" t="s">
        <v>228</v>
      </c>
      <c r="B5" s="389">
        <v>10000</v>
      </c>
      <c r="C5" s="579">
        <v>0.25</v>
      </c>
      <c r="D5" s="318">
        <f>+B5*C5</f>
        <v>2500</v>
      </c>
      <c r="E5" s="584">
        <f>+D5*(1+$B$12)</f>
        <v>2625</v>
      </c>
      <c r="F5" s="584">
        <f>+E5*(1+$B$12)</f>
        <v>2756.25</v>
      </c>
      <c r="G5" s="584">
        <f>+F5*(1+$B$12)</f>
        <v>2894.0625</v>
      </c>
      <c r="H5" s="584">
        <f>+G5*(1+$B$12)</f>
        <v>3038.765625</v>
      </c>
      <c r="I5" s="584">
        <f>+H5*(1+$B$12)</f>
        <v>3190.7039062500003</v>
      </c>
      <c r="J5" s="193">
        <f t="shared" ref="J5:J10" si="0">+SUM(D5:I5)</f>
        <v>17004.782031250001</v>
      </c>
      <c r="K5" s="313">
        <f>+J5/$J$11</f>
        <v>0.32247061704695484</v>
      </c>
    </row>
    <row r="6" spans="1:11">
      <c r="A6" s="214" t="s">
        <v>229</v>
      </c>
      <c r="B6" s="213">
        <v>10000</v>
      </c>
      <c r="C6" s="580">
        <v>0.1</v>
      </c>
      <c r="D6" s="316">
        <f>+C6*B6</f>
        <v>1000</v>
      </c>
      <c r="E6" s="211">
        <f t="shared" ref="E6:H8" si="1">+D6*(1+$B$12)</f>
        <v>1050</v>
      </c>
      <c r="F6" s="211">
        <f>+E6*(1+$B$12)</f>
        <v>1102.5</v>
      </c>
      <c r="G6" s="211">
        <f>+F6*(1+$B$12)</f>
        <v>1157.625</v>
      </c>
      <c r="H6" s="211">
        <f>+G6*(1+$B$12)</f>
        <v>1215.5062500000001</v>
      </c>
      <c r="I6" s="211">
        <f>+G6*(1+$B$12)</f>
        <v>1215.5062500000001</v>
      </c>
      <c r="J6" s="193">
        <f t="shared" si="0"/>
        <v>6741.1375000000007</v>
      </c>
      <c r="K6" s="313">
        <f>+J6/$J$11</f>
        <v>0.12783573263265005</v>
      </c>
    </row>
    <row r="7" spans="1:11">
      <c r="A7" s="214" t="s">
        <v>230</v>
      </c>
      <c r="B7" s="213">
        <v>10000</v>
      </c>
      <c r="C7" s="580">
        <v>0.1</v>
      </c>
      <c r="D7" s="316">
        <f>+C7*B7</f>
        <v>1000</v>
      </c>
      <c r="E7" s="211">
        <f t="shared" si="1"/>
        <v>1050</v>
      </c>
      <c r="F7" s="211">
        <f t="shared" si="1"/>
        <v>1102.5</v>
      </c>
      <c r="G7" s="211">
        <f t="shared" si="1"/>
        <v>1157.625</v>
      </c>
      <c r="H7" s="211">
        <f t="shared" si="1"/>
        <v>1215.5062500000001</v>
      </c>
      <c r="I7" s="211">
        <f>+G7*(1+$B$12)</f>
        <v>1215.5062500000001</v>
      </c>
      <c r="J7" s="193">
        <f t="shared" si="0"/>
        <v>6741.1375000000007</v>
      </c>
      <c r="K7" s="313">
        <f>+J7/$J$11</f>
        <v>0.12783573263265005</v>
      </c>
    </row>
    <row r="8" spans="1:11">
      <c r="A8" s="214" t="s">
        <v>231</v>
      </c>
      <c r="B8" s="213">
        <v>10000</v>
      </c>
      <c r="C8" s="580">
        <v>0.15</v>
      </c>
      <c r="D8" s="316">
        <f>+C8*B8</f>
        <v>1500</v>
      </c>
      <c r="E8" s="211">
        <f t="shared" si="1"/>
        <v>1575</v>
      </c>
      <c r="F8" s="211">
        <f t="shared" si="1"/>
        <v>1653.75</v>
      </c>
      <c r="G8" s="211">
        <f t="shared" si="1"/>
        <v>1736.4375</v>
      </c>
      <c r="H8" s="211">
        <f t="shared" si="1"/>
        <v>1823.2593750000001</v>
      </c>
      <c r="I8" s="211">
        <f>+G8*(1+$B$12)</f>
        <v>1823.2593750000001</v>
      </c>
      <c r="J8" s="193">
        <f t="shared" si="0"/>
        <v>10111.706249999999</v>
      </c>
      <c r="K8" s="313">
        <f>+J8/$J$11</f>
        <v>0.19175359894897503</v>
      </c>
    </row>
    <row r="9" spans="1:11">
      <c r="A9" s="214" t="s">
        <v>232</v>
      </c>
      <c r="B9" s="213">
        <v>10000</v>
      </c>
      <c r="C9" s="580">
        <v>0.18</v>
      </c>
      <c r="D9" s="316">
        <f>+C9*B9</f>
        <v>1800</v>
      </c>
      <c r="E9" s="211">
        <f>+D9*(1+$B$12)</f>
        <v>1890</v>
      </c>
      <c r="F9" s="211">
        <f>+E9*(1+$B$12)</f>
        <v>1984.5</v>
      </c>
      <c r="G9" s="211">
        <f>+F9*(1+$B$12)</f>
        <v>2083.7249999999999</v>
      </c>
      <c r="H9" s="211">
        <f>+G9*(1+$B$12)</f>
        <v>2187.9112500000001</v>
      </c>
      <c r="I9" s="211">
        <f>+G9*(1+$B$12)</f>
        <v>2187.9112500000001</v>
      </c>
      <c r="J9" s="193">
        <f t="shared" si="0"/>
        <v>12134.047500000001</v>
      </c>
      <c r="K9" s="313">
        <f>+J9/$J$11</f>
        <v>0.23010431873877005</v>
      </c>
    </row>
    <row r="10" spans="1:11" ht="12" thickBot="1">
      <c r="A10" s="321"/>
      <c r="B10" s="390"/>
      <c r="C10" s="391"/>
      <c r="D10" s="317"/>
      <c r="E10" s="207"/>
      <c r="F10" s="207"/>
      <c r="G10" s="207"/>
      <c r="H10" s="207"/>
      <c r="I10" s="317"/>
      <c r="J10" s="193">
        <f t="shared" si="0"/>
        <v>0</v>
      </c>
      <c r="K10" s="314"/>
    </row>
    <row r="11" spans="1:11" ht="12" thickBot="1">
      <c r="A11" s="254" t="s">
        <v>203</v>
      </c>
      <c r="B11" s="209"/>
      <c r="C11" s="312"/>
      <c r="D11" s="319">
        <f>SUM(D5:D10)</f>
        <v>7800</v>
      </c>
      <c r="E11" s="212">
        <f>SUM(E5:E10)</f>
        <v>8190</v>
      </c>
      <c r="F11" s="212">
        <f>SUM(F5:F10)</f>
        <v>8599.5</v>
      </c>
      <c r="G11" s="212">
        <f>+SUM(G5:G9)</f>
        <v>9029.4750000000004</v>
      </c>
      <c r="H11" s="212">
        <f>+SUM(H5:H9)</f>
        <v>9480.9487499999996</v>
      </c>
      <c r="I11" s="212">
        <f>+SUM(I5:I9)</f>
        <v>9632.8870312500003</v>
      </c>
      <c r="J11" s="212">
        <f>+SUM(J5:J9)</f>
        <v>52732.810781250002</v>
      </c>
      <c r="K11" s="216">
        <f>+SUM(K5:K10)</f>
        <v>1</v>
      </c>
    </row>
    <row r="12" spans="1:11">
      <c r="A12" s="2" t="s">
        <v>432</v>
      </c>
      <c r="B12" s="570">
        <f>'Anexo 6 - Materiales directos'!$B$17</f>
        <v>0.05</v>
      </c>
    </row>
  </sheetData>
  <mergeCells count="1">
    <mergeCell ref="A1:K2"/>
  </mergeCells>
  <printOptions horizontalCentered="1" verticalCentered="1"/>
  <pageMargins left="0.51181102362204722" right="0.19685039370078741" top="0.43307086614173229" bottom="0.6692913385826772" header="0" footer="0"/>
  <pageSetup paperSize="9" scale="85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tabColor theme="8" tint="0.39997558519241921"/>
  </sheetPr>
  <dimension ref="A1:E69"/>
  <sheetViews>
    <sheetView showGridLines="0" topLeftCell="A2" workbookViewId="0">
      <selection activeCell="A33" sqref="A33:D33"/>
    </sheetView>
  </sheetViews>
  <sheetFormatPr baseColWidth="10" defaultRowHeight="11.25"/>
  <cols>
    <col min="1" max="1" width="38.5703125" style="2" customWidth="1"/>
    <col min="2" max="2" width="15.42578125" style="2" bestFit="1" customWidth="1"/>
    <col min="3" max="3" width="11.42578125" style="2"/>
    <col min="4" max="4" width="14.7109375" style="2" customWidth="1"/>
    <col min="5" max="16384" width="11.42578125" style="2"/>
  </cols>
  <sheetData>
    <row r="1" spans="1:4" ht="18.75" customHeight="1">
      <c r="A1" s="590" t="s">
        <v>118</v>
      </c>
      <c r="B1" s="590"/>
      <c r="C1" s="590"/>
      <c r="D1" s="590"/>
    </row>
    <row r="2" spans="1:4" ht="18.75" customHeight="1" thickBot="1">
      <c r="A2" s="591"/>
      <c r="B2" s="591"/>
      <c r="C2" s="591"/>
      <c r="D2" s="591"/>
    </row>
    <row r="3" spans="1:4" ht="13.5" thickBot="1">
      <c r="A3" s="617" t="s">
        <v>8</v>
      </c>
      <c r="B3" s="618"/>
      <c r="C3" s="618"/>
      <c r="D3" s="619"/>
    </row>
    <row r="4" spans="1:4">
      <c r="A4" s="37" t="s">
        <v>0</v>
      </c>
      <c r="B4" s="38" t="s">
        <v>1</v>
      </c>
      <c r="C4" s="38" t="s">
        <v>2</v>
      </c>
      <c r="D4" s="39" t="s">
        <v>3</v>
      </c>
    </row>
    <row r="5" spans="1:4">
      <c r="A5" s="31" t="s">
        <v>4</v>
      </c>
      <c r="B5" s="32">
        <v>550</v>
      </c>
      <c r="C5" s="32">
        <v>2</v>
      </c>
      <c r="D5" s="33">
        <f>B5*C5</f>
        <v>1100</v>
      </c>
    </row>
    <row r="6" spans="1:4">
      <c r="A6" s="28" t="s">
        <v>5</v>
      </c>
      <c r="B6" s="26">
        <v>75</v>
      </c>
      <c r="C6" s="26">
        <v>1</v>
      </c>
      <c r="D6" s="27">
        <f>B6*C6</f>
        <v>75</v>
      </c>
    </row>
    <row r="7" spans="1:4">
      <c r="A7" s="28" t="s">
        <v>196</v>
      </c>
      <c r="B7" s="26">
        <v>35</v>
      </c>
      <c r="C7" s="26">
        <v>1</v>
      </c>
      <c r="D7" s="27">
        <f>B7*C7</f>
        <v>35</v>
      </c>
    </row>
    <row r="8" spans="1:4">
      <c r="A8" s="28" t="s">
        <v>6</v>
      </c>
      <c r="B8" s="26">
        <v>25</v>
      </c>
      <c r="C8" s="26">
        <v>1</v>
      </c>
      <c r="D8" s="27">
        <f>B8*C8</f>
        <v>25</v>
      </c>
    </row>
    <row r="9" spans="1:4">
      <c r="A9" s="28"/>
      <c r="B9" s="26"/>
      <c r="C9" s="26"/>
      <c r="D9" s="27"/>
    </row>
    <row r="10" spans="1:4">
      <c r="A10" s="34" t="s">
        <v>13</v>
      </c>
      <c r="B10" s="35"/>
      <c r="C10" s="35"/>
      <c r="D10" s="36">
        <f>SUM(D5:D9)</f>
        <v>1235</v>
      </c>
    </row>
    <row r="11" spans="1:4">
      <c r="A11" s="28"/>
      <c r="B11" s="26"/>
      <c r="C11" s="26"/>
      <c r="D11" s="27"/>
    </row>
    <row r="12" spans="1:4" ht="13.5" thickBot="1">
      <c r="A12" s="220" t="s">
        <v>117</v>
      </c>
      <c r="B12" s="221"/>
      <c r="C12" s="221"/>
      <c r="D12" s="222"/>
    </row>
    <row r="13" spans="1:4">
      <c r="A13" s="37" t="s">
        <v>0</v>
      </c>
      <c r="B13" s="38" t="s">
        <v>1</v>
      </c>
      <c r="C13" s="38" t="s">
        <v>2</v>
      </c>
      <c r="D13" s="39" t="s">
        <v>3</v>
      </c>
    </row>
    <row r="14" spans="1:4">
      <c r="A14" s="31" t="s">
        <v>117</v>
      </c>
      <c r="B14" s="32">
        <v>6000</v>
      </c>
      <c r="C14" s="32">
        <v>2</v>
      </c>
      <c r="D14" s="33">
        <f>B14*C14</f>
        <v>12000</v>
      </c>
    </row>
    <row r="15" spans="1:4">
      <c r="A15" s="28"/>
      <c r="B15" s="26"/>
      <c r="C15" s="26"/>
      <c r="D15" s="27"/>
    </row>
    <row r="16" spans="1:4">
      <c r="A16" s="34" t="s">
        <v>265</v>
      </c>
      <c r="B16" s="35"/>
      <c r="C16" s="35"/>
      <c r="D16" s="36">
        <f>+D14</f>
        <v>12000</v>
      </c>
    </row>
    <row r="17" spans="1:4">
      <c r="A17" s="28"/>
      <c r="B17" s="26"/>
      <c r="C17" s="26"/>
      <c r="D17" s="27"/>
    </row>
    <row r="18" spans="1:4" ht="13.5" thickBot="1">
      <c r="A18" s="220" t="s">
        <v>268</v>
      </c>
      <c r="B18" s="221"/>
      <c r="C18" s="221"/>
      <c r="D18" s="222"/>
    </row>
    <row r="19" spans="1:4">
      <c r="A19" s="37" t="s">
        <v>0</v>
      </c>
      <c r="B19" s="38" t="s">
        <v>1</v>
      </c>
      <c r="C19" s="38" t="s">
        <v>2</v>
      </c>
      <c r="D19" s="39" t="s">
        <v>3</v>
      </c>
    </row>
    <row r="20" spans="1:4">
      <c r="A20" s="31" t="s">
        <v>287</v>
      </c>
      <c r="B20" s="32">
        <v>15000</v>
      </c>
      <c r="C20" s="32">
        <v>1</v>
      </c>
      <c r="D20" s="33">
        <f>B20*C20</f>
        <v>15000</v>
      </c>
    </row>
    <row r="21" spans="1:4">
      <c r="A21" s="28"/>
      <c r="B21" s="26"/>
      <c r="C21" s="26"/>
      <c r="D21" s="27"/>
    </row>
    <row r="22" spans="1:4">
      <c r="A22" s="34" t="s">
        <v>269</v>
      </c>
      <c r="B22" s="35"/>
      <c r="C22" s="35"/>
      <c r="D22" s="36">
        <f>+D20</f>
        <v>15000</v>
      </c>
    </row>
    <row r="23" spans="1:4" ht="13.5" thickBot="1">
      <c r="A23" s="617" t="s">
        <v>7</v>
      </c>
      <c r="B23" s="618"/>
      <c r="C23" s="618"/>
      <c r="D23" s="619"/>
    </row>
    <row r="24" spans="1:4">
      <c r="A24" s="37" t="s">
        <v>0</v>
      </c>
      <c r="B24" s="38" t="s">
        <v>1</v>
      </c>
      <c r="C24" s="38" t="s">
        <v>2</v>
      </c>
      <c r="D24" s="39" t="s">
        <v>3</v>
      </c>
    </row>
    <row r="25" spans="1:4">
      <c r="A25" s="28" t="s">
        <v>9</v>
      </c>
      <c r="B25" s="26">
        <v>20</v>
      </c>
      <c r="C25" s="26">
        <v>4</v>
      </c>
      <c r="D25" s="27">
        <f>B25*C25</f>
        <v>80</v>
      </c>
    </row>
    <row r="26" spans="1:4">
      <c r="A26" s="28" t="s">
        <v>10</v>
      </c>
      <c r="B26" s="26">
        <v>15</v>
      </c>
      <c r="C26" s="26">
        <v>2</v>
      </c>
      <c r="D26" s="27">
        <f>B26*C26</f>
        <v>30</v>
      </c>
    </row>
    <row r="27" spans="1:4">
      <c r="A27" s="28" t="s">
        <v>197</v>
      </c>
      <c r="B27" s="26">
        <v>80</v>
      </c>
      <c r="C27" s="26">
        <v>2</v>
      </c>
      <c r="D27" s="27">
        <f>B27*C27</f>
        <v>160</v>
      </c>
    </row>
    <row r="28" spans="1:4">
      <c r="A28" s="28" t="s">
        <v>11</v>
      </c>
      <c r="B28" s="26">
        <v>70</v>
      </c>
      <c r="C28" s="26">
        <v>1</v>
      </c>
      <c r="D28" s="27">
        <f>B28*C28</f>
        <v>70</v>
      </c>
    </row>
    <row r="29" spans="1:4">
      <c r="A29" s="28" t="s">
        <v>267</v>
      </c>
      <c r="B29" s="26">
        <v>20</v>
      </c>
      <c r="C29" s="26">
        <v>1</v>
      </c>
      <c r="D29" s="27">
        <f>B29*C29</f>
        <v>20</v>
      </c>
    </row>
    <row r="30" spans="1:4">
      <c r="A30" s="28"/>
      <c r="B30" s="26"/>
      <c r="C30" s="26"/>
      <c r="D30" s="27"/>
    </row>
    <row r="31" spans="1:4">
      <c r="A31" s="34" t="s">
        <v>14</v>
      </c>
      <c r="B31" s="35"/>
      <c r="C31" s="35"/>
      <c r="D31" s="36">
        <f>SUM(D25:D30)</f>
        <v>360</v>
      </c>
    </row>
    <row r="32" spans="1:4">
      <c r="A32" s="28"/>
      <c r="B32" s="26"/>
      <c r="C32" s="26"/>
      <c r="D32" s="27"/>
    </row>
    <row r="33" spans="1:5" ht="13.5" thickBot="1">
      <c r="A33" s="617" t="s">
        <v>12</v>
      </c>
      <c r="B33" s="618"/>
      <c r="C33" s="618"/>
      <c r="D33" s="619"/>
    </row>
    <row r="34" spans="1:5">
      <c r="A34" s="37" t="s">
        <v>0</v>
      </c>
      <c r="B34" s="38" t="s">
        <v>1</v>
      </c>
      <c r="C34" s="38" t="s">
        <v>2</v>
      </c>
      <c r="D34" s="39" t="s">
        <v>3</v>
      </c>
    </row>
    <row r="35" spans="1:5">
      <c r="A35" s="28" t="s">
        <v>123</v>
      </c>
      <c r="B35" s="29">
        <f>+'Anexo 12 - Infraestructura'!E7</f>
        <v>300</v>
      </c>
      <c r="C35" s="26">
        <v>1</v>
      </c>
      <c r="D35" s="27">
        <f t="shared" ref="D35:D42" si="0">B35*C35</f>
        <v>300</v>
      </c>
    </row>
    <row r="36" spans="1:5">
      <c r="A36" s="28" t="s">
        <v>199</v>
      </c>
      <c r="B36" s="27">
        <f>+'Anexo 12 - Infraestructura'!E10</f>
        <v>1980</v>
      </c>
      <c r="C36" s="26">
        <v>1</v>
      </c>
      <c r="D36" s="27">
        <f t="shared" si="0"/>
        <v>1980</v>
      </c>
    </row>
    <row r="37" spans="1:5">
      <c r="A37" s="28" t="s">
        <v>200</v>
      </c>
      <c r="B37" s="27">
        <f>+'Anexo 12 - Infraestructura'!E11</f>
        <v>300</v>
      </c>
      <c r="C37" s="26">
        <v>1</v>
      </c>
      <c r="D37" s="27">
        <f t="shared" si="0"/>
        <v>300</v>
      </c>
    </row>
    <row r="38" spans="1:5">
      <c r="A38" s="28" t="s">
        <v>127</v>
      </c>
      <c r="B38" s="27">
        <f>+'Anexo 12 - Infraestructura'!E12</f>
        <v>375</v>
      </c>
      <c r="C38" s="26">
        <v>1</v>
      </c>
      <c r="D38" s="27">
        <f t="shared" si="0"/>
        <v>375</v>
      </c>
    </row>
    <row r="39" spans="1:5">
      <c r="A39" s="28" t="s">
        <v>201</v>
      </c>
      <c r="B39" s="27">
        <f>+'Anexo 12 - Infraestructura'!E8</f>
        <v>750</v>
      </c>
      <c r="C39" s="26">
        <v>1</v>
      </c>
      <c r="D39" s="27">
        <f t="shared" si="0"/>
        <v>750</v>
      </c>
    </row>
    <row r="40" spans="1:5">
      <c r="A40" s="28" t="s">
        <v>113</v>
      </c>
      <c r="B40" s="27">
        <f>+'Anexo 12 - Infraestructura'!E6</f>
        <v>5600</v>
      </c>
      <c r="C40" s="26">
        <v>1</v>
      </c>
      <c r="D40" s="27">
        <f t="shared" si="0"/>
        <v>5600</v>
      </c>
    </row>
    <row r="41" spans="1:5">
      <c r="A41" s="30" t="s">
        <v>198</v>
      </c>
      <c r="B41" s="27">
        <f>+'Anexo 12 - Infraestructura'!E5</f>
        <v>16800</v>
      </c>
      <c r="C41" s="26">
        <v>1</v>
      </c>
      <c r="D41" s="27">
        <f t="shared" si="0"/>
        <v>16800</v>
      </c>
    </row>
    <row r="42" spans="1:5">
      <c r="A42" s="28" t="s">
        <v>114</v>
      </c>
      <c r="B42" s="27">
        <f>+'Anexo 12 - Infraestructura'!E9</f>
        <v>750</v>
      </c>
      <c r="C42" s="26">
        <v>1</v>
      </c>
      <c r="D42" s="27">
        <f t="shared" si="0"/>
        <v>750</v>
      </c>
    </row>
    <row r="43" spans="1:5">
      <c r="A43" s="34" t="s">
        <v>15</v>
      </c>
      <c r="B43" s="35"/>
      <c r="C43" s="35"/>
      <c r="D43" s="36">
        <f>SUM(D35:D42)</f>
        <v>26855</v>
      </c>
    </row>
    <row r="44" spans="1:5">
      <c r="A44" s="28"/>
      <c r="B44" s="26"/>
      <c r="C44" s="26"/>
      <c r="D44" s="27"/>
    </row>
    <row r="45" spans="1:5" ht="13.5" thickBot="1">
      <c r="A45" s="617" t="s">
        <v>16</v>
      </c>
      <c r="B45" s="618"/>
      <c r="C45" s="618"/>
      <c r="D45" s="619"/>
    </row>
    <row r="46" spans="1:5">
      <c r="A46" s="37" t="s">
        <v>0</v>
      </c>
      <c r="B46" s="38" t="s">
        <v>1</v>
      </c>
      <c r="C46" s="38" t="s">
        <v>2</v>
      </c>
      <c r="D46" s="39" t="s">
        <v>3</v>
      </c>
    </row>
    <row r="47" spans="1:5">
      <c r="A47" s="30" t="s">
        <v>288</v>
      </c>
      <c r="B47" s="26">
        <v>1000</v>
      </c>
      <c r="C47" s="26">
        <v>1</v>
      </c>
      <c r="D47" s="27">
        <f t="shared" ref="D47:D62" si="1">B47*C47</f>
        <v>1000</v>
      </c>
    </row>
    <row r="48" spans="1:5">
      <c r="A48" s="30" t="s">
        <v>289</v>
      </c>
      <c r="B48" s="26">
        <v>70</v>
      </c>
      <c r="C48" s="26">
        <v>2</v>
      </c>
      <c r="D48" s="27">
        <f t="shared" si="1"/>
        <v>140</v>
      </c>
      <c r="E48" s="23"/>
    </row>
    <row r="49" spans="1:4">
      <c r="A49" s="30" t="s">
        <v>190</v>
      </c>
      <c r="B49" s="26">
        <v>25</v>
      </c>
      <c r="C49" s="26">
        <v>6</v>
      </c>
      <c r="D49" s="27">
        <f t="shared" si="1"/>
        <v>150</v>
      </c>
    </row>
    <row r="50" spans="1:4">
      <c r="A50" s="30" t="s">
        <v>133</v>
      </c>
      <c r="B50" s="26">
        <v>4</v>
      </c>
      <c r="C50" s="26">
        <v>4</v>
      </c>
      <c r="D50" s="27">
        <f t="shared" si="1"/>
        <v>16</v>
      </c>
    </row>
    <row r="51" spans="1:4">
      <c r="A51" s="30" t="s">
        <v>134</v>
      </c>
      <c r="B51" s="26">
        <v>8</v>
      </c>
      <c r="C51" s="26">
        <v>3</v>
      </c>
      <c r="D51" s="27">
        <f t="shared" si="1"/>
        <v>24</v>
      </c>
    </row>
    <row r="52" spans="1:4">
      <c r="A52" s="30" t="s">
        <v>135</v>
      </c>
      <c r="B52" s="26">
        <v>12</v>
      </c>
      <c r="C52" s="26">
        <v>4</v>
      </c>
      <c r="D52" s="27">
        <f t="shared" si="1"/>
        <v>48</v>
      </c>
    </row>
    <row r="53" spans="1:4">
      <c r="A53" s="30" t="s">
        <v>191</v>
      </c>
      <c r="B53" s="26">
        <v>20</v>
      </c>
      <c r="C53" s="26">
        <v>4</v>
      </c>
      <c r="D53" s="27">
        <f t="shared" si="1"/>
        <v>80</v>
      </c>
    </row>
    <row r="54" spans="1:4">
      <c r="A54" s="30" t="s">
        <v>136</v>
      </c>
      <c r="B54" s="26">
        <v>1</v>
      </c>
      <c r="C54" s="26">
        <v>5</v>
      </c>
      <c r="D54" s="27">
        <f t="shared" si="1"/>
        <v>5</v>
      </c>
    </row>
    <row r="55" spans="1:4">
      <c r="A55" s="30" t="s">
        <v>137</v>
      </c>
      <c r="B55" s="26">
        <v>18</v>
      </c>
      <c r="C55" s="26">
        <v>1</v>
      </c>
      <c r="D55" s="27">
        <f t="shared" si="1"/>
        <v>18</v>
      </c>
    </row>
    <row r="56" spans="1:4">
      <c r="A56" s="30" t="s">
        <v>138</v>
      </c>
      <c r="B56" s="26">
        <v>3</v>
      </c>
      <c r="C56" s="26">
        <v>100</v>
      </c>
      <c r="D56" s="27">
        <f t="shared" si="1"/>
        <v>300</v>
      </c>
    </row>
    <row r="57" spans="1:4">
      <c r="A57" s="30" t="s">
        <v>139</v>
      </c>
      <c r="B57" s="26">
        <v>95</v>
      </c>
      <c r="C57" s="26">
        <v>1</v>
      </c>
      <c r="D57" s="27">
        <f t="shared" si="1"/>
        <v>95</v>
      </c>
    </row>
    <row r="58" spans="1:4">
      <c r="A58" s="30" t="s">
        <v>192</v>
      </c>
      <c r="B58" s="26">
        <v>3000</v>
      </c>
      <c r="C58" s="26">
        <v>1</v>
      </c>
      <c r="D58" s="27">
        <f t="shared" si="1"/>
        <v>3000</v>
      </c>
    </row>
    <row r="59" spans="1:4">
      <c r="A59" s="30" t="s">
        <v>193</v>
      </c>
      <c r="B59" s="26">
        <v>150</v>
      </c>
      <c r="C59" s="26">
        <v>1</v>
      </c>
      <c r="D59" s="27">
        <f t="shared" si="1"/>
        <v>150</v>
      </c>
    </row>
    <row r="60" spans="1:4">
      <c r="A60" s="30" t="s">
        <v>194</v>
      </c>
      <c r="B60" s="26">
        <v>100</v>
      </c>
      <c r="C60" s="26">
        <v>1</v>
      </c>
      <c r="D60" s="27">
        <f t="shared" si="1"/>
        <v>100</v>
      </c>
    </row>
    <row r="61" spans="1:4">
      <c r="A61" s="30" t="s">
        <v>266</v>
      </c>
      <c r="B61" s="26">
        <v>1500</v>
      </c>
      <c r="C61" s="26">
        <v>1</v>
      </c>
      <c r="D61" s="27">
        <f t="shared" si="1"/>
        <v>1500</v>
      </c>
    </row>
    <row r="62" spans="1:4">
      <c r="A62" s="30" t="s">
        <v>195</v>
      </c>
      <c r="B62" s="26">
        <v>5</v>
      </c>
      <c r="C62" s="26">
        <v>6</v>
      </c>
      <c r="D62" s="27">
        <f t="shared" si="1"/>
        <v>30</v>
      </c>
    </row>
    <row r="63" spans="1:4">
      <c r="A63" s="30"/>
      <c r="B63" s="26"/>
      <c r="C63" s="26"/>
      <c r="D63" s="27"/>
    </row>
    <row r="64" spans="1:4">
      <c r="A64" s="34" t="s">
        <v>17</v>
      </c>
      <c r="B64" s="35"/>
      <c r="C64" s="35"/>
      <c r="D64" s="36">
        <f>SUM(D47:D63)</f>
        <v>6656</v>
      </c>
    </row>
    <row r="65" spans="1:4" s="162" customFormat="1">
      <c r="A65" s="159" t="s">
        <v>115</v>
      </c>
      <c r="B65" s="160"/>
      <c r="C65" s="160"/>
      <c r="D65" s="161">
        <f>+D31+D43+D64+D16+D10+D22</f>
        <v>62106</v>
      </c>
    </row>
    <row r="66" spans="1:4" s="162" customFormat="1">
      <c r="A66" s="159" t="s">
        <v>116</v>
      </c>
      <c r="B66" s="160"/>
      <c r="C66" s="160"/>
      <c r="D66" s="161">
        <f>+D65*2%</f>
        <v>1242.1200000000001</v>
      </c>
    </row>
    <row r="67" spans="1:4" ht="12" thickBot="1">
      <c r="A67" s="40"/>
      <c r="B67" s="41"/>
      <c r="C67" s="41"/>
      <c r="D67" s="42"/>
    </row>
    <row r="68" spans="1:4" ht="13.5" thickBot="1">
      <c r="A68" s="43" t="s">
        <v>18</v>
      </c>
      <c r="B68" s="44"/>
      <c r="C68" s="44"/>
      <c r="D68" s="45">
        <f>+D65+D66</f>
        <v>63348.12</v>
      </c>
    </row>
    <row r="69" spans="1:4">
      <c r="A69" s="24"/>
      <c r="B69" s="5"/>
      <c r="C69" s="5"/>
      <c r="D69" s="25"/>
    </row>
  </sheetData>
  <mergeCells count="5">
    <mergeCell ref="A3:D3"/>
    <mergeCell ref="A23:D23"/>
    <mergeCell ref="A33:D33"/>
    <mergeCell ref="A45:D45"/>
    <mergeCell ref="A1:D2"/>
  </mergeCells>
  <phoneticPr fontId="0" type="noConversion"/>
  <printOptions horizontalCentered="1" verticalCentered="1"/>
  <pageMargins left="0.51181102362204722" right="0.19685039370078741" top="0.43307086614173229" bottom="0.6692913385826772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Anexo 1 - Flujo de caja</vt:lpstr>
      <vt:lpstr>Anexo 2 - Horas jornaleros</vt:lpstr>
      <vt:lpstr>Anexo 3 - Mano de Obra</vt:lpstr>
      <vt:lpstr>Anexo 4 - Capital de trabajo</vt:lpstr>
      <vt:lpstr>Anexo 5 - Presup de Ingresos</vt:lpstr>
      <vt:lpstr>Anexo 6 - Materiales directos</vt:lpstr>
      <vt:lpstr>Anexo 7 - Materiales indirecto</vt:lpstr>
      <vt:lpstr>Anexo 8 - Activos Fijos</vt:lpstr>
      <vt:lpstr>Anexo 9 - Depreciación</vt:lpstr>
      <vt:lpstr>Anexo 10 - Suminis. y serv.</vt:lpstr>
      <vt:lpstr>Anexo11 - Amortización Prestamo</vt:lpstr>
      <vt:lpstr>Anexo 12 - Infraestructura</vt:lpstr>
      <vt:lpstr>Anexo 13 -  Inversion Inicial</vt:lpstr>
      <vt:lpstr>Anexo 14 - Capital Propio</vt:lpstr>
      <vt:lpstr>Anexo 15 - Alquiler</vt:lpstr>
      <vt:lpstr>Anexo 16 - Estrateg. Publicidad</vt:lpstr>
      <vt:lpstr>Anexo 17 - Otros Gastos</vt:lpstr>
      <vt:lpstr>Anexo 18 - Presupuesto Personal</vt:lpstr>
      <vt:lpstr>'Anexo 17 - Otros Gastos'!Área_de_impresión</vt:lpstr>
      <vt:lpstr>'Anexo 5 - Presup de Ingresos'!Área_de_impresión</vt:lpstr>
    </vt:vector>
  </TitlesOfParts>
  <Company>Pacifictel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Gym</dc:title>
  <dc:subject>Tesis de Grado</dc:subject>
  <dc:creator>Vicenta Macias</dc:creator>
  <dc:description>Se prohibe la copia total o parcial de este trabajo. Derechos reservados a su autores. 2007</dc:description>
  <cp:lastModifiedBy>silgivar</cp:lastModifiedBy>
  <cp:lastPrinted>2010-04-15T19:43:58Z</cp:lastPrinted>
  <dcterms:created xsi:type="dcterms:W3CDTF">2007-06-18T21:00:55Z</dcterms:created>
  <dcterms:modified xsi:type="dcterms:W3CDTF">2010-06-21T15:57:33Z</dcterms:modified>
</cp:coreProperties>
</file>