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95" windowHeight="10740" firstSheet="7" activeTab="8"/>
  </bookViews>
  <sheets>
    <sheet name="DEMANDA" sheetId="1" r:id="rId1"/>
    <sheet name="INVERSION INICIAL" sheetId="2" r:id="rId2"/>
    <sheet name="INGRESOS" sheetId="3" r:id="rId3"/>
    <sheet name="CAPITAL DE TRABAJO" sheetId="4" r:id="rId4"/>
    <sheet name="COSTOS OPERACIONALES" sheetId="5" r:id="rId5"/>
    <sheet name="COSTOS NO OPERACIONALES" sheetId="6" r:id="rId6"/>
    <sheet name="DEPRECIACIONES" sheetId="7" r:id="rId7"/>
    <sheet name="ESTADO DE PERDIDAS Y GANANCIAS" sheetId="8" r:id="rId8"/>
    <sheet name="FLUJO DE CAJA" sheetId="9" r:id="rId9"/>
    <sheet name="PRESTAMO" sheetId="10" r:id="rId10"/>
    <sheet name="VALOR DE DESECHO" sheetId="11" r:id="rId11"/>
    <sheet name="TMAR" sheetId="12" r:id="rId12"/>
    <sheet name="PAYBACK" sheetId="13" r:id="rId13"/>
  </sheets>
  <definedNames/>
  <calcPr fullCalcOnLoad="1"/>
</workbook>
</file>

<file path=xl/sharedStrings.xml><?xml version="1.0" encoding="utf-8"?>
<sst xmlns="http://schemas.openxmlformats.org/spreadsheetml/2006/main" count="725" uniqueCount="516">
  <si>
    <t>COSTOS PARQUE ACUATICO 2.5 HECTAREAS</t>
  </si>
  <si>
    <t>CONCEPTO</t>
  </si>
  <si>
    <t>UNIDAD</t>
  </si>
  <si>
    <t>CANT</t>
  </si>
  <si>
    <t>PRECIOS UNIT USD</t>
  </si>
  <si>
    <t>MONTO</t>
  </si>
  <si>
    <t>TOTAL USD</t>
  </si>
  <si>
    <t>REJA PERIMETRAL</t>
  </si>
  <si>
    <t>REJA DE ACERO (h= 2.50 m)</t>
  </si>
  <si>
    <t>ml</t>
  </si>
  <si>
    <t>DALA DE DESPLANTE</t>
  </si>
  <si>
    <t>ESTACIONAMIENTO</t>
  </si>
  <si>
    <t>GRAVA</t>
  </si>
  <si>
    <t>m2</t>
  </si>
  <si>
    <t>ACARREO Y MANO DE OBRA</t>
  </si>
  <si>
    <t>TOPES DE 0.50 X 0.50 X 0.15</t>
  </si>
  <si>
    <t>INGRESO</t>
  </si>
  <si>
    <t>TAQUILLAS</t>
  </si>
  <si>
    <t>3 LOCALES</t>
  </si>
  <si>
    <t>EDIFICIO MANTENIMIENTO</t>
  </si>
  <si>
    <t>LOCALES</t>
  </si>
  <si>
    <t>RESTAURANT</t>
  </si>
  <si>
    <t>TERRAZA RESTAURANT EQUIPADO</t>
  </si>
  <si>
    <t>BAÑOS Y VESTIDORES</t>
  </si>
  <si>
    <t>BAÑOS Y VESTIDORES H Y M</t>
  </si>
  <si>
    <t>PISCINA SOCIAL</t>
  </si>
  <si>
    <t>EQUIPO DE BOMBAS Y FILTROS</t>
  </si>
  <si>
    <t xml:space="preserve"> lote</t>
  </si>
  <si>
    <t>INSTALACIÓN HIDRAULICA</t>
  </si>
  <si>
    <t>INSTALACIÓN ELECTRICA</t>
  </si>
  <si>
    <t>pza</t>
  </si>
  <si>
    <t>ÁREA INFANTIL 1</t>
  </si>
  <si>
    <t>FIBRA DE VIDRIO</t>
  </si>
  <si>
    <t>INSTALACIÓN</t>
  </si>
  <si>
    <t>CONCRETO EN LOSA</t>
  </si>
  <si>
    <t>ESCALERAS Y PLATAFORMAS</t>
  </si>
  <si>
    <t>INSTALACIÓN BOMBAS</t>
  </si>
  <si>
    <t>ÁREA INFANTIL 2</t>
  </si>
  <si>
    <t>RIO LENTO</t>
  </si>
  <si>
    <t>OBRA CIVIL RIO</t>
  </si>
  <si>
    <t>EQUIPO DE BOMBEO DE 20HP</t>
  </si>
  <si>
    <t>EQUIPO DE FILTROS</t>
  </si>
  <si>
    <t>lote</t>
  </si>
  <si>
    <t>TOBOGANES</t>
  </si>
  <si>
    <t>ACERO EN PLATAFORMA</t>
  </si>
  <si>
    <t>ACERO EN SOPORTERIA</t>
  </si>
  <si>
    <t>INSTALACIÓN DE ESTRUCTURAS</t>
  </si>
  <si>
    <t>CIMENTACIÓN EN ESTRUCTURAS</t>
  </si>
  <si>
    <t>PISCINAS DE LLEGADA</t>
  </si>
  <si>
    <t>INSTALACIÓN ELÉCTRICA</t>
  </si>
  <si>
    <t>INSTALACIÓN BOMBA</t>
  </si>
  <si>
    <t>AQUARACER 4 CARRILES</t>
  </si>
  <si>
    <t>kgs.</t>
  </si>
  <si>
    <t>ACERO EN SOPORTERÍA</t>
  </si>
  <si>
    <t>EQUIPO DE BOMBAS</t>
  </si>
  <si>
    <t>INSTALACIÓN DE BOMBAS</t>
  </si>
  <si>
    <t>OBRA CIVIL PISCINA</t>
  </si>
  <si>
    <t>INSTALACIÓN HIDRÁULICA</t>
  </si>
  <si>
    <t>AREAS VERDES</t>
  </si>
  <si>
    <t>JARDIN</t>
  </si>
  <si>
    <t>ARBOLES</t>
  </si>
  <si>
    <t>pza.</t>
  </si>
  <si>
    <t>ANDADORES</t>
  </si>
  <si>
    <t>CONCRETO ESTAMPADO</t>
  </si>
  <si>
    <t>OTROS</t>
  </si>
  <si>
    <t>HIDRAULICO</t>
  </si>
  <si>
    <t>PROYECTO CONSTRUCTIVO</t>
  </si>
  <si>
    <t>T O T A L  USD</t>
  </si>
  <si>
    <t>OFICINAS</t>
  </si>
  <si>
    <t>ENFERMERIA</t>
  </si>
  <si>
    <t>SERVICIO DE ENFERMERIA</t>
  </si>
  <si>
    <t>PISCINA GRANDE</t>
  </si>
  <si>
    <t>OBRA FÍSICA</t>
  </si>
  <si>
    <t>reconformación del terreno</t>
  </si>
  <si>
    <t>relleno y compactado</t>
  </si>
  <si>
    <t>asfaltado</t>
  </si>
  <si>
    <t>canales de drenaje</t>
  </si>
  <si>
    <t>LUMINARIAS</t>
  </si>
  <si>
    <t>costo (juego de 4)</t>
  </si>
  <si>
    <t>numero</t>
  </si>
  <si>
    <t>CESPED SINTETICO (+IVA)</t>
  </si>
  <si>
    <t>cantidad (metros)</t>
  </si>
  <si>
    <t>precio/mt2</t>
  </si>
  <si>
    <t>COMPUTADORAS</t>
  </si>
  <si>
    <t xml:space="preserve">cantidad  </t>
  </si>
  <si>
    <t>costo</t>
  </si>
  <si>
    <t>MUEBLES Y ENSERES</t>
  </si>
  <si>
    <t>PUBLICIDAD</t>
  </si>
  <si>
    <t>cantidad</t>
  </si>
  <si>
    <t>GASTOS DE INSTALACIÓN</t>
  </si>
  <si>
    <t>GASTOS DE CONSTITUCIÓN</t>
  </si>
  <si>
    <t>TOTAL</t>
  </si>
  <si>
    <t>COSTOS CANCHA SINTETICA</t>
  </si>
  <si>
    <t>CAJAS REGISTRADORAS</t>
  </si>
  <si>
    <t>EQUIPO DE COCINA</t>
  </si>
  <si>
    <t>TERRENO</t>
  </si>
  <si>
    <t>7 Escritorios</t>
  </si>
  <si>
    <t>6 Sillones</t>
  </si>
  <si>
    <t>6 Archivadores</t>
  </si>
  <si>
    <t>10 Sillas</t>
  </si>
  <si>
    <t>TERRENO, OFICINA Y RESTAURANTE</t>
  </si>
  <si>
    <t>AIRES ACONDICIONADOS</t>
  </si>
  <si>
    <t>INVERSION INICIAL TOTAL</t>
  </si>
  <si>
    <t>PARQUE ACUATICO</t>
  </si>
  <si>
    <t>CANCHA SINTETICA</t>
  </si>
  <si>
    <t>Toboganes</t>
  </si>
  <si>
    <t>Aquaracer</t>
  </si>
  <si>
    <t>Área Infantil 1</t>
  </si>
  <si>
    <t>Área Infantil 2</t>
  </si>
  <si>
    <t>Equipo de Bombas</t>
  </si>
  <si>
    <t>Césped sintético</t>
  </si>
  <si>
    <t>Equipo de Computación</t>
  </si>
  <si>
    <t>Muebles y Enseres</t>
  </si>
  <si>
    <t>Aires Acondicionados</t>
  </si>
  <si>
    <t>Equipo de Cocina</t>
  </si>
  <si>
    <t>DEPRECIACIONES</t>
  </si>
  <si>
    <t>COSTOS OPERACIONALES</t>
  </si>
  <si>
    <t>Agua para piscinas</t>
  </si>
  <si>
    <t>cantidad m3</t>
  </si>
  <si>
    <t>Energía Eléctrica</t>
  </si>
  <si>
    <t>MENSUAL</t>
  </si>
  <si>
    <t>ANUAL</t>
  </si>
  <si>
    <t>cambios al año</t>
  </si>
  <si>
    <t>Mantenimiento</t>
  </si>
  <si>
    <t>Piscinas</t>
  </si>
  <si>
    <t>veces al año</t>
  </si>
  <si>
    <t>Juegos Infantiles</t>
  </si>
  <si>
    <t>Cancha sintética</t>
  </si>
  <si>
    <t>COSTOS NO OPERACIONALES</t>
  </si>
  <si>
    <t>Teléfono</t>
  </si>
  <si>
    <t>Publicidad</t>
  </si>
  <si>
    <t>Gastos Administrativos</t>
  </si>
  <si>
    <t>Sueldo Gerente</t>
  </si>
  <si>
    <t>Servicios Básicos</t>
  </si>
  <si>
    <t>Sueldo Jefe Financiero</t>
  </si>
  <si>
    <t>Sueldo Jefe de Mantenimiento</t>
  </si>
  <si>
    <t>Sueldo Jefe de Marketing</t>
  </si>
  <si>
    <t>Sueldo Jefe de Personal</t>
  </si>
  <si>
    <t>Cajeros</t>
  </si>
  <si>
    <t>sueldo</t>
  </si>
  <si>
    <t>numero de personas</t>
  </si>
  <si>
    <t>Asistente de Mantenimiento</t>
  </si>
  <si>
    <t>Personal de Asistencia</t>
  </si>
  <si>
    <t>número de personas</t>
  </si>
  <si>
    <t>Personal de Cocina</t>
  </si>
  <si>
    <t>Personal de Limpieza</t>
  </si>
  <si>
    <t>Salvavidas</t>
  </si>
  <si>
    <t>Enfermera</t>
  </si>
  <si>
    <t>Seguridad</t>
  </si>
  <si>
    <t>Servicio de Internet</t>
  </si>
  <si>
    <t>Suministros de Oficina</t>
  </si>
  <si>
    <t>Agua</t>
  </si>
  <si>
    <t>Insumos de Limpieza</t>
  </si>
  <si>
    <t>CAPITAL DE TRABAJO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</si>
  <si>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</si>
  <si>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</si>
  <si>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</si>
  <si>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</si>
  <si>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</si>
  <si>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</si>
  <si>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</si>
  <si>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</si>
  <si>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</si>
  <si>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</si>
  <si>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</si>
  <si>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</si>
  <si>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MENSUAL</t>
  </si>
  <si>
    <t>COSTO ACUMULADO</t>
  </si>
  <si>
    <t>INGRESO MENSUAL</t>
  </si>
  <si>
    <t>Inversión &amp; CT</t>
  </si>
  <si>
    <t>Capital propio</t>
  </si>
  <si>
    <t>Capital prestado</t>
  </si>
  <si>
    <t>Años</t>
  </si>
  <si>
    <t>GASTOS FINANCIEROS</t>
  </si>
  <si>
    <t>PRESTAMO</t>
  </si>
  <si>
    <t>NPER</t>
  </si>
  <si>
    <t>PAGO</t>
  </si>
  <si>
    <t>INTERES</t>
  </si>
  <si>
    <t>SALDO FINAL</t>
  </si>
  <si>
    <t>AMORTIZACION</t>
  </si>
  <si>
    <t>AÑOS</t>
  </si>
  <si>
    <t>INGRESOS</t>
  </si>
  <si>
    <t>COSTOS</t>
  </si>
  <si>
    <t>UTILIDAD NETA</t>
  </si>
  <si>
    <t>Parque acuático</t>
  </si>
  <si>
    <t>Canchas sintéticas</t>
  </si>
  <si>
    <t>Restaurante</t>
  </si>
  <si>
    <t>Costos Operacionales</t>
  </si>
  <si>
    <t>Costos no Operacionales</t>
  </si>
  <si>
    <t>Gastos Financieros</t>
  </si>
  <si>
    <t>Depreciación</t>
  </si>
  <si>
    <t>Capital de Trabajo</t>
  </si>
  <si>
    <t>Amortización</t>
  </si>
  <si>
    <t>Préstamo</t>
  </si>
  <si>
    <t>Inversión Inicial</t>
  </si>
  <si>
    <t>Utilidad antes de Impuestos</t>
  </si>
  <si>
    <t>Utilidad a Trabajadores (15%)</t>
  </si>
  <si>
    <t>Utilidad despues de Participación a Empleados</t>
  </si>
  <si>
    <t>Impuesto a la Renta (25%)</t>
  </si>
  <si>
    <t>FLUJO DE EFECTIVO NETO</t>
  </si>
  <si>
    <t>FLUJO DE EFECTIVO</t>
  </si>
  <si>
    <t>costo (costo*3.5%)</t>
  </si>
  <si>
    <t>PLANTA DE TRATAMIENTO DE AGUAS</t>
  </si>
  <si>
    <t>% de aceptación</t>
  </si>
  <si>
    <t>Población objetivo</t>
  </si>
  <si>
    <t>Factor conservador</t>
  </si>
  <si>
    <t>DETERMINACION DE LA DEMANDA PARQUE ACUATICO</t>
  </si>
  <si>
    <t>DEMANDA</t>
  </si>
  <si>
    <t>FRECUENCIA MENSUAL</t>
  </si>
  <si>
    <t>DEMANDA MENSUAL</t>
  </si>
  <si>
    <t>PRECIO</t>
  </si>
  <si>
    <t>INGRESO ANUAL</t>
  </si>
  <si>
    <t xml:space="preserve">INCREMENTO </t>
  </si>
  <si>
    <t>% Población media, media-alta</t>
  </si>
  <si>
    <t>% Población alta</t>
  </si>
  <si>
    <t>PRECIO NIÑOS</t>
  </si>
  <si>
    <t>PRECIO ADULTOS</t>
  </si>
  <si>
    <t>% NIÑOS</t>
  </si>
  <si>
    <t>% ADULTOS</t>
  </si>
  <si>
    <t>Clientes TEMPORADA ALTA</t>
  </si>
  <si>
    <t>Clientes TEMPORADA BAJA</t>
  </si>
  <si>
    <t>TOTAL CLIENTES AÑO</t>
  </si>
  <si>
    <t xml:space="preserve">Temporada Alta (Enero – Abril) </t>
  </si>
  <si>
    <t>Temporada Baja (Mayo – Diciembre)</t>
  </si>
  <si>
    <t>Infraestructura</t>
  </si>
  <si>
    <t>Población neta</t>
  </si>
  <si>
    <t>Turistas al año</t>
  </si>
  <si>
    <t xml:space="preserve">Habitantes de Playas </t>
  </si>
  <si>
    <t>% personas 15-50 años</t>
  </si>
  <si>
    <t># personas por equipo</t>
  </si>
  <si>
    <t>Factor Conservador</t>
  </si>
  <si>
    <t>DEMANDA POR GRUPOS</t>
  </si>
  <si>
    <t>DETERMINACION DE LA DEMANDA DE SERVICIO DE RESTAURANTE</t>
  </si>
  <si>
    <t>Arroz con Pescado Frito</t>
  </si>
  <si>
    <t>Ceviches</t>
  </si>
  <si>
    <t>Arroz Marinero</t>
  </si>
  <si>
    <t xml:space="preserve">Cazuela </t>
  </si>
  <si>
    <t>Arroz, menestra y (pollo o carne) a la plancha</t>
  </si>
  <si>
    <t>Valor Promedio por plato</t>
  </si>
  <si>
    <t>Menú</t>
  </si>
  <si>
    <t>Bebidas</t>
  </si>
  <si>
    <t>Costo de Bebidas</t>
  </si>
  <si>
    <t>Porcentaje</t>
  </si>
  <si>
    <t xml:space="preserve">Preferencias </t>
  </si>
  <si>
    <t>INGRESO MENSUAL COMIDA</t>
  </si>
  <si>
    <t>INGRESO MENSUAL BEBIDAS</t>
  </si>
  <si>
    <t>INGRESO ANUAL RESTAURANTE</t>
  </si>
  <si>
    <t>Precio de Venta</t>
  </si>
  <si>
    <t>Costo Promedio</t>
  </si>
  <si>
    <t>Ganancia</t>
  </si>
  <si>
    <t>Costo promedio por plato</t>
  </si>
  <si>
    <t># platos</t>
  </si>
  <si>
    <t>costo de bebidas</t>
  </si>
  <si>
    <t># bebidas</t>
  </si>
  <si>
    <t>Tasa anual</t>
  </si>
  <si>
    <t>Activo</t>
  </si>
  <si>
    <t>Valor de Compra</t>
  </si>
  <si>
    <t>Depreciación Anual</t>
  </si>
  <si>
    <t>Depreciación Acumulada</t>
  </si>
  <si>
    <t>Valor en Libros</t>
  </si>
  <si>
    <t>VALOR DE DESECHO DEL PROYECTO</t>
  </si>
  <si>
    <t>VALOR DE DESECHO</t>
  </si>
  <si>
    <t>Valor de desecho del proyecto</t>
  </si>
  <si>
    <t>Detalle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</si>
  <si>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</si>
  <si>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</si>
  <si>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</si>
  <si>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</si>
  <si>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</si>
  <si>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</si>
  <si>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</si>
  <si>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</si>
  <si>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</si>
  <si>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</si>
  <si>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ESTADO DE PERDIDAS Y GANANCIAS</t>
  </si>
  <si>
    <t>Ingresos</t>
  </si>
  <si>
    <t>Costos</t>
  </si>
  <si>
    <t>Agua para Piscinas</t>
  </si>
  <si>
    <t>Mantenimiento de Piscinas</t>
  </si>
  <si>
    <t>Mantenimiento de Toboganes</t>
  </si>
  <si>
    <t>Mantenimiento de Juegos Infantiles</t>
  </si>
  <si>
    <t>Mantenimiento de Cancha Sintética</t>
  </si>
  <si>
    <t>Costos de venta de restaurante</t>
  </si>
  <si>
    <t>Gastos de Servicios Básicos</t>
  </si>
  <si>
    <t>Gastos de Insumos de Limpieza</t>
  </si>
  <si>
    <t>Gastos de Publicidad</t>
  </si>
  <si>
    <t>Depreciación de Toboganes</t>
  </si>
  <si>
    <t>Depreciación de Aquaracer</t>
  </si>
  <si>
    <t>Depreciación de Área Infantil 1</t>
  </si>
  <si>
    <t>Depreciación de Área Infantil 2</t>
  </si>
  <si>
    <t>Depreciación de Equipo de Bombas</t>
  </si>
  <si>
    <t>Depreciación de Césped sintético</t>
  </si>
  <si>
    <t>Depreciación de Equipo de Computación</t>
  </si>
  <si>
    <t>Depreciación de Muebles y Enseres</t>
  </si>
  <si>
    <t>Depreciación de Aires Acondicionados</t>
  </si>
  <si>
    <t>Depreciación de Equipo de Cocina</t>
  </si>
  <si>
    <t>Depreciación de Infraestructura</t>
  </si>
  <si>
    <t>Utilidad antes de Beneficios a Trabajadores</t>
  </si>
  <si>
    <t>15% de Utilidad a Empleados</t>
  </si>
  <si>
    <t>Utilidad antes de Impuesto a la Renta</t>
  </si>
  <si>
    <t>25% de Impuesto a la Renta</t>
  </si>
  <si>
    <t>Utilidad Neta</t>
  </si>
  <si>
    <t>-</t>
  </si>
  <si>
    <t>PAYBACK</t>
  </si>
  <si>
    <t>Activos Fijos</t>
  </si>
  <si>
    <t>Activos Diferidos</t>
  </si>
  <si>
    <t>Total Inversión Inicial</t>
  </si>
  <si>
    <t>Monto</t>
  </si>
  <si>
    <t>INVERSION INICIAL</t>
  </si>
  <si>
    <t xml:space="preserve">Publicidad </t>
  </si>
  <si>
    <t>Cuadro No. 5.1 Inversión Inicial</t>
  </si>
  <si>
    <t>Elaborado por: los autores</t>
  </si>
  <si>
    <t>INVERSION INICIAL ACTIVOS FIJOS</t>
  </si>
  <si>
    <t>Terreno</t>
  </si>
  <si>
    <t>Parque Acuático</t>
  </si>
  <si>
    <t>Cancha Sintética</t>
  </si>
  <si>
    <t>Muebles de Restaurante</t>
  </si>
  <si>
    <t>Depreciación de Muebles de Restaurante</t>
  </si>
  <si>
    <t>MUEBLES DE RESTAURANTE</t>
  </si>
  <si>
    <t>Total Inversión Inicial en Activos Fijos</t>
  </si>
  <si>
    <t>Cuadro No. 5.2 Inversión Inicial en Activos Fijos</t>
  </si>
  <si>
    <t>FINANCIAMIENTO</t>
  </si>
  <si>
    <t>Interés Anual</t>
  </si>
  <si>
    <t>10 años</t>
  </si>
  <si>
    <t>Plazo</t>
  </si>
  <si>
    <t>TOTAL INGRESOS</t>
  </si>
  <si>
    <t>DETERMINACION DE LA DEMANDA CANCHA SINTETICA</t>
  </si>
  <si>
    <t>Agua para las piscinas</t>
  </si>
  <si>
    <t>Valor Anual</t>
  </si>
  <si>
    <t>Mantenimiento de piscinas</t>
  </si>
  <si>
    <t>Mantenimiento de toboganes</t>
  </si>
  <si>
    <t>Mantenimiento de juegos infantiles</t>
  </si>
  <si>
    <t>Mantenimiento de cancha sintética</t>
  </si>
  <si>
    <t>Costos de Restaurante</t>
  </si>
  <si>
    <t>Total Costos Operacionales</t>
  </si>
  <si>
    <t>Gastos en Insumos de Limpieza</t>
  </si>
  <si>
    <t>Total Costos no Operacionales</t>
  </si>
  <si>
    <t>Sueldo Cajeros (2)</t>
  </si>
  <si>
    <t>Sueldo Asistente de Mantenimiento</t>
  </si>
  <si>
    <t>Sueldo Personal de Limpieza (3)</t>
  </si>
  <si>
    <t>Sueldo Personal de Asistencia (3)</t>
  </si>
  <si>
    <t>Sueldo Personal de Cocina (3)</t>
  </si>
  <si>
    <t>Sueldo Salvavidas (3)</t>
  </si>
  <si>
    <t>Sueldo Enfermera</t>
  </si>
  <si>
    <t>Sueldo Seguridad (2)</t>
  </si>
  <si>
    <t>Total Gastos Administrativos</t>
  </si>
  <si>
    <t>GASTOS ADMINISTRATIVOS</t>
  </si>
  <si>
    <t>Total Depreciaciones</t>
  </si>
  <si>
    <t>Vida Util</t>
  </si>
  <si>
    <t>Años Depreciados</t>
  </si>
  <si>
    <t>Costo</t>
  </si>
  <si>
    <t>Descripción</t>
  </si>
  <si>
    <t>Industry Name</t>
  </si>
  <si>
    <t>Number of Firms</t>
  </si>
  <si>
    <t>Average Beta</t>
  </si>
  <si>
    <t>Market D/E Ratio</t>
  </si>
  <si>
    <t>Tax Rate</t>
  </si>
  <si>
    <t>Unlevered Beta</t>
  </si>
  <si>
    <t>Cash/Firm Value</t>
  </si>
  <si>
    <t>Unlevered Beta corrected for cash</t>
  </si>
  <si>
    <t>Advertising</t>
  </si>
  <si>
    <t>Aerospace/Defense</t>
  </si>
  <si>
    <t>Air Transport</t>
  </si>
  <si>
    <t>Apparel</t>
  </si>
  <si>
    <t>Auto &amp; Truck</t>
  </si>
  <si>
    <t>Auto Parts</t>
  </si>
  <si>
    <t>Bank</t>
  </si>
  <si>
    <t>Bank (Canadian)</t>
  </si>
  <si>
    <t>Bank (Midwest)</t>
  </si>
  <si>
    <t>Beverage</t>
  </si>
  <si>
    <t>Biotechnology</t>
  </si>
  <si>
    <t>Building Materials</t>
  </si>
  <si>
    <t>Cable TV</t>
  </si>
  <si>
    <t>Canadian Energy</t>
  </si>
  <si>
    <t>Chemical (Basic)</t>
  </si>
  <si>
    <t>Chemical (Diversified)</t>
  </si>
  <si>
    <t>Chemical (Specialty)</t>
  </si>
  <si>
    <t>Coal</t>
  </si>
  <si>
    <t>Computer Software/Svcs</t>
  </si>
  <si>
    <t>Computers/Peripherals</t>
  </si>
  <si>
    <t>Diversified Co.</t>
  </si>
  <si>
    <t>Drug</t>
  </si>
  <si>
    <t>E-Commerce</t>
  </si>
  <si>
    <t>Educational Services</t>
  </si>
  <si>
    <t>Electric Util. (Central)</t>
  </si>
  <si>
    <t>Electric Utility (East)</t>
  </si>
  <si>
    <t>Electric Utility (West)</t>
  </si>
  <si>
    <t>Electrical Equipment</t>
  </si>
  <si>
    <t>Electronics</t>
  </si>
  <si>
    <t>Entertainment</t>
  </si>
  <si>
    <t>Entertainment Tech</t>
  </si>
  <si>
    <t>Environmental</t>
  </si>
  <si>
    <t>Financial Svcs. (Div.)</t>
  </si>
  <si>
    <t>Food Processing</t>
  </si>
  <si>
    <t>Foreign Electronics</t>
  </si>
  <si>
    <t>Funeral Services</t>
  </si>
  <si>
    <t>Furn/Home Furnishings</t>
  </si>
  <si>
    <t>Healthcare Information</t>
  </si>
  <si>
    <t>Heavy Construction</t>
  </si>
  <si>
    <t>Homebuilding</t>
  </si>
  <si>
    <t>Hotel/Gaming</t>
  </si>
  <si>
    <t>Household Products</t>
  </si>
  <si>
    <t>Human Resources</t>
  </si>
  <si>
    <t>Industrial Services</t>
  </si>
  <si>
    <t>Information Services</t>
  </si>
  <si>
    <t>Insurance (Life)</t>
  </si>
  <si>
    <t>Insurance (Prop/Cas.)</t>
  </si>
  <si>
    <t>Internet</t>
  </si>
  <si>
    <t>Investment Co.</t>
  </si>
  <si>
    <t>Investment Co.(Foreign)</t>
  </si>
  <si>
    <t>Machinery</t>
  </si>
  <si>
    <t>Manuf. Housing/RV</t>
  </si>
  <si>
    <t>Maritime</t>
  </si>
  <si>
    <t>Medical Services</t>
  </si>
  <si>
    <t>Medical Supplies</t>
  </si>
  <si>
    <t>Metal Fabricating</t>
  </si>
  <si>
    <t>Metals &amp; Mining (Div.)</t>
  </si>
  <si>
    <t>Natural Gas (Div.)</t>
  </si>
  <si>
    <t>Natural Gas Utility</t>
  </si>
  <si>
    <t>Newspaper</t>
  </si>
  <si>
    <t>Office Equip/Supplies</t>
  </si>
  <si>
    <t>Oil/Gas Distribution</t>
  </si>
  <si>
    <t>Oilfield Svcs/Equip.</t>
  </si>
  <si>
    <t>Packaging &amp; Container</t>
  </si>
  <si>
    <t>Paper/Forest Products</t>
  </si>
  <si>
    <t>Petroleum (Integrated)</t>
  </si>
  <si>
    <t>Petroleum (Producing)</t>
  </si>
  <si>
    <t>Pharmacy Services</t>
  </si>
  <si>
    <t>Power</t>
  </si>
  <si>
    <t>Precious Metals</t>
  </si>
  <si>
    <t>Precision Instrument</t>
  </si>
  <si>
    <t>Property Management</t>
  </si>
  <si>
    <t>Public/Private Equity</t>
  </si>
  <si>
    <t>Publishing</t>
  </si>
  <si>
    <t>R.E.I.T.</t>
  </si>
  <si>
    <t>Railroad</t>
  </si>
  <si>
    <t>Recreation</t>
  </si>
  <si>
    <t>Reinsurance</t>
  </si>
  <si>
    <t>Restaurant</t>
  </si>
  <si>
    <t>Retail (Special Lines)</t>
  </si>
  <si>
    <t>Retail Automotive</t>
  </si>
  <si>
    <t>Retail Building Supply</t>
  </si>
  <si>
    <t>Retail Store</t>
  </si>
  <si>
    <t>Retail/Wholesale Food</t>
  </si>
  <si>
    <t>Securities Brokerage</t>
  </si>
  <si>
    <t>Semiconductor</t>
  </si>
  <si>
    <t>Semiconductor Equip</t>
  </si>
  <si>
    <t>Shoe</t>
  </si>
  <si>
    <t>Steel (General)</t>
  </si>
  <si>
    <t>Steel (Integrated)</t>
  </si>
  <si>
    <t>Telecom. Equipment</t>
  </si>
  <si>
    <t>Telecom. Services</t>
  </si>
  <si>
    <t>Thrift</t>
  </si>
  <si>
    <t>Tobacco</t>
  </si>
  <si>
    <t>Toiletries/Cosmetics</t>
  </si>
  <si>
    <t>Trucking</t>
  </si>
  <si>
    <t>Utility (Foreign)</t>
  </si>
  <si>
    <t>Water Utility</t>
  </si>
  <si>
    <t>Wireless Networking</t>
  </si>
  <si>
    <t>Total Market</t>
  </si>
  <si>
    <t>Fuentes:</t>
  </si>
  <si>
    <t>http://pages.stern.nyu.edu/~adamodar/New_Home_Page/datafile/Betas.html</t>
  </si>
  <si>
    <t>http://www.ingdirect.es/html/planes/sp500/planes_sp500.asp?seccion=3&amp;subseccion=3&amp;opcion1=1&amp;Association=3&amp;SelectPlan=8</t>
  </si>
  <si>
    <t>http://www.bce.fin.ec/resumen_ticker.php?ticker_value=riesgo_pais</t>
  </si>
  <si>
    <t>http://finance.yahoo.com/</t>
  </si>
  <si>
    <t xml:space="preserve">Donde </t>
  </si>
  <si>
    <t xml:space="preserve">Ke: </t>
  </si>
  <si>
    <t>Tasa de costo de capital (TMAR)</t>
  </si>
  <si>
    <t xml:space="preserve">Rf: </t>
  </si>
  <si>
    <t>Tasa libre de riesgo</t>
  </si>
  <si>
    <t xml:space="preserve">Rm: </t>
  </si>
  <si>
    <t>Retorno del mercado</t>
  </si>
  <si>
    <t xml:space="preserve">β: </t>
  </si>
  <si>
    <t>Riesgo sistemático</t>
  </si>
  <si>
    <t xml:space="preserve">(Rm-Rf): </t>
  </si>
  <si>
    <t>Prima por riesgo</t>
  </si>
  <si>
    <t xml:space="preserve">Rf </t>
  </si>
  <si>
    <t>VAN</t>
  </si>
  <si>
    <t>TIR</t>
  </si>
  <si>
    <t>TMAR</t>
  </si>
  <si>
    <t>Tasa de Descuento</t>
  </si>
  <si>
    <t>Cuadro No. 5.9 Tasa de Descuento-Método CAPM</t>
  </si>
  <si>
    <t xml:space="preserve">Rm </t>
  </si>
  <si>
    <t xml:space="preserve">B </t>
  </si>
  <si>
    <t>(Rm - Rf)</t>
  </si>
  <si>
    <t xml:space="preserve">CAPM        </t>
  </si>
  <si>
    <t xml:space="preserve">Riesgo pais </t>
  </si>
  <si>
    <t>Recuperación de Inversión</t>
  </si>
  <si>
    <t>Rentabilidad Exigida</t>
  </si>
  <si>
    <t>Flujo de Caja</t>
  </si>
  <si>
    <t>Saldo Inversión</t>
  </si>
  <si>
    <t>Periodo (años)</t>
  </si>
  <si>
    <t>Payback</t>
  </si>
  <si>
    <t>% captación de mercado</t>
  </si>
  <si>
    <t>Proyección de % Captación de Mercado</t>
  </si>
  <si>
    <t>Periodo</t>
  </si>
  <si>
    <t>Demanda Anual de Servicios</t>
  </si>
  <si>
    <t>Restaurante (comida)</t>
  </si>
  <si>
    <t>Restaurante (bebidas)</t>
  </si>
  <si>
    <t>Costo Operacional</t>
  </si>
  <si>
    <t>Costo Operacional (sin restaurante)</t>
  </si>
  <si>
    <t>Costo Operacional (con restaurante)</t>
  </si>
  <si>
    <t>Cuadro No. 5.3 Financiamiento</t>
  </si>
  <si>
    <t>Cuadro No. 5.4 Amortización del Préstamo</t>
  </si>
  <si>
    <t>Cuadro No. 5.5 Costos Operacionales</t>
  </si>
  <si>
    <t>Cuadro No. 5.7 Gastos Administrativos</t>
  </si>
  <si>
    <t>Cuadro No. 5.6 Costos no Operacionales</t>
  </si>
  <si>
    <t>Cuadro No. 5.8 Tabla de Depreciación de Equipos y Mobiliarios</t>
  </si>
  <si>
    <t>Cuadro No. 5.9 Valor de Desecho del Proyecto</t>
  </si>
  <si>
    <t>Cuadro No. 5.11 Periodo de Recuperación</t>
  </si>
  <si>
    <t>Cerramiento de malla metálica</t>
  </si>
  <si>
    <t>Instalaciones eléctricas</t>
  </si>
  <si>
    <t>Construcción de baños y vestidores</t>
  </si>
  <si>
    <t>Arcos y graderios</t>
  </si>
  <si>
    <t>Valor</t>
  </si>
  <si>
    <t>Demanda Mensual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</si>
</sst>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[$$-300A]\ 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"/>
    <numFmt numFmtId="172" formatCode="0.000"/>
    <numFmt numFmtId="173" formatCode="0.0%"/>
    <numFmt numFmtId="174" formatCode="0.0"/>
    <numFmt numFmtId="175" formatCode="0.00000"/>
    <numFmt numFmtId="176" formatCode="0.000000"/>
    <numFmt numFmtId="177" formatCode="[$$-300A]\ #,##0.0"/>
    <numFmt numFmtId="178" formatCode="[$$-300A]\ #,##0.00;[Red][$$-300A]\ \-#,##0.00"/>
    <numFmt numFmtId="179" formatCode="0.000%"/>
    <numFmt numFmtId="180" formatCode="0.0000%"/>
    <numFmt numFmtId="181" formatCode="0.00000%"/>
  </numFmts>
  <fonts count="33">
    <font>
      <sz val="10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Candara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color indexed="62"/>
      <name val="Calibri"/>
      <family val="2"/>
    </font>
    <font>
      <b/>
      <i/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name val="Calibri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22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Font="1" applyBorder="1" applyAlignment="1">
      <alignment vertical="top" wrapText="1"/>
    </xf>
    <xf numFmtId="3" fontId="0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3" fontId="0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9" fontId="0" fillId="0" borderId="5" xfId="22" applyNumberFormat="1" applyBorder="1" applyAlignment="1">
      <alignment/>
    </xf>
    <xf numFmtId="9" fontId="0" fillId="0" borderId="5" xfId="22" applyNumberFormat="1" applyFont="1" applyBorder="1" applyAlignment="1">
      <alignment/>
    </xf>
    <xf numFmtId="166" fontId="0" fillId="0" borderId="0" xfId="0" applyNumberFormat="1" applyFill="1" applyBorder="1" applyAlignment="1">
      <alignment horizontal="right"/>
    </xf>
    <xf numFmtId="166" fontId="7" fillId="0" borderId="0" xfId="0" applyNumberFormat="1" applyFont="1" applyAlignment="1">
      <alignment horizontal="center"/>
    </xf>
    <xf numFmtId="8" fontId="0" fillId="0" borderId="0" xfId="0" applyNumberFormat="1" applyAlignment="1">
      <alignment/>
    </xf>
    <xf numFmtId="178" fontId="0" fillId="0" borderId="0" xfId="0" applyNumberFormat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166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/>
    </xf>
    <xf numFmtId="166" fontId="0" fillId="0" borderId="5" xfId="0" applyNumberFormat="1" applyBorder="1" applyAlignment="1">
      <alignment horizontal="right"/>
    </xf>
    <xf numFmtId="0" fontId="12" fillId="0" borderId="6" xfId="0" applyFont="1" applyBorder="1" applyAlignment="1">
      <alignment wrapText="1"/>
    </xf>
    <xf numFmtId="9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0" fontId="10" fillId="0" borderId="5" xfId="0" applyFont="1" applyBorder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178" fontId="10" fillId="0" borderId="5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center"/>
    </xf>
    <xf numFmtId="10" fontId="21" fillId="0" borderId="8" xfId="0" applyNumberFormat="1" applyFont="1" applyBorder="1" applyAlignment="1">
      <alignment horizontal="center"/>
    </xf>
    <xf numFmtId="10" fontId="20" fillId="0" borderId="8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10" fontId="21" fillId="0" borderId="5" xfId="0" applyNumberFormat="1" applyFont="1" applyBorder="1" applyAlignment="1">
      <alignment horizontal="center"/>
    </xf>
    <xf numFmtId="10" fontId="20" fillId="0" borderId="5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/>
    </xf>
    <xf numFmtId="10" fontId="21" fillId="0" borderId="5" xfId="0" applyNumberFormat="1" applyFont="1" applyFill="1" applyBorder="1" applyAlignment="1">
      <alignment horizontal="center"/>
    </xf>
    <xf numFmtId="10" fontId="20" fillId="0" borderId="5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10" fontId="21" fillId="0" borderId="13" xfId="0" applyNumberFormat="1" applyFont="1" applyBorder="1" applyAlignment="1">
      <alignment horizontal="center"/>
    </xf>
    <xf numFmtId="10" fontId="20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0" fontId="0" fillId="0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0" fontId="27" fillId="0" borderId="5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3" fillId="0" borderId="5" xfId="0" applyFont="1" applyFill="1" applyBorder="1" applyAlignment="1">
      <alignment horizontal="left"/>
    </xf>
    <xf numFmtId="9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78" fontId="0" fillId="0" borderId="5" xfId="0" applyNumberFormat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8" fontId="0" fillId="0" borderId="0" xfId="0" applyNumberForma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0" fillId="0" borderId="5" xfId="22" applyFont="1" applyFill="1" applyBorder="1" applyAlignment="1">
      <alignment horizontal="center"/>
    </xf>
    <xf numFmtId="9" fontId="0" fillId="0" borderId="5" xfId="22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178" fontId="0" fillId="0" borderId="5" xfId="0" applyNumberFormat="1" applyFill="1" applyBorder="1" applyAlignment="1">
      <alignment/>
    </xf>
    <xf numFmtId="0" fontId="9" fillId="0" borderId="5" xfId="0" applyFont="1" applyBorder="1" applyAlignment="1">
      <alignment horizontal="center"/>
    </xf>
    <xf numFmtId="0" fontId="2" fillId="2" borderId="5" xfId="0" applyFont="1" applyFill="1" applyBorder="1" applyAlignment="1">
      <alignment/>
    </xf>
    <xf numFmtId="166" fontId="2" fillId="2" borderId="5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2" fillId="2" borderId="5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27" fillId="2" borderId="5" xfId="0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0" fontId="0" fillId="2" borderId="5" xfId="0" applyFill="1" applyBorder="1" applyAlignment="1">
      <alignment horizontal="center"/>
    </xf>
    <xf numFmtId="178" fontId="0" fillId="2" borderId="5" xfId="0" applyNumberFormat="1" applyFill="1" applyBorder="1" applyAlignment="1">
      <alignment/>
    </xf>
    <xf numFmtId="43" fontId="5" fillId="0" borderId="5" xfId="18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28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28" fillId="0" borderId="5" xfId="0" applyFont="1" applyFill="1" applyBorder="1" applyAlignment="1">
      <alignment/>
    </xf>
    <xf numFmtId="0" fontId="28" fillId="0" borderId="5" xfId="0" applyFont="1" applyFill="1" applyBorder="1" applyAlignment="1">
      <alignment/>
    </xf>
    <xf numFmtId="43" fontId="5" fillId="0" borderId="5" xfId="18" applyFont="1" applyFill="1" applyBorder="1" applyAlignment="1">
      <alignment/>
    </xf>
    <xf numFmtId="165" fontId="5" fillId="0" borderId="5" xfId="18" applyNumberFormat="1" applyFont="1" applyFill="1" applyBorder="1" applyAlignment="1">
      <alignment horizontal="center"/>
    </xf>
    <xf numFmtId="165" fontId="5" fillId="0" borderId="5" xfId="18" applyNumberFormat="1" applyFont="1" applyFill="1" applyBorder="1" applyAlignment="1">
      <alignment/>
    </xf>
    <xf numFmtId="165" fontId="5" fillId="0" borderId="5" xfId="0" applyNumberFormat="1" applyFont="1" applyFill="1" applyBorder="1" applyAlignment="1">
      <alignment/>
    </xf>
    <xf numFmtId="164" fontId="5" fillId="0" borderId="5" xfId="18" applyNumberFormat="1" applyFont="1" applyFill="1" applyBorder="1" applyAlignment="1">
      <alignment/>
    </xf>
    <xf numFmtId="165" fontId="28" fillId="0" borderId="5" xfId="0" applyNumberFormat="1" applyFont="1" applyFill="1" applyBorder="1" applyAlignment="1">
      <alignment/>
    </xf>
    <xf numFmtId="165" fontId="5" fillId="0" borderId="5" xfId="18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43" fontId="5" fillId="0" borderId="5" xfId="18" applyFont="1" applyFill="1" applyBorder="1" applyAlignment="1">
      <alignment horizontal="center"/>
    </xf>
    <xf numFmtId="165" fontId="5" fillId="0" borderId="5" xfId="18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/>
    </xf>
    <xf numFmtId="165" fontId="5" fillId="0" borderId="5" xfId="18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/>
    </xf>
    <xf numFmtId="0" fontId="28" fillId="2" borderId="5" xfId="0" applyFont="1" applyFill="1" applyBorder="1" applyAlignment="1">
      <alignment horizontal="center"/>
    </xf>
    <xf numFmtId="165" fontId="28" fillId="2" borderId="5" xfId="0" applyNumberFormat="1" applyFont="1" applyFill="1" applyBorder="1" applyAlignment="1">
      <alignment horizontal="center"/>
    </xf>
    <xf numFmtId="165" fontId="28" fillId="2" borderId="5" xfId="0" applyNumberFormat="1" applyFont="1" applyFill="1" applyBorder="1" applyAlignment="1">
      <alignment/>
    </xf>
    <xf numFmtId="166" fontId="5" fillId="0" borderId="5" xfId="0" applyNumberFormat="1" applyFont="1" applyBorder="1" applyAlignment="1">
      <alignment/>
    </xf>
    <xf numFmtId="166" fontId="28" fillId="2" borderId="5" xfId="0" applyNumberFormat="1" applyFont="1" applyFill="1" applyBorder="1" applyAlignment="1">
      <alignment/>
    </xf>
    <xf numFmtId="0" fontId="29" fillId="0" borderId="5" xfId="0" applyFont="1" applyFill="1" applyBorder="1" applyAlignment="1">
      <alignment/>
    </xf>
    <xf numFmtId="0" fontId="30" fillId="0" borderId="5" xfId="0" applyFont="1" applyBorder="1" applyAlignment="1">
      <alignment/>
    </xf>
    <xf numFmtId="43" fontId="30" fillId="0" borderId="5" xfId="18" applyFont="1" applyBorder="1" applyAlignment="1">
      <alignment horizontal="center"/>
    </xf>
    <xf numFmtId="165" fontId="30" fillId="0" borderId="5" xfId="18" applyNumberFormat="1" applyFont="1" applyBorder="1" applyAlignment="1">
      <alignment horizontal="center"/>
    </xf>
    <xf numFmtId="165" fontId="30" fillId="0" borderId="5" xfId="18" applyNumberFormat="1" applyFont="1" applyBorder="1" applyAlignment="1">
      <alignment/>
    </xf>
    <xf numFmtId="165" fontId="30" fillId="0" borderId="5" xfId="0" applyNumberFormat="1" applyFont="1" applyBorder="1" applyAlignment="1">
      <alignment/>
    </xf>
    <xf numFmtId="165" fontId="29" fillId="0" borderId="5" xfId="0" applyNumberFormat="1" applyFont="1" applyBorder="1" applyAlignment="1">
      <alignment/>
    </xf>
    <xf numFmtId="166" fontId="30" fillId="0" borderId="5" xfId="0" applyNumberFormat="1" applyFont="1" applyBorder="1" applyAlignment="1">
      <alignment/>
    </xf>
    <xf numFmtId="0" fontId="29" fillId="0" borderId="5" xfId="0" applyFont="1" applyFill="1" applyBorder="1" applyAlignment="1">
      <alignment/>
    </xf>
    <xf numFmtId="43" fontId="30" fillId="0" borderId="5" xfId="18" applyFont="1" applyFill="1" applyBorder="1" applyAlignment="1">
      <alignment/>
    </xf>
    <xf numFmtId="165" fontId="30" fillId="0" borderId="5" xfId="18" applyNumberFormat="1" applyFont="1" applyFill="1" applyBorder="1" applyAlignment="1">
      <alignment horizontal="center"/>
    </xf>
    <xf numFmtId="165" fontId="30" fillId="0" borderId="5" xfId="18" applyNumberFormat="1" applyFont="1" applyFill="1" applyBorder="1" applyAlignment="1">
      <alignment/>
    </xf>
    <xf numFmtId="165" fontId="30" fillId="0" borderId="5" xfId="0" applyNumberFormat="1" applyFont="1" applyFill="1" applyBorder="1" applyAlignment="1">
      <alignment/>
    </xf>
    <xf numFmtId="0" fontId="30" fillId="0" borderId="5" xfId="0" applyFont="1" applyFill="1" applyBorder="1" applyAlignment="1">
      <alignment/>
    </xf>
    <xf numFmtId="43" fontId="30" fillId="0" borderId="5" xfId="18" applyFont="1" applyFill="1" applyBorder="1" applyAlignment="1">
      <alignment horizontal="center"/>
    </xf>
    <xf numFmtId="164" fontId="30" fillId="0" borderId="5" xfId="18" applyNumberFormat="1" applyFont="1" applyFill="1" applyBorder="1" applyAlignment="1">
      <alignment/>
    </xf>
    <xf numFmtId="165" fontId="29" fillId="0" borderId="5" xfId="0" applyNumberFormat="1" applyFont="1" applyFill="1" applyBorder="1" applyAlignment="1">
      <alignment/>
    </xf>
    <xf numFmtId="0" fontId="29" fillId="0" borderId="5" xfId="0" applyFont="1" applyFill="1" applyBorder="1" applyAlignment="1">
      <alignment horizontal="center"/>
    </xf>
    <xf numFmtId="165" fontId="29" fillId="0" borderId="5" xfId="0" applyNumberFormat="1" applyFont="1" applyFill="1" applyBorder="1" applyAlignment="1">
      <alignment horizontal="center"/>
    </xf>
    <xf numFmtId="165" fontId="30" fillId="0" borderId="5" xfId="18" applyNumberFormat="1" applyFont="1" applyFill="1" applyBorder="1" applyAlignment="1">
      <alignment/>
    </xf>
    <xf numFmtId="164" fontId="30" fillId="0" borderId="5" xfId="0" applyNumberFormat="1" applyFont="1" applyFill="1" applyBorder="1" applyAlignment="1">
      <alignment/>
    </xf>
    <xf numFmtId="0" fontId="30" fillId="0" borderId="5" xfId="0" applyFont="1" applyFill="1" applyBorder="1" applyAlignment="1">
      <alignment/>
    </xf>
    <xf numFmtId="43" fontId="30" fillId="0" borderId="5" xfId="18" applyFont="1" applyFill="1" applyBorder="1" applyAlignment="1">
      <alignment horizontal="center"/>
    </xf>
    <xf numFmtId="165" fontId="30" fillId="0" borderId="5" xfId="18" applyNumberFormat="1" applyFont="1" applyFill="1" applyBorder="1" applyAlignment="1">
      <alignment horizontal="center"/>
    </xf>
    <xf numFmtId="165" fontId="3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66" fontId="2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/>
    </xf>
    <xf numFmtId="166" fontId="10" fillId="2" borderId="5" xfId="0" applyNumberFormat="1" applyFont="1" applyFill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9" fontId="10" fillId="0" borderId="5" xfId="0" applyNumberFormat="1" applyFont="1" applyBorder="1" applyAlignment="1">
      <alignment horizontal="center"/>
    </xf>
    <xf numFmtId="166" fontId="10" fillId="0" borderId="5" xfId="0" applyNumberFormat="1" applyFont="1" applyBorder="1" applyAlignment="1">
      <alignment/>
    </xf>
    <xf numFmtId="0" fontId="9" fillId="2" borderId="5" xfId="0" applyFont="1" applyFill="1" applyBorder="1" applyAlignment="1">
      <alignment/>
    </xf>
    <xf numFmtId="166" fontId="9" fillId="2" borderId="5" xfId="0" applyNumberFormat="1" applyFont="1" applyFill="1" applyBorder="1" applyAlignment="1">
      <alignment/>
    </xf>
    <xf numFmtId="1" fontId="0" fillId="0" borderId="5" xfId="22" applyNumberFormat="1" applyBorder="1" applyAlignment="1">
      <alignment/>
    </xf>
    <xf numFmtId="9" fontId="0" fillId="0" borderId="5" xfId="22" applyBorder="1" applyAlignment="1">
      <alignment/>
    </xf>
    <xf numFmtId="173" fontId="0" fillId="0" borderId="5" xfId="22" applyNumberFormat="1" applyFont="1" applyBorder="1" applyAlignment="1">
      <alignment horizontal="right"/>
    </xf>
    <xf numFmtId="1" fontId="0" fillId="0" borderId="5" xfId="0" applyNumberFormat="1" applyBorder="1" applyAlignment="1">
      <alignment/>
    </xf>
    <xf numFmtId="1" fontId="0" fillId="0" borderId="5" xfId="22" applyNumberFormat="1" applyFont="1" applyBorder="1" applyAlignment="1">
      <alignment/>
    </xf>
    <xf numFmtId="9" fontId="0" fillId="0" borderId="5" xfId="22" applyBorder="1" applyAlignment="1">
      <alignment horizontal="right"/>
    </xf>
    <xf numFmtId="166" fontId="2" fillId="2" borderId="5" xfId="0" applyNumberFormat="1" applyFont="1" applyFill="1" applyBorder="1" applyAlignment="1">
      <alignment horizontal="center"/>
    </xf>
    <xf numFmtId="0" fontId="10" fillId="0" borderId="5" xfId="15" applyNumberFormat="1" applyFont="1" applyBorder="1" applyAlignment="1">
      <alignment/>
    </xf>
    <xf numFmtId="0" fontId="9" fillId="0" borderId="5" xfId="0" applyFont="1" applyBorder="1" applyAlignment="1">
      <alignment/>
    </xf>
    <xf numFmtId="1" fontId="10" fillId="0" borderId="5" xfId="0" applyNumberFormat="1" applyFont="1" applyBorder="1" applyAlignment="1">
      <alignment/>
    </xf>
    <xf numFmtId="166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/>
    </xf>
    <xf numFmtId="166" fontId="10" fillId="0" borderId="5" xfId="0" applyNumberFormat="1" applyFont="1" applyBorder="1" applyAlignment="1">
      <alignment/>
    </xf>
    <xf numFmtId="166" fontId="9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28" fillId="0" borderId="5" xfId="0" applyFont="1" applyBorder="1" applyAlignment="1">
      <alignment horizontal="center"/>
    </xf>
    <xf numFmtId="166" fontId="5" fillId="0" borderId="5" xfId="0" applyNumberFormat="1" applyFont="1" applyBorder="1" applyAlignment="1">
      <alignment/>
    </xf>
    <xf numFmtId="166" fontId="28" fillId="0" borderId="5" xfId="0" applyNumberFormat="1" applyFont="1" applyBorder="1" applyAlignment="1">
      <alignment/>
    </xf>
    <xf numFmtId="0" fontId="20" fillId="2" borderId="15" xfId="0" applyFont="1" applyFill="1" applyBorder="1" applyAlignment="1">
      <alignment horizontal="left" wrapText="1" shrinkToFit="1"/>
    </xf>
    <xf numFmtId="0" fontId="20" fillId="2" borderId="16" xfId="0" applyFont="1" applyFill="1" applyBorder="1" applyAlignment="1">
      <alignment horizontal="center" wrapText="1" shrinkToFit="1"/>
    </xf>
    <xf numFmtId="0" fontId="20" fillId="2" borderId="17" xfId="0" applyFont="1" applyFill="1" applyBorder="1" applyAlignment="1">
      <alignment horizontal="center" wrapText="1" shrinkToFit="1"/>
    </xf>
    <xf numFmtId="0" fontId="21" fillId="2" borderId="8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left"/>
    </xf>
    <xf numFmtId="10" fontId="21" fillId="2" borderId="5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left"/>
    </xf>
    <xf numFmtId="10" fontId="22" fillId="2" borderId="16" xfId="0" applyNumberFormat="1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left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32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38</xdr:row>
      <xdr:rowOff>0</xdr:rowOff>
    </xdr:from>
    <xdr:to>
      <xdr:col>7</xdr:col>
      <xdr:colOff>762000</xdr:colOff>
      <xdr:row>54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372225"/>
          <a:ext cx="35909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25</xdr:row>
      <xdr:rowOff>104775</xdr:rowOff>
    </xdr:from>
    <xdr:to>
      <xdr:col>5</xdr:col>
      <xdr:colOff>38100</xdr:colOff>
      <xdr:row>39</xdr:row>
      <xdr:rowOff>114300</xdr:rowOff>
    </xdr:to>
    <xdr:pic>
      <xdr:nvPicPr>
        <xdr:cNvPr id="1" name="5 Imagen" descr="riesgo pais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895850"/>
          <a:ext cx="37528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42</xdr:row>
      <xdr:rowOff>28575</xdr:rowOff>
    </xdr:from>
    <xdr:to>
      <xdr:col>4</xdr:col>
      <xdr:colOff>257175</xdr:colOff>
      <xdr:row>59</xdr:row>
      <xdr:rowOff>66675</xdr:rowOff>
    </xdr:to>
    <xdr:pic>
      <xdr:nvPicPr>
        <xdr:cNvPr id="2" name="7 Imagen" descr="syear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7572375"/>
          <a:ext cx="26098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4"/>
  <sheetViews>
    <sheetView workbookViewId="0" topLeftCell="A1">
      <selection activeCell="D61" sqref="D61"/>
    </sheetView>
  </sheetViews>
  <sheetFormatPr defaultColWidth="11.421875" defaultRowHeight="12.75"/>
  <cols>
    <col min="2" max="2" width="30.7109375" style="0" customWidth="1"/>
    <col min="3" max="3" width="27.421875" style="0" customWidth="1"/>
    <col min="4" max="4" width="20.421875" style="0" bestFit="1" customWidth="1"/>
    <col min="5" max="5" width="20.8515625" style="0" bestFit="1" customWidth="1"/>
    <col min="6" max="6" width="30.57421875" style="0" customWidth="1"/>
    <col min="7" max="7" width="17.421875" style="0" customWidth="1"/>
    <col min="8" max="8" width="12.8515625" style="0" customWidth="1"/>
    <col min="9" max="9" width="13.140625" style="0" customWidth="1"/>
    <col min="10" max="10" width="13.7109375" style="0" customWidth="1"/>
    <col min="11" max="11" width="14.00390625" style="0" customWidth="1"/>
    <col min="12" max="12" width="13.28125" style="0" customWidth="1"/>
  </cols>
  <sheetData>
    <row r="3" spans="2:7" ht="12.75">
      <c r="B3" s="229" t="s">
        <v>206</v>
      </c>
      <c r="C3" s="229"/>
      <c r="F3" s="229" t="s">
        <v>326</v>
      </c>
      <c r="G3" s="229"/>
    </row>
    <row r="4" spans="2:7" ht="12.75">
      <c r="B4" s="36"/>
      <c r="C4" s="36"/>
      <c r="F4" s="36"/>
      <c r="G4" s="36"/>
    </row>
    <row r="5" spans="2:7" ht="12.75">
      <c r="B5" s="36" t="s">
        <v>226</v>
      </c>
      <c r="C5" s="194">
        <v>197698</v>
      </c>
      <c r="F5" s="36" t="s">
        <v>226</v>
      </c>
      <c r="G5" s="194">
        <v>197698</v>
      </c>
    </row>
    <row r="6" spans="2:7" ht="12.75">
      <c r="B6" s="36" t="s">
        <v>227</v>
      </c>
      <c r="C6" s="194">
        <v>30045</v>
      </c>
      <c r="F6" s="36" t="s">
        <v>227</v>
      </c>
      <c r="G6" s="194">
        <v>30045</v>
      </c>
    </row>
    <row r="7" spans="2:7" ht="12.75">
      <c r="B7" s="36" t="s">
        <v>203</v>
      </c>
      <c r="C7" s="195">
        <v>0.98</v>
      </c>
      <c r="F7" s="36" t="s">
        <v>203</v>
      </c>
      <c r="G7" s="195">
        <v>0.77</v>
      </c>
    </row>
    <row r="8" spans="2:7" ht="12.75">
      <c r="B8" s="36"/>
      <c r="C8" s="195"/>
      <c r="F8" s="36" t="s">
        <v>228</v>
      </c>
      <c r="G8" s="195">
        <v>0.56</v>
      </c>
    </row>
    <row r="9" spans="2:7" ht="12.75">
      <c r="B9" s="36" t="s">
        <v>213</v>
      </c>
      <c r="C9" s="195">
        <v>0.17</v>
      </c>
      <c r="F9" s="36" t="s">
        <v>213</v>
      </c>
      <c r="G9" s="195">
        <v>0.17</v>
      </c>
    </row>
    <row r="10" spans="2:7" ht="12.75">
      <c r="B10" s="36" t="s">
        <v>214</v>
      </c>
      <c r="C10" s="196">
        <v>0.028</v>
      </c>
      <c r="F10" s="36" t="s">
        <v>214</v>
      </c>
      <c r="G10" s="196">
        <v>0.028</v>
      </c>
    </row>
    <row r="11" spans="2:7" ht="12.75">
      <c r="B11" s="36" t="s">
        <v>204</v>
      </c>
      <c r="C11" s="197">
        <f>((C5+C6)*C7)*(C9+C10)</f>
        <v>44191.25172</v>
      </c>
      <c r="F11" s="36" t="s">
        <v>204</v>
      </c>
      <c r="G11" s="197">
        <f>(((G5+G6)*G7)*G8)*(G9+G10)</f>
        <v>19444.150756800005</v>
      </c>
    </row>
    <row r="12" spans="2:7" ht="12.75">
      <c r="B12" s="36"/>
      <c r="C12" s="36"/>
      <c r="F12" s="36" t="s">
        <v>229</v>
      </c>
      <c r="G12" s="194">
        <v>14</v>
      </c>
    </row>
    <row r="13" spans="2:7" ht="12.75">
      <c r="B13" s="36" t="s">
        <v>205</v>
      </c>
      <c r="C13" s="195">
        <v>0.7</v>
      </c>
      <c r="F13" s="36"/>
      <c r="G13" s="196"/>
    </row>
    <row r="14" spans="2:7" ht="12.75">
      <c r="B14" s="36" t="s">
        <v>225</v>
      </c>
      <c r="C14" s="197">
        <f>C11*C13</f>
        <v>30933.876203999997</v>
      </c>
      <c r="F14" s="36" t="s">
        <v>230</v>
      </c>
      <c r="G14" s="195">
        <v>0.7</v>
      </c>
    </row>
    <row r="15" spans="2:7" ht="12.75">
      <c r="B15" s="36" t="s">
        <v>493</v>
      </c>
      <c r="C15" s="57">
        <v>0.4</v>
      </c>
      <c r="F15" s="36" t="s">
        <v>225</v>
      </c>
      <c r="G15" s="197">
        <f>(G11/G12)*G14</f>
        <v>972.2075378400002</v>
      </c>
    </row>
    <row r="16" spans="2:7" ht="12.75">
      <c r="B16" s="36"/>
      <c r="C16" s="36"/>
      <c r="F16" s="36" t="s">
        <v>493</v>
      </c>
      <c r="G16" s="57">
        <v>0.5</v>
      </c>
    </row>
    <row r="17" spans="2:7" ht="12.75">
      <c r="B17" s="36"/>
      <c r="C17" s="36"/>
      <c r="F17" s="36"/>
      <c r="G17" s="36"/>
    </row>
    <row r="18" spans="2:7" ht="12.75">
      <c r="B18" s="36"/>
      <c r="C18" s="36"/>
      <c r="F18" s="36"/>
      <c r="G18" s="36"/>
    </row>
    <row r="19" spans="2:7" ht="12.75">
      <c r="B19" s="36" t="s">
        <v>207</v>
      </c>
      <c r="C19" s="197">
        <f>(C14/12)*C15</f>
        <v>1031.1292068</v>
      </c>
      <c r="F19" s="36" t="s">
        <v>231</v>
      </c>
      <c r="G19" s="197">
        <f>(G15/12)*G16</f>
        <v>40.50864741000001</v>
      </c>
    </row>
    <row r="20" spans="2:7" ht="12.75">
      <c r="B20" s="36" t="s">
        <v>208</v>
      </c>
      <c r="C20" s="198">
        <v>3</v>
      </c>
      <c r="F20" s="36" t="s">
        <v>208</v>
      </c>
      <c r="G20" s="198">
        <v>3</v>
      </c>
    </row>
    <row r="21" spans="2:7" ht="12.75">
      <c r="B21" s="36" t="s">
        <v>209</v>
      </c>
      <c r="C21" s="197">
        <f>C19*C20</f>
        <v>3093.3876204</v>
      </c>
      <c r="F21" s="36" t="s">
        <v>209</v>
      </c>
      <c r="G21" s="197">
        <f>G19*G20</f>
        <v>121.52594223000003</v>
      </c>
    </row>
    <row r="22" spans="2:7" ht="12.75">
      <c r="B22" s="36" t="s">
        <v>215</v>
      </c>
      <c r="C22" s="52">
        <v>4</v>
      </c>
      <c r="F22" s="36" t="s">
        <v>210</v>
      </c>
      <c r="G22" s="52">
        <v>25</v>
      </c>
    </row>
    <row r="23" spans="2:7" ht="12.75">
      <c r="B23" s="36" t="s">
        <v>216</v>
      </c>
      <c r="C23" s="52">
        <v>8</v>
      </c>
      <c r="F23" s="36" t="s">
        <v>168</v>
      </c>
      <c r="G23" s="52">
        <f>G21*G22</f>
        <v>3038.1485557500005</v>
      </c>
    </row>
    <row r="24" spans="2:7" ht="12.75">
      <c r="B24" s="36" t="s">
        <v>217</v>
      </c>
      <c r="C24" s="195">
        <v>0.4</v>
      </c>
      <c r="F24" s="36" t="s">
        <v>211</v>
      </c>
      <c r="G24" s="52">
        <f>G23*12</f>
        <v>36457.78266900001</v>
      </c>
    </row>
    <row r="25" spans="2:7" ht="12.75">
      <c r="B25" s="36" t="s">
        <v>218</v>
      </c>
      <c r="C25" s="195">
        <v>0.6</v>
      </c>
      <c r="F25" s="36" t="s">
        <v>212</v>
      </c>
      <c r="G25" s="199">
        <v>0.03</v>
      </c>
    </row>
    <row r="26" spans="2:3" ht="12.75">
      <c r="B26" s="36" t="s">
        <v>168</v>
      </c>
      <c r="C26" s="52">
        <f>((C21*C24*C22)+(C21*C25*C23))</f>
        <v>19797.68077056</v>
      </c>
    </row>
    <row r="27" spans="2:3" ht="12.75">
      <c r="B27" s="36" t="s">
        <v>211</v>
      </c>
      <c r="C27" s="52">
        <f>C26*12</f>
        <v>237572.16924672</v>
      </c>
    </row>
    <row r="28" spans="2:3" ht="12.75">
      <c r="B28" s="36" t="s">
        <v>212</v>
      </c>
      <c r="C28" s="199">
        <v>0.03</v>
      </c>
    </row>
    <row r="30" ht="13.5" thickBot="1"/>
    <row r="31" spans="6:7" ht="13.5" thickBot="1">
      <c r="F31" s="29" t="s">
        <v>222</v>
      </c>
      <c r="G31" s="33">
        <v>4</v>
      </c>
    </row>
    <row r="32" spans="6:7" ht="26.25" thickBot="1">
      <c r="F32" s="31" t="s">
        <v>223</v>
      </c>
      <c r="G32" s="34">
        <v>8</v>
      </c>
    </row>
    <row r="33" spans="6:7" ht="13.5" thickBot="1">
      <c r="F33" s="29" t="s">
        <v>219</v>
      </c>
      <c r="G33" s="30">
        <v>89863</v>
      </c>
    </row>
    <row r="34" spans="3:7" ht="13.5" thickBot="1">
      <c r="C34" s="27"/>
      <c r="F34" s="31" t="s">
        <v>220</v>
      </c>
      <c r="G34" s="32">
        <v>107835</v>
      </c>
    </row>
    <row r="35" spans="6:7" ht="13.5" thickBot="1">
      <c r="F35" s="31" t="s">
        <v>221</v>
      </c>
      <c r="G35" s="32">
        <v>197698</v>
      </c>
    </row>
    <row r="38" spans="2:3" ht="12.75">
      <c r="B38" s="229" t="s">
        <v>232</v>
      </c>
      <c r="C38" s="229"/>
    </row>
    <row r="39" spans="2:3" ht="15.75">
      <c r="B39" s="35" t="s">
        <v>243</v>
      </c>
      <c r="C39" s="35" t="s">
        <v>242</v>
      </c>
    </row>
    <row r="40" spans="2:3" ht="12.75">
      <c r="B40" s="36" t="s">
        <v>233</v>
      </c>
      <c r="C40" s="39">
        <v>0.32</v>
      </c>
    </row>
    <row r="41" spans="2:3" ht="12.75">
      <c r="B41" s="36" t="s">
        <v>234</v>
      </c>
      <c r="C41" s="39">
        <v>0.27</v>
      </c>
    </row>
    <row r="42" spans="2:3" ht="12.75">
      <c r="B42" s="36" t="s">
        <v>235</v>
      </c>
      <c r="C42" s="39">
        <v>0.21</v>
      </c>
    </row>
    <row r="43" spans="2:3" ht="12.75">
      <c r="B43" s="36" t="s">
        <v>236</v>
      </c>
      <c r="C43" s="39">
        <v>0.15</v>
      </c>
    </row>
    <row r="44" spans="2:3" ht="26.25" customHeight="1">
      <c r="B44" s="261" t="s">
        <v>237</v>
      </c>
      <c r="C44" s="40">
        <v>0.05</v>
      </c>
    </row>
    <row r="45" ht="12.75">
      <c r="C45" s="28"/>
    </row>
    <row r="48" spans="2:3" ht="12.75">
      <c r="B48" t="s">
        <v>238</v>
      </c>
      <c r="C48" s="6">
        <v>2.5</v>
      </c>
    </row>
    <row r="50" spans="2:5" ht="12.75">
      <c r="B50" s="118" t="s">
        <v>239</v>
      </c>
      <c r="C50" s="200" t="s">
        <v>247</v>
      </c>
      <c r="D50" s="118" t="s">
        <v>248</v>
      </c>
      <c r="E50" s="118" t="s">
        <v>249</v>
      </c>
    </row>
    <row r="51" spans="2:5" ht="12.75">
      <c r="B51" s="185" t="s">
        <v>233</v>
      </c>
      <c r="C51" s="60">
        <v>4</v>
      </c>
      <c r="D51" s="60">
        <f>$C$48</f>
        <v>2.5</v>
      </c>
      <c r="E51" s="60">
        <f>C51-D51</f>
        <v>1.5</v>
      </c>
    </row>
    <row r="52" spans="2:5" ht="12.75">
      <c r="B52" s="185" t="s">
        <v>234</v>
      </c>
      <c r="C52" s="60">
        <v>6</v>
      </c>
      <c r="D52" s="60">
        <f>$C$48</f>
        <v>2.5</v>
      </c>
      <c r="E52" s="60">
        <f>C52-D52</f>
        <v>3.5</v>
      </c>
    </row>
    <row r="53" spans="2:5" ht="12.75">
      <c r="B53" s="185" t="s">
        <v>235</v>
      </c>
      <c r="C53" s="60">
        <v>6</v>
      </c>
      <c r="D53" s="60">
        <f>$C$48</f>
        <v>2.5</v>
      </c>
      <c r="E53" s="60">
        <f>C53-D53</f>
        <v>3.5</v>
      </c>
    </row>
    <row r="54" spans="2:5" ht="12.75">
      <c r="B54" s="185" t="s">
        <v>236</v>
      </c>
      <c r="C54" s="60">
        <v>4</v>
      </c>
      <c r="D54" s="60">
        <f>$C$48</f>
        <v>2.5</v>
      </c>
      <c r="E54" s="60">
        <f>C54-D54</f>
        <v>1.5</v>
      </c>
    </row>
    <row r="55" spans="2:5" ht="12.75">
      <c r="B55" s="185" t="s">
        <v>237</v>
      </c>
      <c r="C55" s="60">
        <v>4</v>
      </c>
      <c r="D55" s="60">
        <f>$C$48</f>
        <v>2.5</v>
      </c>
      <c r="E55" s="60">
        <f>C55-D55</f>
        <v>1.5</v>
      </c>
    </row>
    <row r="57" spans="2:3" ht="12.75">
      <c r="B57" t="s">
        <v>240</v>
      </c>
      <c r="C57" s="38">
        <v>0.5</v>
      </c>
    </row>
    <row r="58" spans="2:3" ht="12.75">
      <c r="B58" t="s">
        <v>241</v>
      </c>
      <c r="C58" s="38">
        <v>0.25</v>
      </c>
    </row>
    <row r="61" spans="2:3" ht="12.75">
      <c r="B61" t="s">
        <v>209</v>
      </c>
      <c r="C61" s="26">
        <f>C21</f>
        <v>3093.3876204</v>
      </c>
    </row>
    <row r="62" spans="2:4" ht="12.75">
      <c r="B62" t="s">
        <v>244</v>
      </c>
      <c r="C62" s="41">
        <f>(C61*C40*C51)+(C61*C41*C52)+(C61*C42*C53)+(C61*C43*C54)+(C61*C44*C55)</f>
        <v>15343.202597183998</v>
      </c>
      <c r="D62" s="6"/>
    </row>
    <row r="63" spans="2:4" ht="12.75">
      <c r="B63" t="s">
        <v>245</v>
      </c>
      <c r="C63" s="41">
        <f>(C61*2)*C57</f>
        <v>3093.3876204</v>
      </c>
      <c r="D63" s="6"/>
    </row>
    <row r="64" spans="2:3" ht="12.75">
      <c r="B64" t="s">
        <v>246</v>
      </c>
      <c r="C64" s="41">
        <f>(C62+C63)*12</f>
        <v>221239.08261100797</v>
      </c>
    </row>
    <row r="69" spans="1:3" ht="12.75">
      <c r="A69" s="230" t="s">
        <v>494</v>
      </c>
      <c r="B69" s="230"/>
      <c r="C69" s="230"/>
    </row>
    <row r="70" spans="1:3" ht="12.75">
      <c r="A70" s="51" t="s">
        <v>495</v>
      </c>
      <c r="B70" s="51" t="s">
        <v>314</v>
      </c>
      <c r="C70" s="51" t="s">
        <v>315</v>
      </c>
    </row>
    <row r="71" spans="1:12" ht="15.75">
      <c r="A71" s="53">
        <v>1</v>
      </c>
      <c r="B71" s="110">
        <v>0.4</v>
      </c>
      <c r="C71" s="110">
        <v>0.5</v>
      </c>
      <c r="D71" s="109"/>
      <c r="E71" s="109"/>
      <c r="F71" s="109"/>
      <c r="G71" s="109"/>
      <c r="H71" s="109"/>
      <c r="I71" s="109"/>
      <c r="J71" s="109"/>
      <c r="K71" s="109"/>
      <c r="L71" s="109"/>
    </row>
    <row r="72" spans="1:12" ht="12.75">
      <c r="A72" s="53">
        <v>2</v>
      </c>
      <c r="B72" s="110">
        <v>0.5</v>
      </c>
      <c r="C72" s="110">
        <v>0.6</v>
      </c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2.75">
      <c r="A73" s="53">
        <v>3</v>
      </c>
      <c r="B73" s="110">
        <v>0.55</v>
      </c>
      <c r="C73" s="110">
        <v>0.65</v>
      </c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2.75">
      <c r="A74" s="53">
        <v>4</v>
      </c>
      <c r="B74" s="110">
        <v>0.6</v>
      </c>
      <c r="C74" s="110">
        <v>0.68</v>
      </c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2.75">
      <c r="A75" s="53">
        <v>5</v>
      </c>
      <c r="B75" s="110">
        <v>0.65</v>
      </c>
      <c r="C75" s="110">
        <v>0.72</v>
      </c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2.75">
      <c r="A76" s="53">
        <v>6</v>
      </c>
      <c r="B76" s="110">
        <v>0.7</v>
      </c>
      <c r="C76" s="110">
        <v>0.75</v>
      </c>
      <c r="D76" s="63"/>
      <c r="E76" s="63"/>
      <c r="F76" s="63"/>
      <c r="G76" s="63"/>
      <c r="H76" s="63"/>
      <c r="I76" s="63"/>
      <c r="J76" s="63"/>
      <c r="K76" s="63"/>
      <c r="L76" s="63"/>
    </row>
    <row r="77" spans="1:12" ht="12.75">
      <c r="A77" s="53">
        <v>7</v>
      </c>
      <c r="B77" s="110">
        <v>0.75</v>
      </c>
      <c r="C77" s="110">
        <v>0.78</v>
      </c>
      <c r="D77" s="24"/>
      <c r="E77" s="24"/>
      <c r="F77" s="24"/>
      <c r="G77" s="24"/>
      <c r="H77" s="24"/>
      <c r="I77" s="24"/>
      <c r="J77" s="24"/>
      <c r="K77" s="24"/>
      <c r="L77" s="24"/>
    </row>
    <row r="78" spans="1:3" ht="12.75">
      <c r="A78" s="53">
        <v>8</v>
      </c>
      <c r="B78" s="111">
        <v>0.8</v>
      </c>
      <c r="C78" s="111">
        <v>0.81</v>
      </c>
    </row>
    <row r="79" spans="1:3" ht="12.75">
      <c r="A79" s="53">
        <v>9</v>
      </c>
      <c r="B79" s="111">
        <v>0.85</v>
      </c>
      <c r="C79" s="111">
        <v>0.83</v>
      </c>
    </row>
    <row r="80" spans="1:3" ht="12.75">
      <c r="A80" s="53">
        <v>10</v>
      </c>
      <c r="B80" s="111">
        <v>0.9</v>
      </c>
      <c r="C80" s="111">
        <v>0.85</v>
      </c>
    </row>
    <row r="82" spans="1:5" ht="15">
      <c r="A82" s="228" t="s">
        <v>496</v>
      </c>
      <c r="B82" s="228"/>
      <c r="C82" s="228"/>
      <c r="D82" s="228"/>
      <c r="E82" s="228"/>
    </row>
    <row r="83" spans="1:5" ht="12.75">
      <c r="A83" s="51" t="s">
        <v>495</v>
      </c>
      <c r="B83" s="51" t="s">
        <v>314</v>
      </c>
      <c r="C83" s="51" t="s">
        <v>315</v>
      </c>
      <c r="D83" s="51" t="s">
        <v>497</v>
      </c>
      <c r="E83" s="51" t="s">
        <v>498</v>
      </c>
    </row>
    <row r="84" spans="1:5" ht="12.75">
      <c r="A84" s="53">
        <v>1</v>
      </c>
      <c r="B84" s="112">
        <f>((($C$14*B71)/12)*$C$20)*12</f>
        <v>37120.651444799994</v>
      </c>
      <c r="C84" s="112">
        <f>(((($G$15/12)*C71)*$G$20))*12</f>
        <v>1458.3113067600002</v>
      </c>
      <c r="D84" s="112">
        <f>(B84)</f>
        <v>37120.651444799994</v>
      </c>
      <c r="E84" s="112">
        <f>B84*2</f>
        <v>74241.30288959999</v>
      </c>
    </row>
    <row r="85" spans="1:5" ht="12.75">
      <c r="A85" s="53">
        <v>2</v>
      </c>
      <c r="B85" s="112">
        <f>(((($C$14*B72)/12)*$C$20)*12)+($C$28*B84)</f>
        <v>47514.433849343994</v>
      </c>
      <c r="C85" s="112">
        <f>((((($G$15/12)*C72)*$G$20))*12)+($G$25*C84)</f>
        <v>1793.7229073148005</v>
      </c>
      <c r="D85" s="112">
        <f aca="true" t="shared" si="0" ref="D85:D93">(B85)</f>
        <v>47514.433849343994</v>
      </c>
      <c r="E85" s="112">
        <f aca="true" t="shared" si="1" ref="E85:E93">B85*2</f>
        <v>95028.86769868799</v>
      </c>
    </row>
    <row r="86" spans="1:5" ht="12.75">
      <c r="A86" s="53">
        <v>3</v>
      </c>
      <c r="B86" s="112">
        <f aca="true" t="shared" si="2" ref="B86:B93">(((($C$14*B73)/12)*$C$20)*12)+($C$28*B85)</f>
        <v>52466.32875208031</v>
      </c>
      <c r="C86" s="112">
        <f aca="true" t="shared" si="3" ref="C86:C93">((((($G$15/12)*C73)*$G$20))*12)+($G$25*C85)</f>
        <v>1949.6163860074444</v>
      </c>
      <c r="D86" s="112">
        <f t="shared" si="0"/>
        <v>52466.32875208031</v>
      </c>
      <c r="E86" s="112">
        <f t="shared" si="1"/>
        <v>104932.65750416063</v>
      </c>
    </row>
    <row r="87" spans="1:5" ht="12.75">
      <c r="A87" s="53">
        <v>4</v>
      </c>
      <c r="B87" s="112">
        <f t="shared" si="2"/>
        <v>57254.9670297624</v>
      </c>
      <c r="C87" s="112">
        <f t="shared" si="3"/>
        <v>2041.791868773824</v>
      </c>
      <c r="D87" s="112">
        <f t="shared" si="0"/>
        <v>57254.9670297624</v>
      </c>
      <c r="E87" s="112">
        <f t="shared" si="1"/>
        <v>114509.9340595248</v>
      </c>
    </row>
    <row r="88" spans="1:5" ht="12.75">
      <c r="A88" s="53">
        <v>5</v>
      </c>
      <c r="B88" s="112">
        <f t="shared" si="2"/>
        <v>62038.70760869287</v>
      </c>
      <c r="C88" s="112">
        <f t="shared" si="3"/>
        <v>2161.222037797615</v>
      </c>
      <c r="D88" s="112">
        <f t="shared" si="0"/>
        <v>62038.70760869287</v>
      </c>
      <c r="E88" s="112">
        <f t="shared" si="1"/>
        <v>124077.41521738574</v>
      </c>
    </row>
    <row r="89" spans="1:5" ht="12.75">
      <c r="A89" s="53">
        <v>6</v>
      </c>
      <c r="B89" s="112">
        <f t="shared" si="2"/>
        <v>66822.30125666078</v>
      </c>
      <c r="C89" s="112">
        <f t="shared" si="3"/>
        <v>2252.3036212739285</v>
      </c>
      <c r="D89" s="112">
        <f t="shared" si="0"/>
        <v>66822.30125666078</v>
      </c>
      <c r="E89" s="112">
        <f t="shared" si="1"/>
        <v>133644.60251332156</v>
      </c>
    </row>
    <row r="90" spans="1:5" ht="12.75">
      <c r="A90" s="53">
        <v>7</v>
      </c>
      <c r="B90" s="112">
        <f t="shared" si="2"/>
        <v>71605.89049669982</v>
      </c>
      <c r="C90" s="112">
        <f t="shared" si="3"/>
        <v>2342.5347471838186</v>
      </c>
      <c r="D90" s="112">
        <f t="shared" si="0"/>
        <v>71605.89049669982</v>
      </c>
      <c r="E90" s="112">
        <f t="shared" si="1"/>
        <v>143211.78099339965</v>
      </c>
    </row>
    <row r="91" spans="1:5" ht="12.75">
      <c r="A91" s="53">
        <v>8</v>
      </c>
      <c r="B91" s="112">
        <f t="shared" si="2"/>
        <v>76389.47960450099</v>
      </c>
      <c r="C91" s="112">
        <f t="shared" si="3"/>
        <v>2432.7403593667154</v>
      </c>
      <c r="D91" s="112">
        <f t="shared" si="0"/>
        <v>76389.47960450099</v>
      </c>
      <c r="E91" s="112">
        <f t="shared" si="1"/>
        <v>152778.95920900197</v>
      </c>
    </row>
    <row r="92" spans="1:5" ht="12.75">
      <c r="A92" s="53">
        <v>9</v>
      </c>
      <c r="B92" s="112">
        <f t="shared" si="2"/>
        <v>81173.06870833502</v>
      </c>
      <c r="C92" s="112">
        <f t="shared" si="3"/>
        <v>2493.778980002602</v>
      </c>
      <c r="D92" s="112">
        <f t="shared" si="0"/>
        <v>81173.06870833502</v>
      </c>
      <c r="E92" s="112">
        <f t="shared" si="1"/>
        <v>162346.13741667004</v>
      </c>
    </row>
    <row r="93" spans="1:5" ht="12.75">
      <c r="A93" s="53">
        <v>10</v>
      </c>
      <c r="B93" s="112">
        <f t="shared" si="2"/>
        <v>85956.65781205003</v>
      </c>
      <c r="C93" s="112">
        <f t="shared" si="3"/>
        <v>2553.9425908920784</v>
      </c>
      <c r="D93" s="112">
        <f t="shared" si="0"/>
        <v>85956.65781205003</v>
      </c>
      <c r="E93" s="112">
        <f t="shared" si="1"/>
        <v>171913.31562410007</v>
      </c>
    </row>
    <row r="94" spans="1:3" ht="12.75">
      <c r="A94" s="2"/>
      <c r="B94" s="9"/>
      <c r="C94" s="2"/>
    </row>
  </sheetData>
  <mergeCells count="5">
    <mergeCell ref="A82:E82"/>
    <mergeCell ref="B3:C3"/>
    <mergeCell ref="F3:G3"/>
    <mergeCell ref="B38:C38"/>
    <mergeCell ref="A69:C69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30"/>
  <sheetViews>
    <sheetView workbookViewId="0" topLeftCell="A1">
      <selection activeCell="E23" sqref="E23"/>
    </sheetView>
  </sheetViews>
  <sheetFormatPr defaultColWidth="11.421875" defaultRowHeight="12.75"/>
  <cols>
    <col min="2" max="2" width="22.28125" style="0" bestFit="1" customWidth="1"/>
    <col min="3" max="3" width="14.57421875" style="0" customWidth="1"/>
    <col min="6" max="6" width="12.28125" style="0" bestFit="1" customWidth="1"/>
    <col min="7" max="7" width="11.7109375" style="0" bestFit="1" customWidth="1"/>
    <col min="8" max="8" width="15.140625" style="0" bestFit="1" customWidth="1"/>
    <col min="9" max="9" width="14.00390625" style="0" customWidth="1"/>
  </cols>
  <sheetData>
    <row r="2" spans="2:9" ht="18">
      <c r="B2" s="266" t="s">
        <v>174</v>
      </c>
      <c r="C2" s="267"/>
      <c r="D2" s="267"/>
      <c r="E2" s="267"/>
      <c r="F2" s="267"/>
      <c r="G2" s="267"/>
      <c r="H2" s="267"/>
      <c r="I2" s="268"/>
    </row>
    <row r="3" ht="12" customHeight="1"/>
    <row r="4" spans="5:9" ht="15" customHeight="1">
      <c r="E4" s="238" t="s">
        <v>503</v>
      </c>
      <c r="F4" s="238"/>
      <c r="G4" s="238"/>
      <c r="H4" s="238"/>
      <c r="I4" s="238"/>
    </row>
    <row r="5" spans="2:9" ht="14.25">
      <c r="B5" t="s">
        <v>169</v>
      </c>
      <c r="C5" s="42">
        <f>'INVERSION INICIAL'!K57-'CAPITAL DE TRABAJO'!C7</f>
        <v>1835553.1376587313</v>
      </c>
      <c r="E5" s="118" t="s">
        <v>175</v>
      </c>
      <c r="F5" s="118" t="s">
        <v>176</v>
      </c>
      <c r="G5" s="118" t="s">
        <v>177</v>
      </c>
      <c r="H5" s="118" t="s">
        <v>179</v>
      </c>
      <c r="I5" s="118" t="s">
        <v>178</v>
      </c>
    </row>
    <row r="6" spans="2:9" ht="12.75">
      <c r="B6" t="s">
        <v>170</v>
      </c>
      <c r="C6" s="6">
        <f>C5*0.3</f>
        <v>550665.9412976194</v>
      </c>
      <c r="E6" s="59">
        <v>0</v>
      </c>
      <c r="F6" s="59" t="s">
        <v>302</v>
      </c>
      <c r="G6" s="59" t="s">
        <v>302</v>
      </c>
      <c r="H6" s="59" t="s">
        <v>302</v>
      </c>
      <c r="I6" s="60">
        <f>C7</f>
        <v>1284887.196361112</v>
      </c>
    </row>
    <row r="7" spans="2:9" ht="12.75">
      <c r="B7" t="s">
        <v>171</v>
      </c>
      <c r="C7" s="6">
        <f>C5*0.7</f>
        <v>1284887.196361112</v>
      </c>
      <c r="E7" s="59">
        <v>1</v>
      </c>
      <c r="F7" s="61">
        <f>C10</f>
        <v>218175.67960141</v>
      </c>
      <c r="G7" s="60">
        <f>I6*$C$9</f>
        <v>141337.5915997223</v>
      </c>
      <c r="H7" s="61">
        <f>F7-G7</f>
        <v>76838.08800168769</v>
      </c>
      <c r="I7" s="60">
        <f>I6-H7</f>
        <v>1208049.1083594242</v>
      </c>
    </row>
    <row r="8" spans="2:9" ht="12.75">
      <c r="B8" t="s">
        <v>172</v>
      </c>
      <c r="C8">
        <v>10</v>
      </c>
      <c r="E8" s="59">
        <v>2</v>
      </c>
      <c r="F8" s="61">
        <f>F7</f>
        <v>218175.67960141</v>
      </c>
      <c r="G8" s="60">
        <f aca="true" t="shared" si="0" ref="G8:G16">I7*$C$9</f>
        <v>132885.40191953667</v>
      </c>
      <c r="H8" s="61">
        <f aca="true" t="shared" si="1" ref="H8:H16">F8-G8</f>
        <v>85290.27768187333</v>
      </c>
      <c r="I8" s="60">
        <f aca="true" t="shared" si="2" ref="I8:I16">I7-H8</f>
        <v>1122758.8306775508</v>
      </c>
    </row>
    <row r="9" spans="2:9" ht="12.75">
      <c r="B9" t="s">
        <v>254</v>
      </c>
      <c r="C9" s="25">
        <v>0.11</v>
      </c>
      <c r="E9" s="59">
        <v>3</v>
      </c>
      <c r="F9" s="61">
        <f aca="true" t="shared" si="3" ref="F9:F16">F8</f>
        <v>218175.67960141</v>
      </c>
      <c r="G9" s="60">
        <f t="shared" si="0"/>
        <v>123503.47137453058</v>
      </c>
      <c r="H9" s="61">
        <f t="shared" si="1"/>
        <v>94672.20822687942</v>
      </c>
      <c r="I9" s="60">
        <f t="shared" si="2"/>
        <v>1028086.6224506714</v>
      </c>
    </row>
    <row r="10" spans="2:9" ht="12.75">
      <c r="B10" s="3" t="s">
        <v>173</v>
      </c>
      <c r="C10" s="44">
        <f>PMT(C9,C8,-C7)</f>
        <v>218175.67960141</v>
      </c>
      <c r="E10" s="59">
        <v>4</v>
      </c>
      <c r="F10" s="61">
        <f t="shared" si="3"/>
        <v>218175.67960141</v>
      </c>
      <c r="G10" s="60">
        <f t="shared" si="0"/>
        <v>113089.52846957385</v>
      </c>
      <c r="H10" s="61">
        <f t="shared" si="1"/>
        <v>105086.15113183614</v>
      </c>
      <c r="I10" s="60">
        <f t="shared" si="2"/>
        <v>923000.4713188353</v>
      </c>
    </row>
    <row r="11" spans="5:9" ht="12.75">
      <c r="E11" s="59">
        <v>5</v>
      </c>
      <c r="F11" s="61">
        <f t="shared" si="3"/>
        <v>218175.67960141</v>
      </c>
      <c r="G11" s="60">
        <f t="shared" si="0"/>
        <v>101530.05184507188</v>
      </c>
      <c r="H11" s="61">
        <f t="shared" si="1"/>
        <v>116645.62775633812</v>
      </c>
      <c r="I11" s="60">
        <f t="shared" si="2"/>
        <v>806354.8435624972</v>
      </c>
    </row>
    <row r="12" spans="5:9" ht="12.75">
      <c r="E12" s="59">
        <v>6</v>
      </c>
      <c r="F12" s="61">
        <f t="shared" si="3"/>
        <v>218175.67960141</v>
      </c>
      <c r="G12" s="60">
        <f t="shared" si="0"/>
        <v>88699.03279187469</v>
      </c>
      <c r="H12" s="61">
        <f t="shared" si="1"/>
        <v>129476.6468095353</v>
      </c>
      <c r="I12" s="60">
        <f t="shared" si="2"/>
        <v>676878.1967529618</v>
      </c>
    </row>
    <row r="13" spans="5:9" ht="12.75">
      <c r="E13" s="59">
        <v>7</v>
      </c>
      <c r="F13" s="61">
        <f t="shared" si="3"/>
        <v>218175.67960141</v>
      </c>
      <c r="G13" s="60">
        <f t="shared" si="0"/>
        <v>74456.6016428258</v>
      </c>
      <c r="H13" s="61">
        <f t="shared" si="1"/>
        <v>143719.07795858418</v>
      </c>
      <c r="I13" s="60">
        <f t="shared" si="2"/>
        <v>533159.1187943777</v>
      </c>
    </row>
    <row r="14" spans="5:9" ht="12.75">
      <c r="E14" s="59">
        <v>8</v>
      </c>
      <c r="F14" s="61">
        <f t="shared" si="3"/>
        <v>218175.67960141</v>
      </c>
      <c r="G14" s="60">
        <f t="shared" si="0"/>
        <v>58647.50306738154</v>
      </c>
      <c r="H14" s="61">
        <f t="shared" si="1"/>
        <v>159528.17653402846</v>
      </c>
      <c r="I14" s="60">
        <f t="shared" si="2"/>
        <v>373630.94226034917</v>
      </c>
    </row>
    <row r="15" spans="5:9" ht="12.75">
      <c r="E15" s="59">
        <v>9</v>
      </c>
      <c r="F15" s="61">
        <f t="shared" si="3"/>
        <v>218175.67960141</v>
      </c>
      <c r="G15" s="60">
        <f t="shared" si="0"/>
        <v>41099.40364863841</v>
      </c>
      <c r="H15" s="61">
        <f t="shared" si="1"/>
        <v>177076.2759527716</v>
      </c>
      <c r="I15" s="60">
        <f t="shared" si="2"/>
        <v>196554.66630757757</v>
      </c>
    </row>
    <row r="16" spans="5:9" ht="12.75">
      <c r="E16" s="59">
        <v>10</v>
      </c>
      <c r="F16" s="61">
        <f t="shared" si="3"/>
        <v>218175.67960141</v>
      </c>
      <c r="G16" s="60">
        <f t="shared" si="0"/>
        <v>21621.013293833534</v>
      </c>
      <c r="H16" s="61">
        <f t="shared" si="1"/>
        <v>196554.66630757647</v>
      </c>
      <c r="I16" s="60">
        <f t="shared" si="2"/>
        <v>1.1059455573558807E-09</v>
      </c>
    </row>
    <row r="17" spans="2:9" ht="12.75">
      <c r="B17" s="237" t="s">
        <v>502</v>
      </c>
      <c r="C17" s="237"/>
      <c r="E17" s="247" t="s">
        <v>311</v>
      </c>
      <c r="F17" s="247"/>
      <c r="G17" s="247"/>
      <c r="H17" s="247"/>
      <c r="I17" s="247"/>
    </row>
    <row r="18" spans="2:12" ht="12.75">
      <c r="B18" s="230" t="s">
        <v>321</v>
      </c>
      <c r="C18" s="230"/>
      <c r="F18" s="246"/>
      <c r="G18" s="246"/>
      <c r="H18" s="246"/>
      <c r="I18" s="24"/>
      <c r="J18" s="24"/>
      <c r="K18" s="24"/>
      <c r="L18" s="24"/>
    </row>
    <row r="19" spans="2:12" ht="12.75">
      <c r="B19" s="36" t="s">
        <v>307</v>
      </c>
      <c r="C19" s="52">
        <f>C7</f>
        <v>1284887.196361112</v>
      </c>
      <c r="F19" s="17"/>
      <c r="G19" s="45"/>
      <c r="H19" s="17"/>
      <c r="I19" s="24"/>
      <c r="J19" s="24"/>
      <c r="K19" s="24"/>
      <c r="L19" s="24"/>
    </row>
    <row r="20" spans="2:12" ht="12.75">
      <c r="B20" s="36" t="s">
        <v>322</v>
      </c>
      <c r="C20" s="57">
        <f>C9</f>
        <v>0.11</v>
      </c>
      <c r="F20" s="17"/>
      <c r="G20" s="46"/>
      <c r="H20" s="19"/>
      <c r="I20" s="24"/>
      <c r="J20" s="24"/>
      <c r="K20" s="24"/>
      <c r="L20" s="24"/>
    </row>
    <row r="21" spans="2:12" ht="12.75">
      <c r="B21" s="36" t="s">
        <v>324</v>
      </c>
      <c r="C21" s="58" t="s">
        <v>323</v>
      </c>
      <c r="F21" s="17"/>
      <c r="G21" s="47"/>
      <c r="H21" s="19"/>
      <c r="I21" s="24"/>
      <c r="J21" s="24"/>
      <c r="K21" s="24"/>
      <c r="L21" s="24"/>
    </row>
    <row r="22" spans="2:12" ht="12.75">
      <c r="B22" s="236" t="s">
        <v>311</v>
      </c>
      <c r="C22" s="236"/>
      <c r="F22" s="24"/>
      <c r="G22" s="24"/>
      <c r="H22" s="24"/>
      <c r="I22" s="24"/>
      <c r="J22" s="24"/>
      <c r="K22" s="24"/>
      <c r="L22" s="24"/>
    </row>
    <row r="23" spans="6:12" ht="12.75">
      <c r="F23" s="24"/>
      <c r="G23" s="24"/>
      <c r="H23" s="24"/>
      <c r="I23" s="24"/>
      <c r="J23" s="24"/>
      <c r="K23" s="24"/>
      <c r="L23" s="24"/>
    </row>
    <row r="24" spans="6:12" ht="13.5">
      <c r="F24" s="248"/>
      <c r="G24" s="248"/>
      <c r="H24" s="248"/>
      <c r="I24" s="248"/>
      <c r="J24" s="248"/>
      <c r="K24" s="248"/>
      <c r="L24" s="248"/>
    </row>
    <row r="25" spans="3:12" ht="12.75">
      <c r="C25" s="43"/>
      <c r="F25" s="48"/>
      <c r="G25" s="48"/>
      <c r="H25" s="48"/>
      <c r="I25" s="48"/>
      <c r="J25" s="48"/>
      <c r="K25" s="48"/>
      <c r="L25" s="48"/>
    </row>
    <row r="26" spans="6:12" ht="12.75">
      <c r="F26" s="49"/>
      <c r="G26" s="50"/>
      <c r="H26" s="50"/>
      <c r="I26" s="50"/>
      <c r="J26" s="50"/>
      <c r="K26" s="50"/>
      <c r="L26" s="50"/>
    </row>
    <row r="27" spans="6:12" ht="12.75">
      <c r="F27" s="49"/>
      <c r="G27" s="50"/>
      <c r="H27" s="50"/>
      <c r="I27" s="50"/>
      <c r="J27" s="50"/>
      <c r="K27" s="50"/>
      <c r="L27" s="50"/>
    </row>
    <row r="28" spans="6:12" ht="12.75">
      <c r="F28" s="49"/>
      <c r="G28" s="50"/>
      <c r="H28" s="50"/>
      <c r="I28" s="50"/>
      <c r="J28" s="50"/>
      <c r="K28" s="50"/>
      <c r="L28" s="50"/>
    </row>
    <row r="29" spans="6:12" ht="12.75">
      <c r="F29" s="49"/>
      <c r="G29" s="50"/>
      <c r="H29" s="50"/>
      <c r="I29" s="50"/>
      <c r="J29" s="50"/>
      <c r="K29" s="50"/>
      <c r="L29" s="50"/>
    </row>
    <row r="30" spans="6:12" ht="12.75" customHeight="1">
      <c r="F30" s="245"/>
      <c r="G30" s="245"/>
      <c r="H30" s="245"/>
      <c r="I30" s="245"/>
      <c r="J30" s="245"/>
      <c r="K30" s="245"/>
      <c r="L30" s="245"/>
    </row>
  </sheetData>
  <mergeCells count="9">
    <mergeCell ref="E4:I4"/>
    <mergeCell ref="E17:I17"/>
    <mergeCell ref="B2:I2"/>
    <mergeCell ref="F24:L24"/>
    <mergeCell ref="F30:L30"/>
    <mergeCell ref="F18:H18"/>
    <mergeCell ref="B18:C18"/>
    <mergeCell ref="B17:C17"/>
    <mergeCell ref="B22:C22"/>
  </mergeCells>
  <printOptions/>
  <pageMargins left="0.75" right="0.75" top="1" bottom="1" header="0" footer="0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21"/>
  <sheetViews>
    <sheetView workbookViewId="0" topLeftCell="A1">
      <selection activeCell="G25" sqref="G25"/>
    </sheetView>
  </sheetViews>
  <sheetFormatPr defaultColWidth="11.421875" defaultRowHeight="12.75"/>
  <cols>
    <col min="2" max="2" width="20.8515625" style="0" customWidth="1"/>
    <col min="3" max="3" width="13.57421875" style="0" customWidth="1"/>
    <col min="4" max="4" width="10.00390625" style="0" customWidth="1"/>
    <col min="5" max="5" width="12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spans="2:8" ht="24" customHeight="1">
      <c r="B3" s="269" t="s">
        <v>260</v>
      </c>
      <c r="C3" s="270"/>
      <c r="D3" s="270"/>
      <c r="E3" s="270"/>
      <c r="F3" s="270"/>
      <c r="G3" s="270"/>
      <c r="H3" s="271"/>
    </row>
    <row r="6" spans="2:8" ht="16.5" customHeight="1">
      <c r="B6" s="238" t="s">
        <v>508</v>
      </c>
      <c r="C6" s="238"/>
      <c r="D6" s="238"/>
      <c r="E6" s="238"/>
      <c r="F6" s="238"/>
      <c r="G6" s="238"/>
      <c r="H6" s="238"/>
    </row>
    <row r="7" spans="2:8" ht="27" customHeight="1">
      <c r="B7" s="123" t="s">
        <v>255</v>
      </c>
      <c r="C7" s="124" t="s">
        <v>256</v>
      </c>
      <c r="D7" s="125" t="s">
        <v>348</v>
      </c>
      <c r="E7" s="124" t="s">
        <v>257</v>
      </c>
      <c r="F7" s="124" t="s">
        <v>349</v>
      </c>
      <c r="G7" s="124" t="s">
        <v>258</v>
      </c>
      <c r="H7" s="124" t="s">
        <v>259</v>
      </c>
    </row>
    <row r="8" spans="2:8" ht="12.75">
      <c r="B8" s="36" t="s">
        <v>105</v>
      </c>
      <c r="C8" s="52">
        <f>DEPRECIACIONES!C6</f>
        <v>168150</v>
      </c>
      <c r="D8" s="53">
        <v>25</v>
      </c>
      <c r="E8" s="52">
        <f>C8/D8</f>
        <v>6726</v>
      </c>
      <c r="F8" s="53">
        <v>10</v>
      </c>
      <c r="G8" s="52">
        <f>E8*F8</f>
        <v>67260</v>
      </c>
      <c r="H8" s="52">
        <f>C8-G8</f>
        <v>100890</v>
      </c>
    </row>
    <row r="9" spans="2:8" ht="12.75">
      <c r="B9" s="36" t="s">
        <v>106</v>
      </c>
      <c r="C9" s="52">
        <f>DEPRECIACIONES!C7</f>
        <v>102500</v>
      </c>
      <c r="D9" s="53">
        <v>25</v>
      </c>
      <c r="E9" s="52">
        <f aca="true" t="shared" si="0" ref="E9:E19">C9/D9</f>
        <v>4100</v>
      </c>
      <c r="F9" s="53">
        <v>10</v>
      </c>
      <c r="G9" s="52">
        <f aca="true" t="shared" si="1" ref="G9:G19">E9*F9</f>
        <v>41000</v>
      </c>
      <c r="H9" s="52">
        <f aca="true" t="shared" si="2" ref="H9:H19">C9-G9</f>
        <v>61500</v>
      </c>
    </row>
    <row r="10" spans="2:8" ht="12.75">
      <c r="B10" s="36" t="s">
        <v>107</v>
      </c>
      <c r="C10" s="52">
        <f>DEPRECIACIONES!C8</f>
        <v>60000</v>
      </c>
      <c r="D10" s="53">
        <v>25</v>
      </c>
      <c r="E10" s="52">
        <f t="shared" si="0"/>
        <v>2400</v>
      </c>
      <c r="F10" s="53">
        <v>10</v>
      </c>
      <c r="G10" s="52">
        <f t="shared" si="1"/>
        <v>24000</v>
      </c>
      <c r="H10" s="52">
        <f t="shared" si="2"/>
        <v>36000</v>
      </c>
    </row>
    <row r="11" spans="2:8" ht="12.75">
      <c r="B11" s="36" t="s">
        <v>108</v>
      </c>
      <c r="C11" s="52">
        <f>DEPRECIACIONES!C9</f>
        <v>30000</v>
      </c>
      <c r="D11" s="53">
        <v>25</v>
      </c>
      <c r="E11" s="52">
        <f t="shared" si="0"/>
        <v>1200</v>
      </c>
      <c r="F11" s="53">
        <v>10</v>
      </c>
      <c r="G11" s="52">
        <f t="shared" si="1"/>
        <v>12000</v>
      </c>
      <c r="H11" s="52">
        <f t="shared" si="2"/>
        <v>18000</v>
      </c>
    </row>
    <row r="12" spans="2:8" ht="12.75">
      <c r="B12" s="36" t="s">
        <v>109</v>
      </c>
      <c r="C12" s="52">
        <f>DEPRECIACIONES!C10</f>
        <v>116286.19</v>
      </c>
      <c r="D12" s="53">
        <v>10</v>
      </c>
      <c r="E12" s="52">
        <f t="shared" si="0"/>
        <v>11628.619</v>
      </c>
      <c r="F12" s="53">
        <v>10</v>
      </c>
      <c r="G12" s="52">
        <f t="shared" si="1"/>
        <v>116286.19</v>
      </c>
      <c r="H12" s="52">
        <f t="shared" si="2"/>
        <v>0</v>
      </c>
    </row>
    <row r="13" spans="2:8" ht="12.75">
      <c r="B13" s="36" t="s">
        <v>110</v>
      </c>
      <c r="C13" s="52">
        <f>DEPRECIACIONES!C11</f>
        <v>34944</v>
      </c>
      <c r="D13" s="53">
        <v>10</v>
      </c>
      <c r="E13" s="52">
        <f t="shared" si="0"/>
        <v>3494.4</v>
      </c>
      <c r="F13" s="53">
        <v>10</v>
      </c>
      <c r="G13" s="52">
        <f t="shared" si="1"/>
        <v>34944</v>
      </c>
      <c r="H13" s="52">
        <f t="shared" si="2"/>
        <v>0</v>
      </c>
    </row>
    <row r="14" spans="2:8" ht="12.75">
      <c r="B14" s="36" t="s">
        <v>111</v>
      </c>
      <c r="C14" s="52">
        <f>DEPRECIACIONES!C12</f>
        <v>3300</v>
      </c>
      <c r="D14" s="53">
        <v>3</v>
      </c>
      <c r="E14" s="52">
        <f t="shared" si="0"/>
        <v>1100</v>
      </c>
      <c r="F14" s="53">
        <v>3</v>
      </c>
      <c r="G14" s="52">
        <f t="shared" si="1"/>
        <v>3300</v>
      </c>
      <c r="H14" s="52">
        <f t="shared" si="2"/>
        <v>0</v>
      </c>
    </row>
    <row r="15" spans="2:8" ht="12.75">
      <c r="B15" s="36" t="s">
        <v>112</v>
      </c>
      <c r="C15" s="52">
        <f>DEPRECIACIONES!C13</f>
        <v>3070</v>
      </c>
      <c r="D15" s="53">
        <v>10</v>
      </c>
      <c r="E15" s="52">
        <f t="shared" si="0"/>
        <v>307</v>
      </c>
      <c r="F15" s="53">
        <v>10</v>
      </c>
      <c r="G15" s="52">
        <f t="shared" si="1"/>
        <v>3070</v>
      </c>
      <c r="H15" s="52">
        <f t="shared" si="2"/>
        <v>0</v>
      </c>
    </row>
    <row r="16" spans="2:8" ht="12.75">
      <c r="B16" s="36" t="s">
        <v>113</v>
      </c>
      <c r="C16" s="52">
        <f>DEPRECIACIONES!C14</f>
        <v>1000</v>
      </c>
      <c r="D16" s="53">
        <v>10</v>
      </c>
      <c r="E16" s="52">
        <f t="shared" si="0"/>
        <v>100</v>
      </c>
      <c r="F16" s="53">
        <v>10</v>
      </c>
      <c r="G16" s="52">
        <f t="shared" si="1"/>
        <v>1000</v>
      </c>
      <c r="H16" s="52">
        <f t="shared" si="2"/>
        <v>0</v>
      </c>
    </row>
    <row r="17" spans="2:8" ht="12.75">
      <c r="B17" s="36" t="s">
        <v>114</v>
      </c>
      <c r="C17" s="52">
        <f>DEPRECIACIONES!C15</f>
        <v>3800</v>
      </c>
      <c r="D17" s="53">
        <v>10</v>
      </c>
      <c r="E17" s="52">
        <f t="shared" si="0"/>
        <v>380</v>
      </c>
      <c r="F17" s="53">
        <v>10</v>
      </c>
      <c r="G17" s="52">
        <f t="shared" si="1"/>
        <v>3800</v>
      </c>
      <c r="H17" s="52">
        <f t="shared" si="2"/>
        <v>0</v>
      </c>
    </row>
    <row r="18" spans="2:8" ht="12.75">
      <c r="B18" s="36" t="s">
        <v>316</v>
      </c>
      <c r="C18" s="52">
        <f>'INVERSION INICIAL'!K41</f>
        <v>1000</v>
      </c>
      <c r="D18" s="53">
        <v>10</v>
      </c>
      <c r="E18" s="52">
        <f t="shared" si="0"/>
        <v>100</v>
      </c>
      <c r="F18" s="53">
        <v>10</v>
      </c>
      <c r="G18" s="52">
        <f t="shared" si="1"/>
        <v>1000</v>
      </c>
      <c r="H18" s="52">
        <f t="shared" si="2"/>
        <v>0</v>
      </c>
    </row>
    <row r="19" spans="2:8" ht="12.75">
      <c r="B19" s="36" t="s">
        <v>224</v>
      </c>
      <c r="C19" s="52">
        <f>DEPRECIACIONES!C17</f>
        <v>1004633.96</v>
      </c>
      <c r="D19" s="53">
        <v>20</v>
      </c>
      <c r="E19" s="52">
        <f t="shared" si="0"/>
        <v>50231.698</v>
      </c>
      <c r="F19" s="53">
        <v>10</v>
      </c>
      <c r="G19" s="52">
        <f t="shared" si="1"/>
        <v>502316.98</v>
      </c>
      <c r="H19" s="52">
        <f t="shared" si="2"/>
        <v>502316.98</v>
      </c>
    </row>
    <row r="20" spans="2:8" ht="12.75" customHeight="1">
      <c r="B20" s="240" t="s">
        <v>261</v>
      </c>
      <c r="C20" s="241"/>
      <c r="D20" s="241"/>
      <c r="E20" s="241"/>
      <c r="F20" s="241"/>
      <c r="G20" s="242"/>
      <c r="H20" s="117">
        <f>SUM(H8:H19)</f>
        <v>718706.98</v>
      </c>
    </row>
    <row r="21" spans="2:3" ht="15.75" customHeight="1">
      <c r="B21" s="236" t="s">
        <v>311</v>
      </c>
      <c r="C21" s="236"/>
    </row>
  </sheetData>
  <mergeCells count="4">
    <mergeCell ref="B3:H3"/>
    <mergeCell ref="B20:G20"/>
    <mergeCell ref="B21:C21"/>
    <mergeCell ref="B6:H6"/>
  </mergeCells>
  <printOptions/>
  <pageMargins left="0.75" right="0.75" top="1" bottom="1" header="0" footer="0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113"/>
  <sheetViews>
    <sheetView workbookViewId="0" topLeftCell="A1">
      <selection activeCell="F52" sqref="F52"/>
    </sheetView>
  </sheetViews>
  <sheetFormatPr defaultColWidth="11.421875" defaultRowHeight="12.75"/>
  <cols>
    <col min="1" max="1" width="5.7109375" style="0" customWidth="1"/>
    <col min="2" max="2" width="12.8515625" style="0" customWidth="1"/>
    <col min="3" max="3" width="14.8515625" style="0" customWidth="1"/>
    <col min="8" max="8" width="24.421875" style="0" customWidth="1"/>
  </cols>
  <sheetData>
    <row r="4" spans="2:8" ht="12.75">
      <c r="B4" s="94"/>
      <c r="C4" s="94"/>
      <c r="D4" s="94"/>
      <c r="E4" s="94"/>
      <c r="F4" s="94"/>
      <c r="G4" s="94"/>
      <c r="H4" s="94"/>
    </row>
    <row r="5" ht="13.5" thickBot="1"/>
    <row r="6" spans="8:15" ht="45.75" customHeight="1" thickBot="1">
      <c r="H6" s="213" t="s">
        <v>352</v>
      </c>
      <c r="I6" s="214" t="s">
        <v>353</v>
      </c>
      <c r="J6" s="214" t="s">
        <v>354</v>
      </c>
      <c r="K6" s="214" t="s">
        <v>355</v>
      </c>
      <c r="L6" s="214" t="s">
        <v>356</v>
      </c>
      <c r="M6" s="214" t="s">
        <v>357</v>
      </c>
      <c r="N6" s="214" t="s">
        <v>358</v>
      </c>
      <c r="O6" s="215" t="s">
        <v>359</v>
      </c>
    </row>
    <row r="7" spans="1:15" ht="15" customHeight="1">
      <c r="A7" s="119" t="s">
        <v>481</v>
      </c>
      <c r="B7" s="119"/>
      <c r="C7" s="119"/>
      <c r="D7" s="119"/>
      <c r="E7" s="119"/>
      <c r="H7" s="65" t="s">
        <v>360</v>
      </c>
      <c r="I7" s="66">
        <v>36</v>
      </c>
      <c r="J7" s="66">
        <v>1.6</v>
      </c>
      <c r="K7" s="67">
        <v>0.7276</v>
      </c>
      <c r="L7" s="68">
        <v>0.1301</v>
      </c>
      <c r="M7" s="216">
        <v>0.98</v>
      </c>
      <c r="N7" s="67">
        <v>0.1192</v>
      </c>
      <c r="O7" s="69">
        <v>1.12</v>
      </c>
    </row>
    <row r="8" spans="2:15" ht="15.75">
      <c r="B8" s="250" t="s">
        <v>480</v>
      </c>
      <c r="C8" s="251"/>
      <c r="H8" s="70" t="s">
        <v>361</v>
      </c>
      <c r="I8" s="71">
        <v>67</v>
      </c>
      <c r="J8" s="71">
        <v>1.19</v>
      </c>
      <c r="K8" s="72">
        <v>0.2294</v>
      </c>
      <c r="L8" s="73">
        <v>0.2005</v>
      </c>
      <c r="M8" s="217">
        <v>1</v>
      </c>
      <c r="N8" s="72">
        <v>0.079</v>
      </c>
      <c r="O8" s="74">
        <v>1.09</v>
      </c>
    </row>
    <row r="9" spans="2:15" ht="12.75">
      <c r="B9" s="95" t="s">
        <v>476</v>
      </c>
      <c r="C9" s="91">
        <v>0.0363</v>
      </c>
      <c r="H9" s="70" t="s">
        <v>362</v>
      </c>
      <c r="I9" s="71">
        <v>44</v>
      </c>
      <c r="J9" s="71">
        <v>1.06</v>
      </c>
      <c r="K9" s="72">
        <v>0.7074</v>
      </c>
      <c r="L9" s="73">
        <v>0.1763</v>
      </c>
      <c r="M9" s="217">
        <v>0.67</v>
      </c>
      <c r="N9" s="72">
        <v>0.1184</v>
      </c>
      <c r="O9" s="74">
        <v>0.76</v>
      </c>
    </row>
    <row r="10" spans="2:15" ht="12.75">
      <c r="B10" s="95" t="s">
        <v>482</v>
      </c>
      <c r="C10" s="91">
        <v>0.1165</v>
      </c>
      <c r="H10" s="70" t="s">
        <v>363</v>
      </c>
      <c r="I10" s="71">
        <v>56</v>
      </c>
      <c r="J10" s="71">
        <v>1.3</v>
      </c>
      <c r="K10" s="72">
        <v>0.2361</v>
      </c>
      <c r="L10" s="73">
        <v>0.1654</v>
      </c>
      <c r="M10" s="217">
        <v>1.09</v>
      </c>
      <c r="N10" s="72">
        <v>0.0695</v>
      </c>
      <c r="O10" s="74">
        <v>1.17</v>
      </c>
    </row>
    <row r="11" spans="2:15" ht="12.75">
      <c r="B11" s="95" t="s">
        <v>483</v>
      </c>
      <c r="C11" s="92">
        <v>1.01</v>
      </c>
      <c r="H11" s="70" t="s">
        <v>364</v>
      </c>
      <c r="I11" s="71">
        <v>22</v>
      </c>
      <c r="J11" s="71">
        <v>1.72</v>
      </c>
      <c r="K11" s="72">
        <v>1.5447</v>
      </c>
      <c r="L11" s="73">
        <v>0.1325</v>
      </c>
      <c r="M11" s="217">
        <v>0.74</v>
      </c>
      <c r="N11" s="72">
        <v>0.1175</v>
      </c>
      <c r="O11" s="74">
        <v>0.83</v>
      </c>
    </row>
    <row r="12" spans="2:15" ht="12.75">
      <c r="B12" s="95" t="s">
        <v>486</v>
      </c>
      <c r="C12" s="91">
        <v>0.082</v>
      </c>
      <c r="H12" s="70" t="s">
        <v>365</v>
      </c>
      <c r="I12" s="71">
        <v>54</v>
      </c>
      <c r="J12" s="71">
        <v>1.75</v>
      </c>
      <c r="K12" s="72">
        <v>0.5124</v>
      </c>
      <c r="L12" s="73">
        <v>0.1209</v>
      </c>
      <c r="M12" s="217">
        <v>1.21</v>
      </c>
      <c r="N12" s="72">
        <v>0.1238</v>
      </c>
      <c r="O12" s="74">
        <v>1.38</v>
      </c>
    </row>
    <row r="13" spans="2:15" ht="12.75">
      <c r="B13" s="95" t="s">
        <v>484</v>
      </c>
      <c r="C13" s="91">
        <f>(C10-C9)</f>
        <v>0.08020000000000001</v>
      </c>
      <c r="H13" s="70" t="s">
        <v>366</v>
      </c>
      <c r="I13" s="71">
        <v>481</v>
      </c>
      <c r="J13" s="71">
        <v>0.75</v>
      </c>
      <c r="K13" s="72">
        <v>1.9822</v>
      </c>
      <c r="L13" s="73">
        <v>0.175</v>
      </c>
      <c r="M13" s="217">
        <v>0.28</v>
      </c>
      <c r="N13" s="72">
        <v>0.1036</v>
      </c>
      <c r="O13" s="74">
        <v>0.32</v>
      </c>
    </row>
    <row r="14" spans="2:15" ht="14.25">
      <c r="B14" s="93"/>
      <c r="C14" s="91"/>
      <c r="H14" s="70" t="s">
        <v>367</v>
      </c>
      <c r="I14" s="71">
        <v>7</v>
      </c>
      <c r="J14" s="71">
        <v>0.86</v>
      </c>
      <c r="K14" s="72">
        <v>0.1644</v>
      </c>
      <c r="L14" s="73">
        <v>0.1494</v>
      </c>
      <c r="M14" s="217">
        <v>0.76</v>
      </c>
      <c r="N14" s="72">
        <v>0.0737</v>
      </c>
      <c r="O14" s="74">
        <v>0.82</v>
      </c>
    </row>
    <row r="15" spans="2:15" ht="14.25">
      <c r="B15" s="126" t="s">
        <v>485</v>
      </c>
      <c r="C15" s="127">
        <v>0.19931000000000004</v>
      </c>
      <c r="H15" s="70" t="s">
        <v>368</v>
      </c>
      <c r="I15" s="71">
        <v>39</v>
      </c>
      <c r="J15" s="71">
        <v>0.96</v>
      </c>
      <c r="K15" s="72">
        <v>1.1054</v>
      </c>
      <c r="L15" s="73">
        <v>0.2065</v>
      </c>
      <c r="M15" s="217">
        <v>0.51</v>
      </c>
      <c r="N15" s="72">
        <v>0.0963</v>
      </c>
      <c r="O15" s="74">
        <v>0.57</v>
      </c>
    </row>
    <row r="16" spans="2:15" ht="15.75" customHeight="1">
      <c r="B16" s="236" t="s">
        <v>311</v>
      </c>
      <c r="C16" s="236"/>
      <c r="H16" s="70" t="s">
        <v>369</v>
      </c>
      <c r="I16" s="71">
        <v>41</v>
      </c>
      <c r="J16" s="71">
        <v>1.04</v>
      </c>
      <c r="K16" s="72">
        <v>0.1692</v>
      </c>
      <c r="L16" s="73">
        <v>0.1212</v>
      </c>
      <c r="M16" s="217">
        <v>0.9</v>
      </c>
      <c r="N16" s="72">
        <v>0.032</v>
      </c>
      <c r="O16" s="74">
        <v>0.93</v>
      </c>
    </row>
    <row r="17" spans="8:15" ht="12.75">
      <c r="H17" s="70" t="s">
        <v>370</v>
      </c>
      <c r="I17" s="71">
        <v>121</v>
      </c>
      <c r="J17" s="71">
        <v>1.1</v>
      </c>
      <c r="K17" s="72">
        <v>0.1478</v>
      </c>
      <c r="L17" s="73">
        <v>0.0446</v>
      </c>
      <c r="M17" s="217">
        <v>0.96</v>
      </c>
      <c r="N17" s="72">
        <v>0.1459</v>
      </c>
      <c r="O17" s="74">
        <v>1.12</v>
      </c>
    </row>
    <row r="18" spans="8:15" ht="12.75">
      <c r="H18" s="70" t="s">
        <v>371</v>
      </c>
      <c r="I18" s="71">
        <v>53</v>
      </c>
      <c r="J18" s="71">
        <v>1.45</v>
      </c>
      <c r="K18" s="72">
        <v>0.838</v>
      </c>
      <c r="L18" s="73">
        <v>0.1456</v>
      </c>
      <c r="M18" s="217">
        <v>0.84</v>
      </c>
      <c r="N18" s="72">
        <v>0.0548</v>
      </c>
      <c r="O18" s="74">
        <v>0.89</v>
      </c>
    </row>
    <row r="19" spans="2:15" ht="15">
      <c r="B19" s="90" t="s">
        <v>465</v>
      </c>
      <c r="C19" s="85"/>
      <c r="D19" s="85"/>
      <c r="H19" s="70" t="s">
        <v>372</v>
      </c>
      <c r="I19" s="71">
        <v>24</v>
      </c>
      <c r="J19" s="71">
        <v>1.69</v>
      </c>
      <c r="K19" s="72">
        <v>0.8522</v>
      </c>
      <c r="L19" s="73">
        <v>0.2186</v>
      </c>
      <c r="M19" s="217">
        <v>1.02</v>
      </c>
      <c r="N19" s="72">
        <v>0.0402</v>
      </c>
      <c r="O19" s="74">
        <v>1.06</v>
      </c>
    </row>
    <row r="20" spans="2:15" ht="15">
      <c r="B20" s="90" t="s">
        <v>466</v>
      </c>
      <c r="C20" s="85" t="s">
        <v>467</v>
      </c>
      <c r="D20" s="85"/>
      <c r="H20" s="70" t="s">
        <v>373</v>
      </c>
      <c r="I20" s="71">
        <v>10</v>
      </c>
      <c r="J20" s="71">
        <v>1.18</v>
      </c>
      <c r="K20" s="72">
        <v>0.3086</v>
      </c>
      <c r="L20" s="73">
        <v>0.2699</v>
      </c>
      <c r="M20" s="217">
        <v>0.96</v>
      </c>
      <c r="N20" s="72">
        <v>0.0232</v>
      </c>
      <c r="O20" s="74">
        <v>0.98</v>
      </c>
    </row>
    <row r="21" spans="2:15" ht="15">
      <c r="B21" s="90" t="s">
        <v>468</v>
      </c>
      <c r="C21" s="85" t="s">
        <v>469</v>
      </c>
      <c r="D21" s="85"/>
      <c r="H21" s="70" t="s">
        <v>374</v>
      </c>
      <c r="I21" s="71">
        <v>17</v>
      </c>
      <c r="J21" s="71">
        <v>1.27</v>
      </c>
      <c r="K21" s="72">
        <v>0.2037</v>
      </c>
      <c r="L21" s="73">
        <v>0.2159</v>
      </c>
      <c r="M21" s="217">
        <v>1.1</v>
      </c>
      <c r="N21" s="72">
        <v>0.0674</v>
      </c>
      <c r="O21" s="74">
        <v>1.18</v>
      </c>
    </row>
    <row r="22" spans="2:15" ht="15">
      <c r="B22" s="90" t="s">
        <v>470</v>
      </c>
      <c r="C22" s="85" t="s">
        <v>471</v>
      </c>
      <c r="D22" s="85"/>
      <c r="H22" s="70" t="s">
        <v>375</v>
      </c>
      <c r="I22" s="71">
        <v>31</v>
      </c>
      <c r="J22" s="71">
        <v>1.37</v>
      </c>
      <c r="K22" s="72">
        <v>0.1985</v>
      </c>
      <c r="L22" s="73">
        <v>0.2084</v>
      </c>
      <c r="M22" s="217">
        <v>1.19</v>
      </c>
      <c r="N22" s="72">
        <v>0.0473</v>
      </c>
      <c r="O22" s="74">
        <v>1.25</v>
      </c>
    </row>
    <row r="23" spans="2:15" ht="15">
      <c r="B23" s="90" t="s">
        <v>472</v>
      </c>
      <c r="C23" s="85" t="s">
        <v>473</v>
      </c>
      <c r="D23" s="85"/>
      <c r="H23" s="70" t="s">
        <v>376</v>
      </c>
      <c r="I23" s="71">
        <v>97</v>
      </c>
      <c r="J23" s="71">
        <v>1.29</v>
      </c>
      <c r="K23" s="72">
        <v>0.2901</v>
      </c>
      <c r="L23" s="73">
        <v>0.1286</v>
      </c>
      <c r="M23" s="217">
        <v>1.03</v>
      </c>
      <c r="N23" s="72">
        <v>0.0417</v>
      </c>
      <c r="O23" s="74">
        <v>1.08</v>
      </c>
    </row>
    <row r="24" spans="2:15" ht="15">
      <c r="B24" s="90" t="s">
        <v>474</v>
      </c>
      <c r="C24" s="85" t="s">
        <v>475</v>
      </c>
      <c r="D24" s="85"/>
      <c r="H24" s="70" t="s">
        <v>377</v>
      </c>
      <c r="I24" s="71">
        <v>21</v>
      </c>
      <c r="J24" s="71">
        <v>1.67</v>
      </c>
      <c r="K24" s="72">
        <v>0.2368</v>
      </c>
      <c r="L24" s="73">
        <v>0.1315</v>
      </c>
      <c r="M24" s="217">
        <v>1.39</v>
      </c>
      <c r="N24" s="72">
        <v>0.0431</v>
      </c>
      <c r="O24" s="74">
        <v>1.45</v>
      </c>
    </row>
    <row r="25" spans="8:15" ht="12.75">
      <c r="H25" s="70" t="s">
        <v>378</v>
      </c>
      <c r="I25" s="71">
        <v>333</v>
      </c>
      <c r="J25" s="71">
        <v>1.02</v>
      </c>
      <c r="K25" s="72">
        <v>0.0561</v>
      </c>
      <c r="L25" s="73">
        <v>0.1012</v>
      </c>
      <c r="M25" s="217">
        <v>0.97</v>
      </c>
      <c r="N25" s="72">
        <v>0.1034</v>
      </c>
      <c r="O25" s="74">
        <v>1.08</v>
      </c>
    </row>
    <row r="26" spans="8:15" ht="12.75">
      <c r="H26" s="70" t="s">
        <v>379</v>
      </c>
      <c r="I26" s="71">
        <v>129</v>
      </c>
      <c r="J26" s="71">
        <v>1.29</v>
      </c>
      <c r="K26" s="72">
        <v>0.1093</v>
      </c>
      <c r="L26" s="73">
        <v>0.0865</v>
      </c>
      <c r="M26" s="217">
        <v>1.17</v>
      </c>
      <c r="N26" s="72">
        <v>0.122</v>
      </c>
      <c r="O26" s="74">
        <v>1.33</v>
      </c>
    </row>
    <row r="27" spans="8:15" ht="12.75">
      <c r="H27" s="70" t="s">
        <v>380</v>
      </c>
      <c r="I27" s="71">
        <v>121</v>
      </c>
      <c r="J27" s="71">
        <v>1.2</v>
      </c>
      <c r="K27" s="72">
        <v>1.3878</v>
      </c>
      <c r="L27" s="73">
        <v>0.1893</v>
      </c>
      <c r="M27" s="217">
        <v>0.57</v>
      </c>
      <c r="N27" s="72">
        <v>0.1112</v>
      </c>
      <c r="O27" s="74">
        <v>0.64</v>
      </c>
    </row>
    <row r="28" spans="8:15" ht="12.75">
      <c r="H28" s="70" t="s">
        <v>381</v>
      </c>
      <c r="I28" s="71">
        <v>337</v>
      </c>
      <c r="J28" s="71">
        <v>1.11</v>
      </c>
      <c r="K28" s="72">
        <v>0.1258</v>
      </c>
      <c r="L28" s="73">
        <v>0.0562</v>
      </c>
      <c r="M28" s="217">
        <v>0.99</v>
      </c>
      <c r="N28" s="72">
        <v>0.0779</v>
      </c>
      <c r="O28" s="74">
        <v>1.07</v>
      </c>
    </row>
    <row r="29" spans="8:15" ht="12.75">
      <c r="H29" s="70" t="s">
        <v>382</v>
      </c>
      <c r="I29" s="71">
        <v>56</v>
      </c>
      <c r="J29" s="71">
        <v>1.18</v>
      </c>
      <c r="K29" s="72">
        <v>0.0874</v>
      </c>
      <c r="L29" s="73">
        <v>0.135</v>
      </c>
      <c r="M29" s="217">
        <v>1.09</v>
      </c>
      <c r="N29" s="72">
        <v>0.1163</v>
      </c>
      <c r="O29" s="74">
        <v>1.24</v>
      </c>
    </row>
    <row r="30" spans="8:15" ht="12.75">
      <c r="H30" s="70" t="s">
        <v>383</v>
      </c>
      <c r="I30" s="71">
        <v>38</v>
      </c>
      <c r="J30" s="71">
        <v>0.75</v>
      </c>
      <c r="K30" s="72">
        <v>0.0721</v>
      </c>
      <c r="L30" s="73">
        <v>0.2406</v>
      </c>
      <c r="M30" s="217">
        <v>0.71</v>
      </c>
      <c r="N30" s="72">
        <v>0.0858</v>
      </c>
      <c r="O30" s="74">
        <v>0.78</v>
      </c>
    </row>
    <row r="31" spans="8:15" ht="12.75">
      <c r="H31" s="70" t="s">
        <v>384</v>
      </c>
      <c r="I31" s="71">
        <v>23</v>
      </c>
      <c r="J31" s="71">
        <v>0.79</v>
      </c>
      <c r="K31" s="72">
        <v>1.0289</v>
      </c>
      <c r="L31" s="73">
        <v>0.3227</v>
      </c>
      <c r="M31" s="217">
        <v>0.47</v>
      </c>
      <c r="N31" s="72">
        <v>0.0231</v>
      </c>
      <c r="O31" s="74">
        <v>0.48</v>
      </c>
    </row>
    <row r="32" spans="8:15" ht="12.75">
      <c r="H32" s="70" t="s">
        <v>385</v>
      </c>
      <c r="I32" s="71">
        <v>24</v>
      </c>
      <c r="J32" s="71">
        <v>0.73</v>
      </c>
      <c r="K32" s="72">
        <v>0.7574</v>
      </c>
      <c r="L32" s="73">
        <v>0.3377</v>
      </c>
      <c r="M32" s="217">
        <v>0.49</v>
      </c>
      <c r="N32" s="72">
        <v>0.017</v>
      </c>
      <c r="O32" s="74">
        <v>0.5</v>
      </c>
    </row>
    <row r="33" spans="8:15" ht="12.75">
      <c r="H33" s="70" t="s">
        <v>386</v>
      </c>
      <c r="I33" s="71">
        <v>14</v>
      </c>
      <c r="J33" s="71">
        <v>0.75</v>
      </c>
      <c r="K33" s="72">
        <v>0.8999</v>
      </c>
      <c r="L33" s="73">
        <v>0.3245</v>
      </c>
      <c r="M33" s="217">
        <v>0.47</v>
      </c>
      <c r="N33" s="72">
        <v>0.0425</v>
      </c>
      <c r="O33" s="74">
        <v>0.49</v>
      </c>
    </row>
    <row r="34" spans="8:15" ht="12.75">
      <c r="H34" s="70" t="s">
        <v>387</v>
      </c>
      <c r="I34" s="71">
        <v>87</v>
      </c>
      <c r="J34" s="71">
        <v>1.41</v>
      </c>
      <c r="K34" s="72">
        <v>0.1691</v>
      </c>
      <c r="L34" s="73">
        <v>0.1407</v>
      </c>
      <c r="M34" s="217">
        <v>1.23</v>
      </c>
      <c r="N34" s="72">
        <v>0.0716</v>
      </c>
      <c r="O34" s="74">
        <v>1.33</v>
      </c>
    </row>
    <row r="35" spans="8:15" ht="12.75">
      <c r="H35" s="70" t="s">
        <v>388</v>
      </c>
      <c r="I35" s="71">
        <v>183</v>
      </c>
      <c r="J35" s="71">
        <v>1.16</v>
      </c>
      <c r="K35" s="72">
        <v>0.2637</v>
      </c>
      <c r="L35" s="73">
        <v>0.1063</v>
      </c>
      <c r="M35" s="217">
        <v>0.94</v>
      </c>
      <c r="N35" s="72">
        <v>0.149</v>
      </c>
      <c r="O35" s="74">
        <v>1.1</v>
      </c>
    </row>
    <row r="36" spans="8:15" ht="12.75">
      <c r="H36" s="75" t="s">
        <v>389</v>
      </c>
      <c r="I36" s="76">
        <v>95</v>
      </c>
      <c r="J36" s="76">
        <v>1.81</v>
      </c>
      <c r="K36" s="77">
        <v>0.5683</v>
      </c>
      <c r="L36" s="78">
        <v>0.1178</v>
      </c>
      <c r="M36" s="217">
        <v>1.21</v>
      </c>
      <c r="N36" s="77">
        <v>0.0656</v>
      </c>
      <c r="O36" s="79">
        <v>1.29</v>
      </c>
    </row>
    <row r="37" spans="8:15" ht="12.75">
      <c r="H37" s="70" t="s">
        <v>390</v>
      </c>
      <c r="I37" s="71">
        <v>35</v>
      </c>
      <c r="J37" s="71">
        <v>1.32</v>
      </c>
      <c r="K37" s="72">
        <v>0.1172</v>
      </c>
      <c r="L37" s="73">
        <v>0.0628</v>
      </c>
      <c r="M37" s="217">
        <v>1.19</v>
      </c>
      <c r="N37" s="72">
        <v>0.2236</v>
      </c>
      <c r="O37" s="74">
        <v>1.53</v>
      </c>
    </row>
    <row r="38" spans="8:15" ht="12.75">
      <c r="H38" s="70" t="s">
        <v>391</v>
      </c>
      <c r="I38" s="71">
        <v>91</v>
      </c>
      <c r="J38" s="71">
        <v>0.97</v>
      </c>
      <c r="K38" s="72">
        <v>0.4942</v>
      </c>
      <c r="L38" s="73">
        <v>0.1427</v>
      </c>
      <c r="M38" s="217">
        <v>0.68</v>
      </c>
      <c r="N38" s="72">
        <v>0.0249</v>
      </c>
      <c r="O38" s="74">
        <v>0.7</v>
      </c>
    </row>
    <row r="39" spans="8:15" ht="12.75">
      <c r="H39" s="70" t="s">
        <v>392</v>
      </c>
      <c r="I39" s="71">
        <v>296</v>
      </c>
      <c r="J39" s="71">
        <v>1.39</v>
      </c>
      <c r="K39" s="72">
        <v>3.0502</v>
      </c>
      <c r="L39" s="73">
        <v>0.1653</v>
      </c>
      <c r="M39" s="217">
        <v>0.39</v>
      </c>
      <c r="N39" s="72">
        <v>0.1576</v>
      </c>
      <c r="O39" s="74">
        <v>0.47</v>
      </c>
    </row>
    <row r="40" spans="8:15" ht="12.75">
      <c r="H40" s="70" t="s">
        <v>393</v>
      </c>
      <c r="I40" s="71">
        <v>121</v>
      </c>
      <c r="J40" s="71">
        <v>0.86</v>
      </c>
      <c r="K40" s="72">
        <v>0.2931</v>
      </c>
      <c r="L40" s="73">
        <v>0.1729</v>
      </c>
      <c r="M40" s="217">
        <v>0.69</v>
      </c>
      <c r="N40" s="72">
        <v>0.0379</v>
      </c>
      <c r="O40" s="74">
        <v>0.72</v>
      </c>
    </row>
    <row r="41" spans="8:15" ht="12.75">
      <c r="H41" s="70" t="s">
        <v>394</v>
      </c>
      <c r="I41" s="71">
        <v>9</v>
      </c>
      <c r="J41" s="71">
        <v>1.13</v>
      </c>
      <c r="K41" s="72">
        <v>0.2912</v>
      </c>
      <c r="L41" s="73">
        <v>0.1071</v>
      </c>
      <c r="M41" s="217">
        <v>0.9</v>
      </c>
      <c r="N41" s="72">
        <v>0.2265</v>
      </c>
      <c r="O41" s="74">
        <v>1.16</v>
      </c>
    </row>
    <row r="42" spans="8:15" ht="12.75">
      <c r="H42" s="70" t="s">
        <v>395</v>
      </c>
      <c r="I42" s="71">
        <v>5</v>
      </c>
      <c r="J42" s="71">
        <v>1.19</v>
      </c>
      <c r="K42" s="72">
        <v>0.5652</v>
      </c>
      <c r="L42" s="73">
        <v>0.2434</v>
      </c>
      <c r="M42" s="217">
        <v>0.83</v>
      </c>
      <c r="N42" s="72">
        <v>0.0351</v>
      </c>
      <c r="O42" s="74">
        <v>0.86</v>
      </c>
    </row>
    <row r="43" spans="8:15" ht="12.75">
      <c r="H43" s="70" t="s">
        <v>396</v>
      </c>
      <c r="I43" s="71">
        <v>35</v>
      </c>
      <c r="J43" s="71">
        <v>1.52</v>
      </c>
      <c r="K43" s="72">
        <v>0.3854</v>
      </c>
      <c r="L43" s="73">
        <v>0.1748</v>
      </c>
      <c r="M43" s="217">
        <v>1.16</v>
      </c>
      <c r="N43" s="72">
        <v>0.0612</v>
      </c>
      <c r="O43" s="74">
        <v>1.23</v>
      </c>
    </row>
    <row r="44" spans="8:15" ht="12.75">
      <c r="H44" s="70" t="s">
        <v>397</v>
      </c>
      <c r="I44" s="71">
        <v>33</v>
      </c>
      <c r="J44" s="71">
        <v>0.97</v>
      </c>
      <c r="K44" s="72">
        <v>0.1357</v>
      </c>
      <c r="L44" s="73">
        <v>0.178</v>
      </c>
      <c r="M44" s="217">
        <v>0.87</v>
      </c>
      <c r="N44" s="72">
        <v>0.0685</v>
      </c>
      <c r="O44" s="74">
        <v>0.94</v>
      </c>
    </row>
    <row r="45" spans="8:15" ht="12.75">
      <c r="H45" s="70" t="s">
        <v>398</v>
      </c>
      <c r="I45" s="71">
        <v>14</v>
      </c>
      <c r="J45" s="71">
        <v>1.42</v>
      </c>
      <c r="K45" s="72">
        <v>0.0758</v>
      </c>
      <c r="L45" s="73">
        <v>0.3376</v>
      </c>
      <c r="M45" s="217">
        <v>1.35</v>
      </c>
      <c r="N45" s="72">
        <v>0.1686</v>
      </c>
      <c r="O45" s="74">
        <v>1.63</v>
      </c>
    </row>
    <row r="46" spans="8:15" ht="12.75">
      <c r="H46" s="70" t="s">
        <v>399</v>
      </c>
      <c r="I46" s="71">
        <v>28</v>
      </c>
      <c r="J46" s="71">
        <v>1.45</v>
      </c>
      <c r="K46" s="72">
        <v>1.0234</v>
      </c>
      <c r="L46" s="73">
        <v>0.0142</v>
      </c>
      <c r="M46" s="217">
        <v>0.72</v>
      </c>
      <c r="N46" s="72">
        <v>0.2611</v>
      </c>
      <c r="O46" s="74">
        <v>0.98</v>
      </c>
    </row>
    <row r="47" spans="8:15" ht="12.75">
      <c r="H47" s="70" t="s">
        <v>400</v>
      </c>
      <c r="I47" s="71">
        <v>74</v>
      </c>
      <c r="J47" s="71">
        <v>1.74</v>
      </c>
      <c r="K47" s="72">
        <v>0.859</v>
      </c>
      <c r="L47" s="73">
        <v>0.1293</v>
      </c>
      <c r="M47" s="217">
        <v>1</v>
      </c>
      <c r="N47" s="72">
        <v>0.0619</v>
      </c>
      <c r="O47" s="74">
        <v>1.06</v>
      </c>
    </row>
    <row r="48" spans="8:15" ht="12.75">
      <c r="H48" s="70" t="s">
        <v>401</v>
      </c>
      <c r="I48" s="71">
        <v>23</v>
      </c>
      <c r="J48" s="71">
        <v>1.15</v>
      </c>
      <c r="K48" s="72">
        <v>0.2236</v>
      </c>
      <c r="L48" s="73">
        <v>0.2487</v>
      </c>
      <c r="M48" s="217">
        <v>0.98</v>
      </c>
      <c r="N48" s="72">
        <v>0.0223</v>
      </c>
      <c r="O48" s="74">
        <v>1</v>
      </c>
    </row>
    <row r="49" spans="8:15" ht="12.75">
      <c r="H49" s="70" t="s">
        <v>402</v>
      </c>
      <c r="I49" s="71">
        <v>30</v>
      </c>
      <c r="J49" s="71">
        <v>1.38</v>
      </c>
      <c r="K49" s="72">
        <v>0.1317</v>
      </c>
      <c r="L49" s="73">
        <v>0.2363</v>
      </c>
      <c r="M49" s="217">
        <v>1.25</v>
      </c>
      <c r="N49" s="72">
        <v>0.1481</v>
      </c>
      <c r="O49" s="74">
        <v>1.47</v>
      </c>
    </row>
    <row r="50" spans="8:15" ht="12.75">
      <c r="H50" s="70" t="s">
        <v>403</v>
      </c>
      <c r="I50" s="71">
        <v>168</v>
      </c>
      <c r="J50" s="71">
        <v>1.07</v>
      </c>
      <c r="K50" s="72">
        <v>0.3396</v>
      </c>
      <c r="L50" s="73">
        <v>0.1789</v>
      </c>
      <c r="M50" s="217">
        <v>0.84</v>
      </c>
      <c r="N50" s="72">
        <v>0.081</v>
      </c>
      <c r="O50" s="74">
        <v>0.91</v>
      </c>
    </row>
    <row r="51" spans="8:15" ht="12.75">
      <c r="H51" s="70" t="s">
        <v>404</v>
      </c>
      <c r="I51" s="71">
        <v>29</v>
      </c>
      <c r="J51" s="71">
        <v>1.28</v>
      </c>
      <c r="K51" s="72">
        <v>0.2368</v>
      </c>
      <c r="L51" s="73">
        <v>0.1937</v>
      </c>
      <c r="M51" s="217">
        <v>1.08</v>
      </c>
      <c r="N51" s="72">
        <v>0.0391</v>
      </c>
      <c r="O51" s="74">
        <v>1.12</v>
      </c>
    </row>
    <row r="52" spans="8:15" ht="12.75">
      <c r="H52" s="70" t="s">
        <v>405</v>
      </c>
      <c r="I52" s="71">
        <v>31</v>
      </c>
      <c r="J52" s="71">
        <v>1.38</v>
      </c>
      <c r="K52" s="72">
        <v>0.3681</v>
      </c>
      <c r="L52" s="73">
        <v>0.2247</v>
      </c>
      <c r="M52" s="217">
        <v>1.07</v>
      </c>
      <c r="N52" s="72">
        <v>0.3896</v>
      </c>
      <c r="O52" s="74">
        <v>1.75</v>
      </c>
    </row>
    <row r="53" spans="8:15" ht="12.75">
      <c r="H53" s="70" t="s">
        <v>406</v>
      </c>
      <c r="I53" s="71">
        <v>85</v>
      </c>
      <c r="J53" s="71">
        <v>0.92</v>
      </c>
      <c r="K53" s="72">
        <v>0.2403</v>
      </c>
      <c r="L53" s="73">
        <v>0.1568</v>
      </c>
      <c r="M53" s="217">
        <v>0.76</v>
      </c>
      <c r="N53" s="72">
        <v>0.2351</v>
      </c>
      <c r="O53" s="74">
        <v>1</v>
      </c>
    </row>
    <row r="54" spans="8:15" ht="12.75">
      <c r="H54" s="70" t="s">
        <v>407</v>
      </c>
      <c r="I54" s="71">
        <v>239</v>
      </c>
      <c r="J54" s="71">
        <v>1.04</v>
      </c>
      <c r="K54" s="72">
        <v>0.0228</v>
      </c>
      <c r="L54" s="73">
        <v>0.0594</v>
      </c>
      <c r="M54" s="217">
        <v>1.02</v>
      </c>
      <c r="N54" s="72">
        <v>0.0953</v>
      </c>
      <c r="O54" s="74">
        <v>1.13</v>
      </c>
    </row>
    <row r="55" spans="8:15" ht="12.75">
      <c r="H55" s="70" t="s">
        <v>408</v>
      </c>
      <c r="I55" s="71">
        <v>19</v>
      </c>
      <c r="J55" s="71">
        <v>0.76</v>
      </c>
      <c r="K55" s="72">
        <v>0.5926</v>
      </c>
      <c r="L55" s="73">
        <v>0</v>
      </c>
      <c r="M55" s="217">
        <v>0.48</v>
      </c>
      <c r="N55" s="72">
        <v>0.7209</v>
      </c>
      <c r="O55" s="74">
        <v>1.71</v>
      </c>
    </row>
    <row r="56" spans="8:15" ht="12.75">
      <c r="H56" s="70" t="s">
        <v>409</v>
      </c>
      <c r="I56" s="71">
        <v>16</v>
      </c>
      <c r="J56" s="71">
        <v>1.39</v>
      </c>
      <c r="K56" s="72">
        <v>0.0938</v>
      </c>
      <c r="L56" s="73">
        <v>0.021</v>
      </c>
      <c r="M56" s="217">
        <v>1.27</v>
      </c>
      <c r="N56" s="72">
        <v>0.0684</v>
      </c>
      <c r="O56" s="74">
        <v>1.36</v>
      </c>
    </row>
    <row r="57" spans="8:15" ht="12.75">
      <c r="H57" s="70" t="s">
        <v>410</v>
      </c>
      <c r="I57" s="71">
        <v>130</v>
      </c>
      <c r="J57" s="71">
        <v>1.32</v>
      </c>
      <c r="K57" s="72">
        <v>0.468</v>
      </c>
      <c r="L57" s="73">
        <v>0.2041</v>
      </c>
      <c r="M57" s="217">
        <v>0.96</v>
      </c>
      <c r="N57" s="72">
        <v>0.067</v>
      </c>
      <c r="O57" s="74">
        <v>1.03</v>
      </c>
    </row>
    <row r="58" spans="8:15" ht="12.75">
      <c r="H58" s="70" t="s">
        <v>411</v>
      </c>
      <c r="I58" s="71">
        <v>15</v>
      </c>
      <c r="J58" s="71">
        <v>1.21</v>
      </c>
      <c r="K58" s="72">
        <v>0.0398</v>
      </c>
      <c r="L58" s="73">
        <v>0.148</v>
      </c>
      <c r="M58" s="217">
        <v>1.17</v>
      </c>
      <c r="N58" s="72">
        <v>0.1351</v>
      </c>
      <c r="O58" s="74">
        <v>1.35</v>
      </c>
    </row>
    <row r="59" spans="8:15" ht="12.75">
      <c r="H59" s="70" t="s">
        <v>412</v>
      </c>
      <c r="I59" s="71">
        <v>53</v>
      </c>
      <c r="J59" s="71">
        <v>1.38</v>
      </c>
      <c r="K59" s="72">
        <v>1.5957</v>
      </c>
      <c r="L59" s="73">
        <v>0.097</v>
      </c>
      <c r="M59" s="217">
        <v>0.57</v>
      </c>
      <c r="N59" s="72">
        <v>0.0693</v>
      </c>
      <c r="O59" s="74">
        <v>0.61</v>
      </c>
    </row>
    <row r="60" spans="8:15" ht="12.75">
      <c r="H60" s="70" t="s">
        <v>413</v>
      </c>
      <c r="I60" s="71">
        <v>162</v>
      </c>
      <c r="J60" s="71">
        <v>0.97</v>
      </c>
      <c r="K60" s="72">
        <v>0.4309</v>
      </c>
      <c r="L60" s="73">
        <v>0.1884</v>
      </c>
      <c r="M60" s="217">
        <v>0.72</v>
      </c>
      <c r="N60" s="72">
        <v>0.1096</v>
      </c>
      <c r="O60" s="74">
        <v>0.81</v>
      </c>
    </row>
    <row r="61" spans="8:15" ht="12.75">
      <c r="H61" s="70" t="s">
        <v>414</v>
      </c>
      <c r="I61" s="71">
        <v>264</v>
      </c>
      <c r="J61" s="71">
        <v>1.04</v>
      </c>
      <c r="K61" s="72">
        <v>0.1136</v>
      </c>
      <c r="L61" s="73">
        <v>0.1124</v>
      </c>
      <c r="M61" s="217">
        <v>0.95</v>
      </c>
      <c r="N61" s="72">
        <v>0.0657</v>
      </c>
      <c r="O61" s="74">
        <v>1.02</v>
      </c>
    </row>
    <row r="62" spans="8:15" ht="12.75">
      <c r="H62" s="70" t="s">
        <v>415</v>
      </c>
      <c r="I62" s="71">
        <v>36</v>
      </c>
      <c r="J62" s="71">
        <v>1.54</v>
      </c>
      <c r="K62" s="72">
        <v>0.188</v>
      </c>
      <c r="L62" s="73">
        <v>0.181</v>
      </c>
      <c r="M62" s="217">
        <v>1.33</v>
      </c>
      <c r="N62" s="72">
        <v>0.1177</v>
      </c>
      <c r="O62" s="74">
        <v>1.51</v>
      </c>
    </row>
    <row r="63" spans="8:15" ht="12.75">
      <c r="H63" s="70" t="s">
        <v>416</v>
      </c>
      <c r="I63" s="71">
        <v>79</v>
      </c>
      <c r="J63" s="71">
        <v>1.23</v>
      </c>
      <c r="K63" s="72">
        <v>0.1478</v>
      </c>
      <c r="L63" s="73">
        <v>0.0741</v>
      </c>
      <c r="M63" s="217">
        <v>1.08</v>
      </c>
      <c r="N63" s="72">
        <v>0.0281</v>
      </c>
      <c r="O63" s="74">
        <v>1.11</v>
      </c>
    </row>
    <row r="64" spans="8:15" ht="12.75">
      <c r="H64" s="70" t="s">
        <v>417</v>
      </c>
      <c r="I64" s="71">
        <v>32</v>
      </c>
      <c r="J64" s="71">
        <v>1.29</v>
      </c>
      <c r="K64" s="72">
        <v>0.4784</v>
      </c>
      <c r="L64" s="73">
        <v>0.2501</v>
      </c>
      <c r="M64" s="217">
        <v>0.95</v>
      </c>
      <c r="N64" s="72">
        <v>0.0244</v>
      </c>
      <c r="O64" s="74">
        <v>0.97</v>
      </c>
    </row>
    <row r="65" spans="8:15" ht="12.75">
      <c r="H65" s="70" t="s">
        <v>418</v>
      </c>
      <c r="I65" s="71">
        <v>24</v>
      </c>
      <c r="J65" s="71">
        <v>0.68</v>
      </c>
      <c r="K65" s="72">
        <v>0.8053</v>
      </c>
      <c r="L65" s="73">
        <v>0.2487</v>
      </c>
      <c r="M65" s="217">
        <v>0.42</v>
      </c>
      <c r="N65" s="72">
        <v>0.0269</v>
      </c>
      <c r="O65" s="74">
        <v>0.43</v>
      </c>
    </row>
    <row r="66" spans="8:15" ht="12.75">
      <c r="H66" s="70" t="s">
        <v>419</v>
      </c>
      <c r="I66" s="71">
        <v>15</v>
      </c>
      <c r="J66" s="71">
        <v>1.94</v>
      </c>
      <c r="K66" s="72">
        <v>0.5565</v>
      </c>
      <c r="L66" s="73">
        <v>0.2726</v>
      </c>
      <c r="M66" s="217">
        <v>1.38</v>
      </c>
      <c r="N66" s="72">
        <v>0.0368</v>
      </c>
      <c r="O66" s="74">
        <v>1.44</v>
      </c>
    </row>
    <row r="67" spans="8:15" ht="12.75">
      <c r="H67" s="70" t="s">
        <v>420</v>
      </c>
      <c r="I67" s="71">
        <v>25</v>
      </c>
      <c r="J67" s="71">
        <v>1.19</v>
      </c>
      <c r="K67" s="72">
        <v>0.5684</v>
      </c>
      <c r="L67" s="73">
        <v>0.2262</v>
      </c>
      <c r="M67" s="217">
        <v>0.83</v>
      </c>
      <c r="N67" s="72">
        <v>0.0673</v>
      </c>
      <c r="O67" s="74">
        <v>0.89</v>
      </c>
    </row>
    <row r="68" spans="8:15" ht="12.75">
      <c r="H68" s="70" t="s">
        <v>421</v>
      </c>
      <c r="I68" s="71">
        <v>19</v>
      </c>
      <c r="J68" s="71">
        <v>0.89</v>
      </c>
      <c r="K68" s="72">
        <v>0.6146</v>
      </c>
      <c r="L68" s="73">
        <v>0.0715</v>
      </c>
      <c r="M68" s="217">
        <v>0.56</v>
      </c>
      <c r="N68" s="72">
        <v>0.0183</v>
      </c>
      <c r="O68" s="74">
        <v>0.58</v>
      </c>
    </row>
    <row r="69" spans="8:15" ht="12.75">
      <c r="H69" s="70" t="s">
        <v>422</v>
      </c>
      <c r="I69" s="71">
        <v>113</v>
      </c>
      <c r="J69" s="71">
        <v>1.45</v>
      </c>
      <c r="K69" s="72">
        <v>0.2597</v>
      </c>
      <c r="L69" s="73">
        <v>0.2205</v>
      </c>
      <c r="M69" s="217">
        <v>1.21</v>
      </c>
      <c r="N69" s="72">
        <v>0.0477</v>
      </c>
      <c r="O69" s="74">
        <v>1.27</v>
      </c>
    </row>
    <row r="70" spans="8:15" ht="12.75">
      <c r="H70" s="70" t="s">
        <v>423</v>
      </c>
      <c r="I70" s="71">
        <v>31</v>
      </c>
      <c r="J70" s="71">
        <v>1.2</v>
      </c>
      <c r="K70" s="72">
        <v>0.6131</v>
      </c>
      <c r="L70" s="73">
        <v>0.1818</v>
      </c>
      <c r="M70" s="217">
        <v>0.8</v>
      </c>
      <c r="N70" s="72">
        <v>0.0426</v>
      </c>
      <c r="O70" s="74">
        <v>0.83</v>
      </c>
    </row>
    <row r="71" spans="8:15" ht="12.75">
      <c r="H71" s="70" t="s">
        <v>424</v>
      </c>
      <c r="I71" s="71">
        <v>39</v>
      </c>
      <c r="J71" s="71">
        <v>1.63</v>
      </c>
      <c r="K71" s="72">
        <v>0.8648</v>
      </c>
      <c r="L71" s="73">
        <v>0.077</v>
      </c>
      <c r="M71" s="217">
        <v>0.91</v>
      </c>
      <c r="N71" s="72">
        <v>0.0549</v>
      </c>
      <c r="O71" s="74">
        <v>0.96</v>
      </c>
    </row>
    <row r="72" spans="8:15" ht="12.75">
      <c r="H72" s="70" t="s">
        <v>425</v>
      </c>
      <c r="I72" s="71">
        <v>24</v>
      </c>
      <c r="J72" s="71">
        <v>1.24</v>
      </c>
      <c r="K72" s="72">
        <v>0.1444</v>
      </c>
      <c r="L72" s="73">
        <v>0.33</v>
      </c>
      <c r="M72" s="217">
        <v>1.13</v>
      </c>
      <c r="N72" s="72">
        <v>0.0613</v>
      </c>
      <c r="O72" s="74">
        <v>1.21</v>
      </c>
    </row>
    <row r="73" spans="8:15" ht="12.75">
      <c r="H73" s="70" t="s">
        <v>426</v>
      </c>
      <c r="I73" s="71">
        <v>198</v>
      </c>
      <c r="J73" s="71">
        <v>1.16</v>
      </c>
      <c r="K73" s="72">
        <v>0.2701</v>
      </c>
      <c r="L73" s="73">
        <v>0.1127</v>
      </c>
      <c r="M73" s="217">
        <v>0.94</v>
      </c>
      <c r="N73" s="72">
        <v>0.031</v>
      </c>
      <c r="O73" s="74">
        <v>0.97</v>
      </c>
    </row>
    <row r="74" spans="8:15" ht="12.75">
      <c r="H74" s="70" t="s">
        <v>427</v>
      </c>
      <c r="I74" s="71">
        <v>21</v>
      </c>
      <c r="J74" s="71">
        <v>0.88</v>
      </c>
      <c r="K74" s="72">
        <v>0.2007</v>
      </c>
      <c r="L74" s="73">
        <v>0.2436</v>
      </c>
      <c r="M74" s="217">
        <v>0.76</v>
      </c>
      <c r="N74" s="72">
        <v>0.0323</v>
      </c>
      <c r="O74" s="74">
        <v>0.79</v>
      </c>
    </row>
    <row r="75" spans="8:15" ht="12.75">
      <c r="H75" s="70" t="s">
        <v>428</v>
      </c>
      <c r="I75" s="71">
        <v>77</v>
      </c>
      <c r="J75" s="71">
        <v>1.23</v>
      </c>
      <c r="K75" s="72">
        <v>1.0358</v>
      </c>
      <c r="L75" s="73">
        <v>0.07</v>
      </c>
      <c r="M75" s="217">
        <v>0.63</v>
      </c>
      <c r="N75" s="72">
        <v>0.0956</v>
      </c>
      <c r="O75" s="74">
        <v>0.69</v>
      </c>
    </row>
    <row r="76" spans="8:15" ht="12.75">
      <c r="H76" s="70" t="s">
        <v>429</v>
      </c>
      <c r="I76" s="71">
        <v>78</v>
      </c>
      <c r="J76" s="71">
        <v>1.18</v>
      </c>
      <c r="K76" s="72">
        <v>0.0849</v>
      </c>
      <c r="L76" s="73">
        <v>0.0841</v>
      </c>
      <c r="M76" s="217">
        <v>1.1</v>
      </c>
      <c r="N76" s="72">
        <v>0.0294</v>
      </c>
      <c r="O76" s="74">
        <v>1.13</v>
      </c>
    </row>
    <row r="77" spans="8:15" ht="12.75">
      <c r="H77" s="70" t="s">
        <v>430</v>
      </c>
      <c r="I77" s="71">
        <v>98</v>
      </c>
      <c r="J77" s="71">
        <v>1.24</v>
      </c>
      <c r="K77" s="72">
        <v>0.1502</v>
      </c>
      <c r="L77" s="73">
        <v>0.105</v>
      </c>
      <c r="M77" s="217">
        <v>1.09</v>
      </c>
      <c r="N77" s="72">
        <v>0.1253</v>
      </c>
      <c r="O77" s="74">
        <v>1.24</v>
      </c>
    </row>
    <row r="78" spans="8:15" ht="12.75">
      <c r="H78" s="70" t="s">
        <v>431</v>
      </c>
      <c r="I78" s="71">
        <v>20</v>
      </c>
      <c r="J78" s="71">
        <v>1.63</v>
      </c>
      <c r="K78" s="72">
        <v>1.9186</v>
      </c>
      <c r="L78" s="73">
        <v>0.0903</v>
      </c>
      <c r="M78" s="217">
        <v>0.59</v>
      </c>
      <c r="N78" s="72">
        <v>0.0594</v>
      </c>
      <c r="O78" s="74">
        <v>0.63</v>
      </c>
    </row>
    <row r="79" spans="8:15" ht="12.75">
      <c r="H79" s="70" t="s">
        <v>432</v>
      </c>
      <c r="I79" s="71">
        <v>9</v>
      </c>
      <c r="J79" s="71">
        <v>2.4</v>
      </c>
      <c r="K79" s="72">
        <v>1.6966</v>
      </c>
      <c r="L79" s="73">
        <v>0.008</v>
      </c>
      <c r="M79" s="217">
        <v>0.89</v>
      </c>
      <c r="N79" s="72">
        <v>0.1216</v>
      </c>
      <c r="O79" s="74">
        <v>1.02</v>
      </c>
    </row>
    <row r="80" spans="8:15" ht="12.75">
      <c r="H80" s="70" t="s">
        <v>433</v>
      </c>
      <c r="I80" s="71">
        <v>30</v>
      </c>
      <c r="J80" s="71">
        <v>1.43</v>
      </c>
      <c r="K80" s="72">
        <v>0.7033</v>
      </c>
      <c r="L80" s="73">
        <v>0.1554</v>
      </c>
      <c r="M80" s="217">
        <v>0.9</v>
      </c>
      <c r="N80" s="72">
        <v>0.0427</v>
      </c>
      <c r="O80" s="74">
        <v>0.94</v>
      </c>
    </row>
    <row r="81" spans="8:15" ht="12.75">
      <c r="H81" s="70" t="s">
        <v>434</v>
      </c>
      <c r="I81" s="71">
        <v>143</v>
      </c>
      <c r="J81" s="71">
        <v>1.6</v>
      </c>
      <c r="K81" s="72">
        <v>0.6745</v>
      </c>
      <c r="L81" s="73">
        <v>0.0072</v>
      </c>
      <c r="M81" s="217">
        <v>0.96</v>
      </c>
      <c r="N81" s="72">
        <v>0.0572</v>
      </c>
      <c r="O81" s="74">
        <v>1.01</v>
      </c>
    </row>
    <row r="82" spans="8:15" ht="12.75">
      <c r="H82" s="70" t="s">
        <v>435</v>
      </c>
      <c r="I82" s="71">
        <v>15</v>
      </c>
      <c r="J82" s="71">
        <v>1.29</v>
      </c>
      <c r="K82" s="72">
        <v>0.3295</v>
      </c>
      <c r="L82" s="73">
        <v>0.2739</v>
      </c>
      <c r="M82" s="217">
        <v>1.04</v>
      </c>
      <c r="N82" s="72">
        <v>0.0231</v>
      </c>
      <c r="O82" s="74">
        <v>1.07</v>
      </c>
    </row>
    <row r="83" spans="8:15" ht="12.75">
      <c r="H83" s="220" t="s">
        <v>436</v>
      </c>
      <c r="I83" s="217">
        <v>65</v>
      </c>
      <c r="J83" s="217">
        <v>1.43</v>
      </c>
      <c r="K83" s="221">
        <v>0.4977</v>
      </c>
      <c r="L83" s="222">
        <v>0.1686</v>
      </c>
      <c r="M83" s="217">
        <v>1.01</v>
      </c>
      <c r="N83" s="221">
        <v>0.0505</v>
      </c>
      <c r="O83" s="223">
        <v>1.06</v>
      </c>
    </row>
    <row r="84" spans="8:15" ht="12.75">
      <c r="H84" s="70" t="s">
        <v>437</v>
      </c>
      <c r="I84" s="71">
        <v>8</v>
      </c>
      <c r="J84" s="71">
        <v>1.07</v>
      </c>
      <c r="K84" s="72">
        <v>0.1769</v>
      </c>
      <c r="L84" s="73">
        <v>0.0417</v>
      </c>
      <c r="M84" s="217">
        <v>0.91</v>
      </c>
      <c r="N84" s="72">
        <v>0.2841</v>
      </c>
      <c r="O84" s="74">
        <v>1.28</v>
      </c>
    </row>
    <row r="85" spans="8:15" ht="12.75">
      <c r="H85" s="70" t="s">
        <v>438</v>
      </c>
      <c r="I85" s="71">
        <v>68</v>
      </c>
      <c r="J85" s="71">
        <v>1.34</v>
      </c>
      <c r="K85" s="72">
        <v>0.2248</v>
      </c>
      <c r="L85" s="73">
        <v>0.1986</v>
      </c>
      <c r="M85" s="217">
        <v>1.14</v>
      </c>
      <c r="N85" s="72">
        <v>0.0252</v>
      </c>
      <c r="O85" s="74">
        <v>1.17</v>
      </c>
    </row>
    <row r="86" spans="8:15" ht="12.75">
      <c r="H86" s="70" t="s">
        <v>439</v>
      </c>
      <c r="I86" s="71">
        <v>157</v>
      </c>
      <c r="J86" s="71">
        <v>1.43</v>
      </c>
      <c r="K86" s="72">
        <v>0.1608</v>
      </c>
      <c r="L86" s="73">
        <v>0.1849</v>
      </c>
      <c r="M86" s="217">
        <v>1.27</v>
      </c>
      <c r="N86" s="72">
        <v>0.0852</v>
      </c>
      <c r="O86" s="74">
        <v>1.38</v>
      </c>
    </row>
    <row r="87" spans="8:15" ht="12.75">
      <c r="H87" s="70" t="s">
        <v>440</v>
      </c>
      <c r="I87" s="71">
        <v>15</v>
      </c>
      <c r="J87" s="71">
        <v>1.46</v>
      </c>
      <c r="K87" s="72">
        <v>0.4457</v>
      </c>
      <c r="L87" s="73">
        <v>0.3268</v>
      </c>
      <c r="M87" s="217">
        <v>1.13</v>
      </c>
      <c r="N87" s="72">
        <v>0.0265</v>
      </c>
      <c r="O87" s="74">
        <v>1.16</v>
      </c>
    </row>
    <row r="88" spans="8:15" ht="12.75">
      <c r="H88" s="70" t="s">
        <v>441</v>
      </c>
      <c r="I88" s="71">
        <v>7</v>
      </c>
      <c r="J88" s="71">
        <v>0.95</v>
      </c>
      <c r="K88" s="72">
        <v>0.1912</v>
      </c>
      <c r="L88" s="73">
        <v>0.2705</v>
      </c>
      <c r="M88" s="217">
        <v>0.83</v>
      </c>
      <c r="N88" s="72">
        <v>0.0134</v>
      </c>
      <c r="O88" s="74">
        <v>0.85</v>
      </c>
    </row>
    <row r="89" spans="8:15" ht="12.75">
      <c r="H89" s="70" t="s">
        <v>442</v>
      </c>
      <c r="I89" s="71">
        <v>43</v>
      </c>
      <c r="J89" s="71">
        <v>1.35</v>
      </c>
      <c r="K89" s="72">
        <v>0.2698</v>
      </c>
      <c r="L89" s="73">
        <v>0.1842</v>
      </c>
      <c r="M89" s="217">
        <v>1.1</v>
      </c>
      <c r="N89" s="72">
        <v>0.0455</v>
      </c>
      <c r="O89" s="74">
        <v>1.16</v>
      </c>
    </row>
    <row r="90" spans="8:15" ht="12.75">
      <c r="H90" s="70" t="s">
        <v>443</v>
      </c>
      <c r="I90" s="71">
        <v>32</v>
      </c>
      <c r="J90" s="71">
        <v>0.73</v>
      </c>
      <c r="K90" s="72">
        <v>0.2617</v>
      </c>
      <c r="L90" s="73">
        <v>0.3039</v>
      </c>
      <c r="M90" s="217">
        <v>0.62</v>
      </c>
      <c r="N90" s="72">
        <v>0.0301</v>
      </c>
      <c r="O90" s="74">
        <v>0.63</v>
      </c>
    </row>
    <row r="91" spans="8:15" ht="12.75">
      <c r="H91" s="70" t="s">
        <v>444</v>
      </c>
      <c r="I91" s="71">
        <v>30</v>
      </c>
      <c r="J91" s="71">
        <v>1.18</v>
      </c>
      <c r="K91" s="72">
        <v>2.8105</v>
      </c>
      <c r="L91" s="73">
        <v>0.2049</v>
      </c>
      <c r="M91" s="217">
        <v>0.36</v>
      </c>
      <c r="N91" s="72">
        <v>0.3411</v>
      </c>
      <c r="O91" s="74">
        <v>0.55</v>
      </c>
    </row>
    <row r="92" spans="8:15" ht="12.75">
      <c r="H92" s="70" t="s">
        <v>445</v>
      </c>
      <c r="I92" s="71">
        <v>125</v>
      </c>
      <c r="J92" s="71">
        <v>1.56</v>
      </c>
      <c r="K92" s="72">
        <v>0.0806</v>
      </c>
      <c r="L92" s="73">
        <v>0.1085</v>
      </c>
      <c r="M92" s="217">
        <v>1.45</v>
      </c>
      <c r="N92" s="72">
        <v>0.1295</v>
      </c>
      <c r="O92" s="74">
        <v>1.67</v>
      </c>
    </row>
    <row r="93" spans="8:15" ht="12.75">
      <c r="H93" s="70" t="s">
        <v>446</v>
      </c>
      <c r="I93" s="71">
        <v>14</v>
      </c>
      <c r="J93" s="71">
        <v>1.93</v>
      </c>
      <c r="K93" s="72">
        <v>0.0728</v>
      </c>
      <c r="L93" s="73">
        <v>0.1666</v>
      </c>
      <c r="M93" s="217">
        <v>1.82</v>
      </c>
      <c r="N93" s="72">
        <v>0.145</v>
      </c>
      <c r="O93" s="74">
        <v>2.13</v>
      </c>
    </row>
    <row r="94" spans="8:15" ht="12.75">
      <c r="H94" s="70" t="s">
        <v>447</v>
      </c>
      <c r="I94" s="71">
        <v>19</v>
      </c>
      <c r="J94" s="71">
        <v>1.34</v>
      </c>
      <c r="K94" s="72">
        <v>0.0355</v>
      </c>
      <c r="L94" s="73">
        <v>0.2211</v>
      </c>
      <c r="M94" s="217">
        <v>1.3</v>
      </c>
      <c r="N94" s="72">
        <v>0.1141</v>
      </c>
      <c r="O94" s="74">
        <v>1.47</v>
      </c>
    </row>
    <row r="95" spans="8:15" ht="12.75">
      <c r="H95" s="70" t="s">
        <v>448</v>
      </c>
      <c r="I95" s="71">
        <v>20</v>
      </c>
      <c r="J95" s="71">
        <v>1.61</v>
      </c>
      <c r="K95" s="72">
        <v>0.3081</v>
      </c>
      <c r="L95" s="73">
        <v>0.2229</v>
      </c>
      <c r="M95" s="217">
        <v>1.3</v>
      </c>
      <c r="N95" s="72">
        <v>0.0765</v>
      </c>
      <c r="O95" s="74">
        <v>1.4</v>
      </c>
    </row>
    <row r="96" spans="8:15" ht="12.75">
      <c r="H96" s="70" t="s">
        <v>449</v>
      </c>
      <c r="I96" s="71">
        <v>15</v>
      </c>
      <c r="J96" s="71">
        <v>1.85</v>
      </c>
      <c r="K96" s="72">
        <v>0.393</v>
      </c>
      <c r="L96" s="73">
        <v>0.2294</v>
      </c>
      <c r="M96" s="217">
        <v>1.42</v>
      </c>
      <c r="N96" s="72">
        <v>0.0793</v>
      </c>
      <c r="O96" s="74">
        <v>1.55</v>
      </c>
    </row>
    <row r="97" spans="8:15" ht="12.75">
      <c r="H97" s="70" t="s">
        <v>450</v>
      </c>
      <c r="I97" s="71">
        <v>115</v>
      </c>
      <c r="J97" s="71">
        <v>1.15</v>
      </c>
      <c r="K97" s="72">
        <v>0.109</v>
      </c>
      <c r="L97" s="73">
        <v>0.1379</v>
      </c>
      <c r="M97" s="217">
        <v>1.05</v>
      </c>
      <c r="N97" s="72">
        <v>0.2102</v>
      </c>
      <c r="O97" s="74">
        <v>1.33</v>
      </c>
    </row>
    <row r="98" spans="8:15" ht="12.75">
      <c r="H98" s="70" t="s">
        <v>451</v>
      </c>
      <c r="I98" s="71">
        <v>140</v>
      </c>
      <c r="J98" s="71">
        <v>1.1</v>
      </c>
      <c r="K98" s="72">
        <v>0.4703</v>
      </c>
      <c r="L98" s="73">
        <v>0.128</v>
      </c>
      <c r="M98" s="217">
        <v>0.78</v>
      </c>
      <c r="N98" s="72">
        <v>0.0575</v>
      </c>
      <c r="O98" s="74">
        <v>0.83</v>
      </c>
    </row>
    <row r="99" spans="8:15" ht="12.75">
      <c r="H99" s="70" t="s">
        <v>452</v>
      </c>
      <c r="I99" s="71">
        <v>227</v>
      </c>
      <c r="J99" s="71">
        <v>0.73</v>
      </c>
      <c r="K99" s="72">
        <v>0.2174</v>
      </c>
      <c r="L99" s="73">
        <v>0.119</v>
      </c>
      <c r="M99" s="217">
        <v>0.61</v>
      </c>
      <c r="N99" s="72">
        <v>0.1451</v>
      </c>
      <c r="O99" s="74">
        <v>0.72</v>
      </c>
    </row>
    <row r="100" spans="8:15" ht="12.75">
      <c r="H100" s="70" t="s">
        <v>453</v>
      </c>
      <c r="I100" s="71">
        <v>12</v>
      </c>
      <c r="J100" s="71">
        <v>0.78</v>
      </c>
      <c r="K100" s="72">
        <v>0.2293</v>
      </c>
      <c r="L100" s="73">
        <v>0.2603</v>
      </c>
      <c r="M100" s="217">
        <v>0.67</v>
      </c>
      <c r="N100" s="72">
        <v>0.0557</v>
      </c>
      <c r="O100" s="74">
        <v>0.71</v>
      </c>
    </row>
    <row r="101" spans="8:15" ht="12.75">
      <c r="H101" s="70" t="s">
        <v>454</v>
      </c>
      <c r="I101" s="71">
        <v>19</v>
      </c>
      <c r="J101" s="71">
        <v>1.23</v>
      </c>
      <c r="K101" s="72">
        <v>0.2633</v>
      </c>
      <c r="L101" s="73">
        <v>0.2627</v>
      </c>
      <c r="M101" s="217">
        <v>1.03</v>
      </c>
      <c r="N101" s="72">
        <v>0.0689</v>
      </c>
      <c r="O101" s="74">
        <v>1.1</v>
      </c>
    </row>
    <row r="102" spans="8:15" ht="12.75">
      <c r="H102" s="70" t="s">
        <v>455</v>
      </c>
      <c r="I102" s="71">
        <v>33</v>
      </c>
      <c r="J102" s="71">
        <v>1.3</v>
      </c>
      <c r="K102" s="72">
        <v>0.853</v>
      </c>
      <c r="L102" s="73">
        <v>0.3087</v>
      </c>
      <c r="M102" s="217">
        <v>0.82</v>
      </c>
      <c r="N102" s="72">
        <v>0.0484</v>
      </c>
      <c r="O102" s="74">
        <v>0.86</v>
      </c>
    </row>
    <row r="103" spans="8:15" ht="12.75">
      <c r="H103" s="70" t="s">
        <v>456</v>
      </c>
      <c r="I103" s="71">
        <v>5</v>
      </c>
      <c r="J103" s="71">
        <v>1.07</v>
      </c>
      <c r="K103" s="72">
        <v>1.0126</v>
      </c>
      <c r="L103" s="73">
        <v>0.1211</v>
      </c>
      <c r="M103" s="217">
        <v>0.57</v>
      </c>
      <c r="N103" s="72">
        <v>0.048</v>
      </c>
      <c r="O103" s="74">
        <v>0.59</v>
      </c>
    </row>
    <row r="104" spans="8:15" ht="12.75">
      <c r="H104" s="70" t="s">
        <v>457</v>
      </c>
      <c r="I104" s="71">
        <v>15</v>
      </c>
      <c r="J104" s="71">
        <v>0.82</v>
      </c>
      <c r="K104" s="72">
        <v>0.8795</v>
      </c>
      <c r="L104" s="73">
        <v>0.3116</v>
      </c>
      <c r="M104" s="217">
        <v>0.51</v>
      </c>
      <c r="N104" s="72">
        <v>0.0077</v>
      </c>
      <c r="O104" s="74">
        <v>0.51</v>
      </c>
    </row>
    <row r="105" spans="8:15" ht="13.5" thickBot="1">
      <c r="H105" s="80" t="s">
        <v>458</v>
      </c>
      <c r="I105" s="81">
        <v>60</v>
      </c>
      <c r="J105" s="81">
        <v>1.5</v>
      </c>
      <c r="K105" s="82">
        <v>0.1983</v>
      </c>
      <c r="L105" s="83">
        <v>0.0992</v>
      </c>
      <c r="M105" s="218">
        <v>1.28</v>
      </c>
      <c r="N105" s="82">
        <v>0.0501</v>
      </c>
      <c r="O105" s="84">
        <v>1.34</v>
      </c>
    </row>
    <row r="106" spans="8:15" ht="13.5" thickBot="1">
      <c r="H106" s="224" t="s">
        <v>459</v>
      </c>
      <c r="I106" s="219">
        <v>7036</v>
      </c>
      <c r="J106" s="219">
        <v>1.17</v>
      </c>
      <c r="K106" s="225">
        <v>0.4999</v>
      </c>
      <c r="L106" s="225">
        <v>0.1407</v>
      </c>
      <c r="M106" s="219">
        <v>0.82</v>
      </c>
      <c r="N106" s="225">
        <v>0.0949</v>
      </c>
      <c r="O106" s="226">
        <v>0.9</v>
      </c>
    </row>
    <row r="107" spans="8:15" ht="12.75">
      <c r="H107" s="85"/>
      <c r="I107" s="85"/>
      <c r="J107" s="85"/>
      <c r="K107" s="85"/>
      <c r="L107" s="85"/>
      <c r="M107" s="85"/>
      <c r="N107" s="85"/>
      <c r="O107" s="85"/>
    </row>
    <row r="108" spans="8:15" ht="12.75">
      <c r="H108" s="85"/>
      <c r="I108" s="85"/>
      <c r="J108" s="85"/>
      <c r="K108" s="85"/>
      <c r="L108" s="85"/>
      <c r="M108" s="85"/>
      <c r="N108" s="85"/>
      <c r="O108" s="85"/>
    </row>
    <row r="109" spans="8:15" ht="15">
      <c r="H109" s="86" t="s">
        <v>460</v>
      </c>
      <c r="I109" s="85"/>
      <c r="J109" s="85"/>
      <c r="K109" s="85"/>
      <c r="L109" s="85"/>
      <c r="M109" s="85"/>
      <c r="N109" s="85"/>
      <c r="O109" s="85"/>
    </row>
    <row r="110" spans="8:15" ht="12.75">
      <c r="H110" s="252" t="s">
        <v>461</v>
      </c>
      <c r="I110" s="252"/>
      <c r="J110" s="252"/>
      <c r="K110" s="252"/>
      <c r="L110" s="252"/>
      <c r="M110" s="89"/>
      <c r="N110" s="87"/>
      <c r="O110" s="85"/>
    </row>
    <row r="111" spans="8:15" ht="12.75">
      <c r="H111" s="253" t="s">
        <v>462</v>
      </c>
      <c r="I111" s="253"/>
      <c r="J111" s="253"/>
      <c r="K111" s="253"/>
      <c r="L111" s="253"/>
      <c r="M111" s="253"/>
      <c r="N111" s="253"/>
      <c r="O111" s="85"/>
    </row>
    <row r="112" spans="8:15" ht="12.75">
      <c r="H112" s="249" t="s">
        <v>463</v>
      </c>
      <c r="I112" s="249"/>
      <c r="J112" s="249"/>
      <c r="K112" s="249"/>
      <c r="L112" s="87"/>
      <c r="M112" s="87"/>
      <c r="N112" s="87"/>
      <c r="O112" s="85"/>
    </row>
    <row r="113" spans="8:15" ht="12.75">
      <c r="H113" s="88" t="s">
        <v>464</v>
      </c>
      <c r="I113" s="87"/>
      <c r="J113" s="87"/>
      <c r="K113" s="87"/>
      <c r="L113" s="87"/>
      <c r="M113" s="87"/>
      <c r="N113" s="87"/>
      <c r="O113" s="85"/>
    </row>
  </sheetData>
  <mergeCells count="5">
    <mergeCell ref="H112:K112"/>
    <mergeCell ref="B8:C8"/>
    <mergeCell ref="B16:C16"/>
    <mergeCell ref="H110:L110"/>
    <mergeCell ref="H111:N111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30"/>
  <sheetViews>
    <sheetView workbookViewId="0" topLeftCell="A1">
      <selection activeCell="C40" sqref="C40"/>
    </sheetView>
  </sheetViews>
  <sheetFormatPr defaultColWidth="11.421875" defaultRowHeight="12.75"/>
  <cols>
    <col min="1" max="1" width="10.00390625" style="0" customWidth="1"/>
    <col min="2" max="2" width="14.8515625" style="0" customWidth="1"/>
    <col min="3" max="3" width="13.7109375" style="0" customWidth="1"/>
    <col min="4" max="4" width="12.57421875" style="0" bestFit="1" customWidth="1"/>
    <col min="5" max="5" width="14.57421875" style="0" customWidth="1"/>
    <col min="7" max="7" width="13.28125" style="0" bestFit="1" customWidth="1"/>
    <col min="8" max="10" width="12.28125" style="0" bestFit="1" customWidth="1"/>
    <col min="11" max="13" width="11.7109375" style="0" bestFit="1" customWidth="1"/>
    <col min="14" max="14" width="11.421875" style="0" hidden="1" customWidth="1"/>
    <col min="16" max="16" width="13.8515625" style="0" customWidth="1"/>
    <col min="17" max="17" width="11.7109375" style="0" bestFit="1" customWidth="1"/>
    <col min="18" max="18" width="11.421875" style="0" hidden="1" customWidth="1"/>
    <col min="19" max="19" width="11.7109375" style="0" bestFit="1" customWidth="1"/>
  </cols>
  <sheetData>
    <row r="2" spans="6:19" ht="12.75">
      <c r="F2" s="101"/>
      <c r="G2" s="101"/>
      <c r="H2" s="101"/>
      <c r="I2" s="256"/>
      <c r="J2" s="256"/>
      <c r="K2" s="108"/>
      <c r="L2" s="108"/>
      <c r="M2" s="256"/>
      <c r="N2" s="256"/>
      <c r="O2" s="256"/>
      <c r="P2" s="256"/>
      <c r="Q2" s="256"/>
      <c r="R2" s="256"/>
      <c r="S2" s="101"/>
    </row>
    <row r="3" spans="1:19" ht="15.75" customHeight="1">
      <c r="A3" s="238" t="s">
        <v>509</v>
      </c>
      <c r="B3" s="238"/>
      <c r="C3" s="238"/>
      <c r="D3" s="238"/>
      <c r="E3" s="238"/>
      <c r="F3" s="101"/>
      <c r="G3" s="101"/>
      <c r="H3" s="101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101"/>
    </row>
    <row r="4" spans="1:19" ht="15">
      <c r="A4" s="257" t="s">
        <v>492</v>
      </c>
      <c r="B4" s="258"/>
      <c r="C4" s="258"/>
      <c r="D4" s="258"/>
      <c r="E4" s="259"/>
      <c r="F4" s="105"/>
      <c r="G4" s="105"/>
      <c r="H4" s="105"/>
      <c r="I4" s="105"/>
      <c r="J4" s="254"/>
      <c r="K4" s="254"/>
      <c r="L4" s="254"/>
      <c r="M4" s="254"/>
      <c r="N4" s="255"/>
      <c r="O4" s="255"/>
      <c r="P4" s="260"/>
      <c r="Q4" s="260"/>
      <c r="R4" s="260"/>
      <c r="S4" s="260"/>
    </row>
    <row r="5" spans="1:7" ht="25.5">
      <c r="A5" s="122" t="s">
        <v>491</v>
      </c>
      <c r="B5" s="122" t="s">
        <v>490</v>
      </c>
      <c r="C5" s="122" t="s">
        <v>489</v>
      </c>
      <c r="D5" s="122" t="s">
        <v>488</v>
      </c>
      <c r="E5" s="122" t="s">
        <v>487</v>
      </c>
      <c r="G5" s="106"/>
    </row>
    <row r="6" spans="1:7" ht="12.75">
      <c r="A6" s="53">
        <v>1</v>
      </c>
      <c r="B6" s="100">
        <f>-'FLUJO DE CAJA'!C24</f>
        <v>550665.9412976194</v>
      </c>
      <c r="C6" s="100">
        <f>'FLUJO DE CAJA'!D24</f>
        <v>8397.005263598432</v>
      </c>
      <c r="D6" s="100">
        <f>C6*TMAR!C15</f>
        <v>1673.6071190878038</v>
      </c>
      <c r="E6" s="100">
        <f>C6-D6</f>
        <v>6723.398144510628</v>
      </c>
      <c r="G6" s="103"/>
    </row>
    <row r="7" spans="1:7" ht="12.75">
      <c r="A7" s="53">
        <v>2</v>
      </c>
      <c r="B7" s="100">
        <f>B6-E6</f>
        <v>543942.5431531088</v>
      </c>
      <c r="C7" s="100">
        <f>'FLUJO DE CAJA'!E24</f>
        <v>71602.11090253739</v>
      </c>
      <c r="D7" s="100">
        <f>C7*TMAR!$C$15</f>
        <v>14271.01672398473</v>
      </c>
      <c r="E7" s="100">
        <f aca="true" t="shared" si="0" ref="E7:E15">C7-D7</f>
        <v>57331.09417855266</v>
      </c>
      <c r="G7" s="103"/>
    </row>
    <row r="8" spans="1:25" ht="16.5" thickBot="1">
      <c r="A8" s="53">
        <v>3</v>
      </c>
      <c r="B8" s="100">
        <f aca="true" t="shared" si="1" ref="B8:B15">B7-E7</f>
        <v>486611.4489745561</v>
      </c>
      <c r="C8" s="100">
        <f>'FLUJO DE CAJA'!F24</f>
        <v>99104.48375970166</v>
      </c>
      <c r="D8" s="100">
        <f>C8*TMAR!$C$15</f>
        <v>19752.51465814614</v>
      </c>
      <c r="E8" s="100">
        <f t="shared" si="0"/>
        <v>79351.96910155551</v>
      </c>
      <c r="G8" s="10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56"/>
    </row>
    <row r="9" spans="1:7" ht="12.75">
      <c r="A9" s="53">
        <v>4</v>
      </c>
      <c r="B9" s="100">
        <f t="shared" si="1"/>
        <v>407259.4798730006</v>
      </c>
      <c r="C9" s="100">
        <f>'FLUJO DE CAJA'!G24</f>
        <v>123810.46869896378</v>
      </c>
      <c r="D9" s="100">
        <f>C9*TMAR!$C$15</f>
        <v>24676.664516390476</v>
      </c>
      <c r="E9" s="100">
        <f t="shared" si="0"/>
        <v>99133.80418257331</v>
      </c>
      <c r="G9" s="103"/>
    </row>
    <row r="10" spans="1:7" ht="12.75">
      <c r="A10" s="53">
        <v>5</v>
      </c>
      <c r="B10" s="100">
        <f t="shared" si="1"/>
        <v>308125.6756904273</v>
      </c>
      <c r="C10" s="100">
        <f>'FLUJO DE CAJA'!H24</f>
        <v>148870.20279515086</v>
      </c>
      <c r="D10" s="100">
        <f>C10*TMAR!$C$15</f>
        <v>29671.320119101525</v>
      </c>
      <c r="E10" s="100">
        <f t="shared" si="0"/>
        <v>119198.88267604934</v>
      </c>
      <c r="G10" s="103"/>
    </row>
    <row r="11" spans="1:7" ht="12.75">
      <c r="A11" s="113">
        <v>6</v>
      </c>
      <c r="B11" s="114">
        <f t="shared" si="1"/>
        <v>188926.79301437797</v>
      </c>
      <c r="C11" s="114">
        <f>'FLUJO DE CAJA'!I24</f>
        <v>172980.38182229773</v>
      </c>
      <c r="D11" s="114">
        <f>C11*TMAR!$C$15</f>
        <v>34476.719901002165</v>
      </c>
      <c r="E11" s="114">
        <f t="shared" si="0"/>
        <v>138503.66192129557</v>
      </c>
      <c r="G11" s="103"/>
    </row>
    <row r="12" spans="1:7" ht="12.75">
      <c r="A12" s="53">
        <v>7</v>
      </c>
      <c r="B12" s="100">
        <f t="shared" si="1"/>
        <v>50423.1310930824</v>
      </c>
      <c r="C12" s="100">
        <f>'FLUJO DE CAJA'!J24</f>
        <v>196528.32671711745</v>
      </c>
      <c r="D12" s="100">
        <f>C12*TMAR!$C$15</f>
        <v>39170.060797988684</v>
      </c>
      <c r="E12" s="100">
        <f t="shared" si="0"/>
        <v>157358.26591912878</v>
      </c>
      <c r="G12" s="103"/>
    </row>
    <row r="13" spans="1:7" ht="12.75">
      <c r="A13" s="128">
        <v>8</v>
      </c>
      <c r="B13" s="129">
        <f t="shared" si="1"/>
        <v>-106935.13482604639</v>
      </c>
      <c r="C13" s="129">
        <f>'FLUJO DE CAJA'!K24</f>
        <v>219469.81997443704</v>
      </c>
      <c r="D13" s="129">
        <f>C13*TMAR!$C$15</f>
        <v>43742.52981910505</v>
      </c>
      <c r="E13" s="129">
        <f t="shared" si="0"/>
        <v>175727.29015533198</v>
      </c>
      <c r="G13" s="103"/>
    </row>
    <row r="14" spans="1:7" ht="12.75">
      <c r="A14" s="53">
        <v>9</v>
      </c>
      <c r="B14" s="100">
        <f t="shared" si="1"/>
        <v>-282662.42498137837</v>
      </c>
      <c r="C14" s="100">
        <f>'FLUJO DE CAJA'!L24</f>
        <v>241276.8053748235</v>
      </c>
      <c r="D14" s="100">
        <f>C14*TMAR!$C$15</f>
        <v>48088.88007925609</v>
      </c>
      <c r="E14" s="100">
        <f t="shared" si="0"/>
        <v>193187.92529556743</v>
      </c>
      <c r="G14" s="103"/>
    </row>
    <row r="15" spans="1:7" ht="12.75">
      <c r="A15" s="53">
        <v>10</v>
      </c>
      <c r="B15" s="100">
        <f t="shared" si="1"/>
        <v>-475850.3502769458</v>
      </c>
      <c r="C15" s="100">
        <f>'FLUJO DE CAJA'!M24</f>
        <v>987605.6332682968</v>
      </c>
      <c r="D15" s="100">
        <f>C15*TMAR!$C$15</f>
        <v>196839.67876670428</v>
      </c>
      <c r="E15" s="100">
        <f t="shared" si="0"/>
        <v>790765.9545015926</v>
      </c>
      <c r="G15" s="103"/>
    </row>
    <row r="16" spans="1:2" ht="14.25" customHeight="1">
      <c r="A16" s="64" t="s">
        <v>311</v>
      </c>
      <c r="B16" s="64"/>
    </row>
    <row r="17" spans="7:19" ht="12.75"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2.75">
      <c r="A18" t="s">
        <v>303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3:19" ht="12.75">
      <c r="C19" s="44"/>
      <c r="D19" s="44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4"/>
      <c r="M20" s="24"/>
      <c r="N20" s="24"/>
      <c r="O20" s="24"/>
      <c r="P20" s="24"/>
      <c r="Q20" s="24"/>
      <c r="R20" s="24"/>
      <c r="S20" s="24"/>
    </row>
    <row r="21" spans="1:11" ht="12.75">
      <c r="A21" s="1"/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12.75">
      <c r="A22" s="1"/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2.75">
      <c r="A23" s="1"/>
      <c r="B23" s="1"/>
      <c r="C23" s="102"/>
      <c r="D23" s="102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02"/>
      <c r="D24" s="102"/>
      <c r="E24" s="107"/>
      <c r="F24" s="1"/>
      <c r="G24" s="1"/>
      <c r="H24" s="1"/>
      <c r="I24" s="1"/>
      <c r="J24" s="1"/>
      <c r="K24" s="1"/>
    </row>
    <row r="25" spans="1:11" ht="12.75">
      <c r="A25" s="1"/>
      <c r="B25" s="1"/>
      <c r="C25" s="102"/>
      <c r="D25" s="102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02"/>
      <c r="D26" s="102"/>
      <c r="E26" s="1"/>
      <c r="F26" s="1"/>
      <c r="G26" s="1"/>
      <c r="H26" s="1"/>
      <c r="I26" s="1"/>
      <c r="J26" s="1"/>
      <c r="K26" s="1"/>
    </row>
    <row r="27" spans="3:4" ht="12.75">
      <c r="C27" s="44"/>
      <c r="D27" s="44"/>
    </row>
    <row r="28" spans="3:4" ht="12.75">
      <c r="C28" s="44"/>
      <c r="D28" s="44"/>
    </row>
    <row r="29" ht="12.75">
      <c r="C29" s="43"/>
    </row>
    <row r="30" ht="12.75">
      <c r="C30" s="43"/>
    </row>
  </sheetData>
  <mergeCells count="16">
    <mergeCell ref="A3:E3"/>
    <mergeCell ref="A4:E4"/>
    <mergeCell ref="Q2:R2"/>
    <mergeCell ref="Q3:R3"/>
    <mergeCell ref="J4:K4"/>
    <mergeCell ref="I2:J2"/>
    <mergeCell ref="M2:N2"/>
    <mergeCell ref="O2:P2"/>
    <mergeCell ref="P4:Q4"/>
    <mergeCell ref="R4:S4"/>
    <mergeCell ref="L4:M4"/>
    <mergeCell ref="N4:O4"/>
    <mergeCell ref="O3:P3"/>
    <mergeCell ref="I3:J3"/>
    <mergeCell ref="K3:L3"/>
    <mergeCell ref="M3:N3"/>
  </mergeCell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3"/>
  <sheetViews>
    <sheetView workbookViewId="0" topLeftCell="A34">
      <selection activeCell="G11" sqref="G11"/>
    </sheetView>
  </sheetViews>
  <sheetFormatPr defaultColWidth="11.421875" defaultRowHeight="12.75"/>
  <cols>
    <col min="1" max="1" width="28.421875" style="0" bestFit="1" customWidth="1"/>
    <col min="2" max="2" width="6.57421875" style="0" bestFit="1" customWidth="1"/>
    <col min="3" max="3" width="6.00390625" style="0" bestFit="1" customWidth="1"/>
    <col min="4" max="4" width="9.57421875" style="0" customWidth="1"/>
    <col min="5" max="5" width="7.7109375" style="0" bestFit="1" customWidth="1"/>
    <col min="6" max="6" width="11.28125" style="0" bestFit="1" customWidth="1"/>
    <col min="8" max="8" width="35.8515625" style="0" customWidth="1"/>
    <col min="9" max="11" width="13.28125" style="0" bestFit="1" customWidth="1"/>
  </cols>
  <sheetData>
    <row r="2" spans="1:13" ht="18">
      <c r="A2" s="231" t="s">
        <v>0</v>
      </c>
      <c r="B2" s="231"/>
      <c r="C2" s="231"/>
      <c r="D2" s="231"/>
      <c r="E2" s="231"/>
      <c r="F2" s="231"/>
      <c r="H2" s="231" t="s">
        <v>92</v>
      </c>
      <c r="I2" s="231"/>
      <c r="J2" s="231"/>
      <c r="K2" s="231"/>
      <c r="L2" s="7"/>
      <c r="M2" s="7"/>
    </row>
    <row r="3" spans="1:11" ht="12.75">
      <c r="A3" s="232" t="s">
        <v>1</v>
      </c>
      <c r="B3" s="233" t="s">
        <v>2</v>
      </c>
      <c r="C3" s="233" t="s">
        <v>3</v>
      </c>
      <c r="D3" s="234" t="s">
        <v>4</v>
      </c>
      <c r="E3" s="233" t="s">
        <v>5</v>
      </c>
      <c r="F3" s="233" t="s">
        <v>6</v>
      </c>
      <c r="H3" s="36"/>
      <c r="I3" s="36"/>
      <c r="J3" s="36"/>
      <c r="K3" s="51" t="s">
        <v>514</v>
      </c>
    </row>
    <row r="4" spans="1:11" ht="12.75">
      <c r="A4" s="232"/>
      <c r="B4" s="233"/>
      <c r="C4" s="233"/>
      <c r="D4" s="234"/>
      <c r="E4" s="233"/>
      <c r="F4" s="233"/>
      <c r="H4" s="54" t="s">
        <v>72</v>
      </c>
      <c r="I4" s="36"/>
      <c r="J4" s="36"/>
      <c r="K4" s="37">
        <v>15000</v>
      </c>
    </row>
    <row r="5" spans="1:11" ht="12.75">
      <c r="A5" s="155" t="s">
        <v>7</v>
      </c>
      <c r="B5" s="155"/>
      <c r="C5" s="155"/>
      <c r="D5" s="155"/>
      <c r="E5" s="155"/>
      <c r="F5" s="155"/>
      <c r="H5" s="36" t="s">
        <v>73</v>
      </c>
      <c r="I5" s="36"/>
      <c r="J5" s="36"/>
      <c r="K5" s="37"/>
    </row>
    <row r="6" spans="1:11" ht="12.75">
      <c r="A6" s="156" t="s">
        <v>8</v>
      </c>
      <c r="B6" s="157" t="s">
        <v>9</v>
      </c>
      <c r="C6" s="158">
        <v>580</v>
      </c>
      <c r="D6" s="159">
        <v>30</v>
      </c>
      <c r="E6" s="160">
        <f>C6*D6</f>
        <v>17400</v>
      </c>
      <c r="F6" s="161"/>
      <c r="H6" s="36" t="s">
        <v>74</v>
      </c>
      <c r="I6" s="36"/>
      <c r="J6" s="36"/>
      <c r="K6" s="37"/>
    </row>
    <row r="7" spans="1:11" ht="12.75">
      <c r="A7" s="156" t="s">
        <v>10</v>
      </c>
      <c r="B7" s="157" t="s">
        <v>9</v>
      </c>
      <c r="C7" s="158">
        <v>580</v>
      </c>
      <c r="D7" s="159">
        <v>14</v>
      </c>
      <c r="E7" s="160">
        <f>C7*D7</f>
        <v>8120</v>
      </c>
      <c r="F7" s="162">
        <f>SUM(E6:E7)</f>
        <v>25520</v>
      </c>
      <c r="H7" s="36" t="s">
        <v>75</v>
      </c>
      <c r="I7" s="36"/>
      <c r="J7" s="36"/>
      <c r="K7" s="37"/>
    </row>
    <row r="8" spans="1:11" ht="12.75">
      <c r="A8" s="156"/>
      <c r="B8" s="157"/>
      <c r="C8" s="158"/>
      <c r="D8" s="159"/>
      <c r="E8" s="160"/>
      <c r="F8" s="162"/>
      <c r="H8" s="36" t="s">
        <v>76</v>
      </c>
      <c r="I8" s="36"/>
      <c r="J8" s="36"/>
      <c r="K8" s="37"/>
    </row>
    <row r="9" spans="1:11" ht="12.75">
      <c r="A9" s="163" t="s">
        <v>11</v>
      </c>
      <c r="B9" s="164"/>
      <c r="C9" s="165"/>
      <c r="D9" s="166"/>
      <c r="E9" s="167"/>
      <c r="F9" s="162"/>
      <c r="H9" s="54" t="s">
        <v>510</v>
      </c>
      <c r="I9" s="36"/>
      <c r="J9" s="36"/>
      <c r="K9" s="37">
        <v>4500</v>
      </c>
    </row>
    <row r="10" spans="1:11" ht="12.75">
      <c r="A10" s="168" t="s">
        <v>12</v>
      </c>
      <c r="B10" s="169" t="s">
        <v>13</v>
      </c>
      <c r="C10" s="165">
        <v>5500</v>
      </c>
      <c r="D10" s="170">
        <v>1.9</v>
      </c>
      <c r="E10" s="167">
        <f>C10*D10</f>
        <v>10450</v>
      </c>
      <c r="F10" s="162"/>
      <c r="H10" s="54" t="s">
        <v>511</v>
      </c>
      <c r="I10" s="36"/>
      <c r="J10" s="36"/>
      <c r="K10" s="37">
        <v>1000</v>
      </c>
    </row>
    <row r="11" spans="1:11" ht="12.75">
      <c r="A11" s="168" t="s">
        <v>14</v>
      </c>
      <c r="B11" s="169" t="s">
        <v>13</v>
      </c>
      <c r="C11" s="165">
        <v>5500</v>
      </c>
      <c r="D11" s="170">
        <v>1.43</v>
      </c>
      <c r="E11" s="167">
        <f>C11*D11</f>
        <v>7865</v>
      </c>
      <c r="F11" s="162"/>
      <c r="H11" s="54" t="s">
        <v>512</v>
      </c>
      <c r="I11" s="36"/>
      <c r="J11" s="36"/>
      <c r="K11" s="37">
        <v>6400</v>
      </c>
    </row>
    <row r="12" spans="1:11" ht="12.75">
      <c r="A12" s="168" t="s">
        <v>15</v>
      </c>
      <c r="B12" s="169" t="s">
        <v>13</v>
      </c>
      <c r="C12" s="165">
        <v>270</v>
      </c>
      <c r="D12" s="170">
        <v>1.43</v>
      </c>
      <c r="E12" s="167">
        <f>C12*D12</f>
        <v>386.09999999999997</v>
      </c>
      <c r="F12" s="162">
        <f>SUM(E10:E12)</f>
        <v>18701.1</v>
      </c>
      <c r="H12" s="54" t="s">
        <v>513</v>
      </c>
      <c r="I12" s="36"/>
      <c r="J12" s="36"/>
      <c r="K12" s="37">
        <v>3000</v>
      </c>
    </row>
    <row r="13" spans="1:11" ht="12.75">
      <c r="A13" s="168"/>
      <c r="B13" s="169"/>
      <c r="C13" s="165"/>
      <c r="D13" s="166"/>
      <c r="E13" s="167"/>
      <c r="F13" s="162"/>
      <c r="H13" s="54" t="s">
        <v>77</v>
      </c>
      <c r="I13" s="36"/>
      <c r="J13" s="36"/>
      <c r="K13" s="37">
        <f>I14*I15</f>
        <v>1600</v>
      </c>
    </row>
    <row r="14" spans="1:11" ht="12.75">
      <c r="A14" s="155" t="s">
        <v>16</v>
      </c>
      <c r="B14" s="155"/>
      <c r="C14" s="155"/>
      <c r="D14" s="155"/>
      <c r="E14" s="155"/>
      <c r="F14" s="162"/>
      <c r="H14" s="180" t="s">
        <v>78</v>
      </c>
      <c r="I14" s="37">
        <v>400</v>
      </c>
      <c r="J14" s="52"/>
      <c r="K14" s="37"/>
    </row>
    <row r="15" spans="1:11" ht="12.75">
      <c r="A15" s="168" t="s">
        <v>17</v>
      </c>
      <c r="B15" s="169" t="s">
        <v>13</v>
      </c>
      <c r="C15" s="165">
        <v>20</v>
      </c>
      <c r="D15" s="166">
        <v>110</v>
      </c>
      <c r="E15" s="167">
        <f>C15*D15</f>
        <v>2200</v>
      </c>
      <c r="F15" s="162">
        <f>E15</f>
        <v>2200</v>
      </c>
      <c r="H15" s="180" t="s">
        <v>79</v>
      </c>
      <c r="I15" s="53">
        <v>4</v>
      </c>
      <c r="J15" s="36"/>
      <c r="K15" s="37"/>
    </row>
    <row r="16" spans="1:11" ht="12.75">
      <c r="A16" s="168"/>
      <c r="B16" s="169"/>
      <c r="C16" s="165"/>
      <c r="D16" s="166"/>
      <c r="E16" s="167"/>
      <c r="F16" s="162"/>
      <c r="H16" s="54" t="s">
        <v>80</v>
      </c>
      <c r="I16" s="53"/>
      <c r="J16" s="36"/>
      <c r="K16" s="37">
        <f>(I17*I18)*1.12</f>
        <v>34944</v>
      </c>
    </row>
    <row r="17" spans="1:11" ht="12.75">
      <c r="A17" s="155" t="s">
        <v>69</v>
      </c>
      <c r="B17" s="155"/>
      <c r="C17" s="155"/>
      <c r="D17" s="171"/>
      <c r="E17" s="155"/>
      <c r="F17" s="162"/>
      <c r="H17" s="36" t="s">
        <v>81</v>
      </c>
      <c r="I17" s="53">
        <v>1040</v>
      </c>
      <c r="J17" s="36"/>
      <c r="K17" s="37"/>
    </row>
    <row r="18" spans="1:11" ht="12.75">
      <c r="A18" s="168" t="s">
        <v>70</v>
      </c>
      <c r="B18" s="169" t="s">
        <v>13</v>
      </c>
      <c r="C18" s="165">
        <v>25</v>
      </c>
      <c r="D18" s="166">
        <v>110</v>
      </c>
      <c r="E18" s="167">
        <f>C18*D18</f>
        <v>2750</v>
      </c>
      <c r="F18" s="162">
        <f>E18</f>
        <v>2750</v>
      </c>
      <c r="H18" s="36" t="s">
        <v>82</v>
      </c>
      <c r="I18" s="37">
        <v>30</v>
      </c>
      <c r="J18" s="36"/>
      <c r="K18" s="37"/>
    </row>
    <row r="19" spans="1:11" ht="12.75">
      <c r="A19" s="163"/>
      <c r="B19" s="172"/>
      <c r="C19" s="172"/>
      <c r="D19" s="173"/>
      <c r="E19" s="172"/>
      <c r="F19" s="162"/>
      <c r="H19" s="36"/>
      <c r="I19" s="36"/>
      <c r="J19" s="36"/>
      <c r="K19" s="53"/>
    </row>
    <row r="20" spans="1:11" ht="12.75">
      <c r="A20" s="155" t="s">
        <v>68</v>
      </c>
      <c r="B20" s="155"/>
      <c r="C20" s="155"/>
      <c r="D20" s="171"/>
      <c r="E20" s="155"/>
      <c r="F20" s="162"/>
      <c r="H20" s="54" t="s">
        <v>6</v>
      </c>
      <c r="I20" s="36"/>
      <c r="J20" s="36"/>
      <c r="K20" s="181">
        <f>SUM(K4:K16)</f>
        <v>66444</v>
      </c>
    </row>
    <row r="21" spans="1:6" ht="12.75">
      <c r="A21" s="168" t="s">
        <v>18</v>
      </c>
      <c r="B21" s="169" t="s">
        <v>13</v>
      </c>
      <c r="C21" s="174">
        <v>160</v>
      </c>
      <c r="D21" s="166">
        <v>110</v>
      </c>
      <c r="E21" s="167">
        <f>C21*D21</f>
        <v>17600</v>
      </c>
      <c r="F21" s="162">
        <f>E21</f>
        <v>17600</v>
      </c>
    </row>
    <row r="22" spans="1:6" ht="12.75">
      <c r="A22" s="163"/>
      <c r="B22" s="172"/>
      <c r="C22" s="172"/>
      <c r="D22" s="173"/>
      <c r="E22" s="172"/>
      <c r="F22" s="162"/>
    </row>
    <row r="23" spans="1:6" ht="12.75">
      <c r="A23" s="155" t="s">
        <v>19</v>
      </c>
      <c r="B23" s="155"/>
      <c r="C23" s="155"/>
      <c r="D23" s="171"/>
      <c r="E23" s="155"/>
      <c r="F23" s="162"/>
    </row>
    <row r="24" spans="1:6" ht="12.75">
      <c r="A24" s="168" t="s">
        <v>20</v>
      </c>
      <c r="B24" s="169" t="s">
        <v>13</v>
      </c>
      <c r="C24" s="174">
        <v>200</v>
      </c>
      <c r="D24" s="166">
        <v>110</v>
      </c>
      <c r="E24" s="167">
        <f>C24*D24</f>
        <v>22000</v>
      </c>
      <c r="F24" s="162">
        <f>E24</f>
        <v>22000</v>
      </c>
    </row>
    <row r="25" spans="1:11" ht="14.25" customHeight="1">
      <c r="A25" s="168"/>
      <c r="B25" s="169"/>
      <c r="C25" s="174"/>
      <c r="D25" s="166"/>
      <c r="E25" s="167"/>
      <c r="F25" s="162"/>
      <c r="H25" s="231" t="s">
        <v>100</v>
      </c>
      <c r="I25" s="231"/>
      <c r="J25" s="231"/>
      <c r="K25" s="231"/>
    </row>
    <row r="26" spans="1:11" ht="15" customHeight="1">
      <c r="A26" s="163" t="s">
        <v>21</v>
      </c>
      <c r="B26" s="169"/>
      <c r="C26" s="165"/>
      <c r="D26" s="167"/>
      <c r="E26" s="167"/>
      <c r="F26" s="162"/>
      <c r="H26" s="182"/>
      <c r="I26" s="182"/>
      <c r="J26" s="182"/>
      <c r="K26" s="183" t="s">
        <v>514</v>
      </c>
    </row>
    <row r="27" spans="1:11" ht="12.75">
      <c r="A27" s="168" t="s">
        <v>22</v>
      </c>
      <c r="B27" s="169" t="s">
        <v>13</v>
      </c>
      <c r="C27" s="165">
        <v>50</v>
      </c>
      <c r="D27" s="166">
        <v>110</v>
      </c>
      <c r="E27" s="167">
        <f>C27*D27</f>
        <v>5500</v>
      </c>
      <c r="F27" s="162">
        <f>E27</f>
        <v>5500</v>
      </c>
      <c r="H27" s="54" t="s">
        <v>95</v>
      </c>
      <c r="I27" s="53"/>
      <c r="J27" s="53"/>
      <c r="K27" s="37">
        <v>250000</v>
      </c>
    </row>
    <row r="28" spans="1:11" ht="12.75">
      <c r="A28" s="168"/>
      <c r="B28" s="169"/>
      <c r="C28" s="165"/>
      <c r="D28" s="167"/>
      <c r="E28" s="167"/>
      <c r="F28" s="162"/>
      <c r="H28" s="54" t="s">
        <v>83</v>
      </c>
      <c r="I28" s="53"/>
      <c r="J28" s="53"/>
      <c r="K28" s="37">
        <f>I29*I30</f>
        <v>2700</v>
      </c>
    </row>
    <row r="29" spans="1:11" ht="12.75">
      <c r="A29" s="163" t="s">
        <v>23</v>
      </c>
      <c r="B29" s="169"/>
      <c r="C29" s="165"/>
      <c r="D29" s="167"/>
      <c r="E29" s="167"/>
      <c r="F29" s="162"/>
      <c r="H29" s="36" t="s">
        <v>84</v>
      </c>
      <c r="I29" s="53">
        <v>6</v>
      </c>
      <c r="J29" s="53"/>
      <c r="K29" s="37"/>
    </row>
    <row r="30" spans="1:11" ht="12.75">
      <c r="A30" s="168" t="s">
        <v>24</v>
      </c>
      <c r="B30" s="169" t="s">
        <v>13</v>
      </c>
      <c r="C30" s="165">
        <v>160</v>
      </c>
      <c r="D30" s="166">
        <v>160</v>
      </c>
      <c r="E30" s="167">
        <f>C30*D30</f>
        <v>25600</v>
      </c>
      <c r="F30" s="162">
        <f>E30</f>
        <v>25600</v>
      </c>
      <c r="H30" s="36" t="s">
        <v>85</v>
      </c>
      <c r="I30" s="37">
        <v>450</v>
      </c>
      <c r="J30" s="53"/>
      <c r="K30" s="37"/>
    </row>
    <row r="31" spans="1:11" ht="12.75">
      <c r="A31" s="168"/>
      <c r="B31" s="169"/>
      <c r="C31" s="165"/>
      <c r="D31" s="175"/>
      <c r="E31" s="167"/>
      <c r="F31" s="162"/>
      <c r="H31" s="54" t="s">
        <v>93</v>
      </c>
      <c r="I31" s="53"/>
      <c r="J31" s="53"/>
      <c r="K31" s="37">
        <f>I33*I32</f>
        <v>600</v>
      </c>
    </row>
    <row r="32" spans="1:11" ht="12.75">
      <c r="A32" s="163" t="s">
        <v>25</v>
      </c>
      <c r="B32" s="169"/>
      <c r="C32" s="165"/>
      <c r="D32" s="175"/>
      <c r="E32" s="167"/>
      <c r="F32" s="162"/>
      <c r="H32" s="36" t="s">
        <v>84</v>
      </c>
      <c r="I32" s="53">
        <v>2</v>
      </c>
      <c r="J32" s="53"/>
      <c r="K32" s="37"/>
    </row>
    <row r="33" spans="1:11" ht="12.75">
      <c r="A33" s="168" t="s">
        <v>25</v>
      </c>
      <c r="B33" s="169" t="s">
        <v>13</v>
      </c>
      <c r="C33" s="165">
        <v>600</v>
      </c>
      <c r="D33" s="166">
        <v>130</v>
      </c>
      <c r="E33" s="167">
        <f>C33*D33</f>
        <v>78000</v>
      </c>
      <c r="F33" s="162"/>
      <c r="H33" s="36" t="s">
        <v>85</v>
      </c>
      <c r="I33" s="53">
        <v>300</v>
      </c>
      <c r="J33" s="53"/>
      <c r="K33" s="37"/>
    </row>
    <row r="34" spans="1:11" ht="12.75">
      <c r="A34" s="168" t="s">
        <v>26</v>
      </c>
      <c r="B34" s="169" t="s">
        <v>27</v>
      </c>
      <c r="C34" s="165">
        <v>1</v>
      </c>
      <c r="D34" s="166">
        <v>9076.19</v>
      </c>
      <c r="E34" s="167">
        <f>C34*D34</f>
        <v>9076.19</v>
      </c>
      <c r="F34" s="162"/>
      <c r="H34" s="54" t="s">
        <v>101</v>
      </c>
      <c r="I34" s="53"/>
      <c r="J34" s="53"/>
      <c r="K34" s="37">
        <v>1000</v>
      </c>
    </row>
    <row r="35" spans="1:11" ht="12.75">
      <c r="A35" s="168" t="s">
        <v>28</v>
      </c>
      <c r="B35" s="169" t="s">
        <v>27</v>
      </c>
      <c r="C35" s="165">
        <v>1</v>
      </c>
      <c r="D35" s="166">
        <v>4333.33</v>
      </c>
      <c r="E35" s="167">
        <f>C35*D35</f>
        <v>4333.33</v>
      </c>
      <c r="F35" s="162"/>
      <c r="H35" s="54" t="s">
        <v>86</v>
      </c>
      <c r="I35" s="53"/>
      <c r="J35" s="53"/>
      <c r="K35" s="37">
        <f>SUM(J36:J39)</f>
        <v>3070</v>
      </c>
    </row>
    <row r="36" spans="1:11" ht="12.75">
      <c r="A36" s="168" t="s">
        <v>29</v>
      </c>
      <c r="B36" s="169" t="s">
        <v>27</v>
      </c>
      <c r="C36" s="165">
        <v>1</v>
      </c>
      <c r="D36" s="166">
        <v>3500</v>
      </c>
      <c r="E36" s="167">
        <f>C36*D36</f>
        <v>3500</v>
      </c>
      <c r="F36" s="162">
        <f>SUM(E33:E36)</f>
        <v>94909.52</v>
      </c>
      <c r="H36" s="180" t="s">
        <v>96</v>
      </c>
      <c r="I36" s="37">
        <v>200</v>
      </c>
      <c r="J36" s="184">
        <f>I36*7</f>
        <v>1400</v>
      </c>
      <c r="K36" s="37"/>
    </row>
    <row r="37" spans="1:11" ht="12.75">
      <c r="A37" s="176"/>
      <c r="B37" s="177"/>
      <c r="C37" s="178"/>
      <c r="D37" s="179"/>
      <c r="E37" s="179"/>
      <c r="F37" s="162"/>
      <c r="H37" s="180" t="s">
        <v>97</v>
      </c>
      <c r="I37" s="37">
        <v>100</v>
      </c>
      <c r="J37" s="184">
        <f>I37*6</f>
        <v>600</v>
      </c>
      <c r="K37" s="37"/>
    </row>
    <row r="38" spans="1:11" ht="12.75">
      <c r="A38" s="163" t="s">
        <v>31</v>
      </c>
      <c r="B38" s="169"/>
      <c r="C38" s="165"/>
      <c r="D38" s="166"/>
      <c r="E38" s="167"/>
      <c r="F38" s="162"/>
      <c r="H38" s="180" t="s">
        <v>98</v>
      </c>
      <c r="I38" s="37">
        <v>120</v>
      </c>
      <c r="J38" s="184">
        <f>I38*6</f>
        <v>720</v>
      </c>
      <c r="K38" s="37"/>
    </row>
    <row r="39" spans="1:11" ht="12.75">
      <c r="A39" s="168" t="s">
        <v>32</v>
      </c>
      <c r="B39" s="169" t="s">
        <v>27</v>
      </c>
      <c r="C39" s="165">
        <v>1</v>
      </c>
      <c r="D39" s="166">
        <v>60000</v>
      </c>
      <c r="E39" s="167">
        <f aca="true" t="shared" si="0" ref="E39:E46">C39*D39</f>
        <v>60000</v>
      </c>
      <c r="F39" s="162"/>
      <c r="H39" s="180" t="s">
        <v>99</v>
      </c>
      <c r="I39" s="37">
        <v>35</v>
      </c>
      <c r="J39" s="184">
        <f>I39*10</f>
        <v>350</v>
      </c>
      <c r="K39" s="37"/>
    </row>
    <row r="40" spans="1:11" ht="12.75">
      <c r="A40" s="168" t="s">
        <v>33</v>
      </c>
      <c r="B40" s="169" t="s">
        <v>27</v>
      </c>
      <c r="C40" s="165">
        <v>1</v>
      </c>
      <c r="D40" s="166">
        <v>6000</v>
      </c>
      <c r="E40" s="167">
        <f t="shared" si="0"/>
        <v>6000</v>
      </c>
      <c r="F40" s="162"/>
      <c r="H40" s="54" t="s">
        <v>94</v>
      </c>
      <c r="I40" s="53"/>
      <c r="J40" s="53"/>
      <c r="K40" s="37">
        <v>3800</v>
      </c>
    </row>
    <row r="41" spans="1:11" ht="12.75">
      <c r="A41" s="168" t="s">
        <v>34</v>
      </c>
      <c r="B41" s="169" t="s">
        <v>13</v>
      </c>
      <c r="C41" s="165">
        <v>600</v>
      </c>
      <c r="D41" s="166">
        <v>90</v>
      </c>
      <c r="E41" s="167">
        <f t="shared" si="0"/>
        <v>54000</v>
      </c>
      <c r="F41" s="162"/>
      <c r="H41" s="54" t="s">
        <v>318</v>
      </c>
      <c r="I41" s="53"/>
      <c r="J41" s="53"/>
      <c r="K41" s="37">
        <f>I42*I43</f>
        <v>1000</v>
      </c>
    </row>
    <row r="42" spans="1:11" ht="12.75">
      <c r="A42" s="168" t="s">
        <v>35</v>
      </c>
      <c r="B42" s="169" t="s">
        <v>13</v>
      </c>
      <c r="C42" s="165">
        <v>80</v>
      </c>
      <c r="D42" s="166">
        <v>104.76</v>
      </c>
      <c r="E42" s="167">
        <f t="shared" si="0"/>
        <v>8380.800000000001</v>
      </c>
      <c r="F42" s="162"/>
      <c r="H42" s="180" t="s">
        <v>88</v>
      </c>
      <c r="I42" s="53">
        <v>40</v>
      </c>
      <c r="J42" s="53"/>
      <c r="K42" s="53"/>
    </row>
    <row r="43" spans="1:11" ht="12.75">
      <c r="A43" s="168" t="s">
        <v>26</v>
      </c>
      <c r="B43" s="169" t="s">
        <v>27</v>
      </c>
      <c r="C43" s="165">
        <v>1</v>
      </c>
      <c r="D43" s="166">
        <v>13790</v>
      </c>
      <c r="E43" s="167">
        <f t="shared" si="0"/>
        <v>13790</v>
      </c>
      <c r="F43" s="162"/>
      <c r="H43" s="180" t="s">
        <v>85</v>
      </c>
      <c r="I43" s="37">
        <v>25</v>
      </c>
      <c r="J43" s="53"/>
      <c r="K43" s="53"/>
    </row>
    <row r="44" spans="1:11" ht="12.75">
      <c r="A44" s="168" t="s">
        <v>28</v>
      </c>
      <c r="B44" s="169" t="s">
        <v>27</v>
      </c>
      <c r="C44" s="165">
        <v>1</v>
      </c>
      <c r="D44" s="166">
        <v>6350</v>
      </c>
      <c r="E44" s="167">
        <f t="shared" si="0"/>
        <v>6350</v>
      </c>
      <c r="F44" s="162"/>
      <c r="H44" s="54" t="s">
        <v>87</v>
      </c>
      <c r="I44" s="37"/>
      <c r="J44" s="53"/>
      <c r="K44" s="37">
        <v>10000</v>
      </c>
    </row>
    <row r="45" spans="1:11" ht="12.75">
      <c r="A45" s="168" t="s">
        <v>29</v>
      </c>
      <c r="B45" s="169" t="s">
        <v>27</v>
      </c>
      <c r="C45" s="165">
        <v>1</v>
      </c>
      <c r="D45" s="166">
        <v>3500</v>
      </c>
      <c r="E45" s="167">
        <f t="shared" si="0"/>
        <v>3500</v>
      </c>
      <c r="F45" s="162"/>
      <c r="H45" s="54" t="s">
        <v>89</v>
      </c>
      <c r="I45" s="37"/>
      <c r="J45" s="53"/>
      <c r="K45" s="37">
        <v>800</v>
      </c>
    </row>
    <row r="46" spans="1:11" ht="12.75">
      <c r="A46" s="168" t="s">
        <v>36</v>
      </c>
      <c r="B46" s="169" t="s">
        <v>27</v>
      </c>
      <c r="C46" s="165">
        <v>1</v>
      </c>
      <c r="D46" s="166">
        <v>2029</v>
      </c>
      <c r="E46" s="167">
        <f t="shared" si="0"/>
        <v>2029</v>
      </c>
      <c r="F46" s="162">
        <f>SUM(E39:E46)</f>
        <v>154049.8</v>
      </c>
      <c r="H46" s="54" t="s">
        <v>90</v>
      </c>
      <c r="I46" s="37"/>
      <c r="J46" s="53"/>
      <c r="K46" s="37">
        <v>8000</v>
      </c>
    </row>
    <row r="47" spans="1:11" ht="12.75">
      <c r="A47" s="168"/>
      <c r="B47" s="169"/>
      <c r="C47" s="165"/>
      <c r="D47" s="166"/>
      <c r="E47" s="167"/>
      <c r="F47" s="162"/>
      <c r="H47" s="36"/>
      <c r="I47" s="53"/>
      <c r="J47" s="53"/>
      <c r="K47" s="53"/>
    </row>
    <row r="48" spans="1:11" ht="12.75">
      <c r="A48" s="163" t="s">
        <v>37</v>
      </c>
      <c r="B48" s="169"/>
      <c r="C48" s="165"/>
      <c r="D48" s="166"/>
      <c r="E48" s="167"/>
      <c r="F48" s="162"/>
      <c r="H48" s="54" t="s">
        <v>6</v>
      </c>
      <c r="I48" s="53"/>
      <c r="J48" s="53"/>
      <c r="K48" s="181">
        <f>SUM(K27:K46)</f>
        <v>280970</v>
      </c>
    </row>
    <row r="49" spans="1:6" ht="12.75">
      <c r="A49" s="168" t="s">
        <v>32</v>
      </c>
      <c r="B49" s="169" t="s">
        <v>27</v>
      </c>
      <c r="C49" s="165">
        <v>1</v>
      </c>
      <c r="D49" s="166">
        <v>30000</v>
      </c>
      <c r="E49" s="167">
        <f aca="true" t="shared" si="1" ref="E49:E55">C49*D49</f>
        <v>30000</v>
      </c>
      <c r="F49" s="162"/>
    </row>
    <row r="50" spans="1:6" ht="12.75">
      <c r="A50" s="168" t="s">
        <v>33</v>
      </c>
      <c r="B50" s="169" t="s">
        <v>27</v>
      </c>
      <c r="C50" s="165">
        <v>1</v>
      </c>
      <c r="D50" s="166">
        <v>2000</v>
      </c>
      <c r="E50" s="167">
        <f t="shared" si="1"/>
        <v>2000</v>
      </c>
      <c r="F50" s="162"/>
    </row>
    <row r="51" spans="1:11" ht="23.25">
      <c r="A51" s="168" t="s">
        <v>34</v>
      </c>
      <c r="B51" s="169" t="s">
        <v>13</v>
      </c>
      <c r="C51" s="165">
        <v>350</v>
      </c>
      <c r="D51" s="166">
        <v>90</v>
      </c>
      <c r="E51" s="167">
        <f t="shared" si="1"/>
        <v>31500</v>
      </c>
      <c r="F51" s="162"/>
      <c r="H51" s="262" t="s">
        <v>102</v>
      </c>
      <c r="I51" s="262"/>
      <c r="J51" s="262"/>
      <c r="K51" s="262"/>
    </row>
    <row r="52" spans="1:8" ht="15.75" customHeight="1">
      <c r="A52" s="168" t="s">
        <v>26</v>
      </c>
      <c r="B52" s="169" t="s">
        <v>27</v>
      </c>
      <c r="C52" s="165">
        <v>1</v>
      </c>
      <c r="D52" s="166">
        <v>10790</v>
      </c>
      <c r="E52" s="167">
        <f t="shared" si="1"/>
        <v>10790</v>
      </c>
      <c r="F52" s="162"/>
      <c r="H52" s="3"/>
    </row>
    <row r="53" spans="1:11" ht="12.75">
      <c r="A53" s="168" t="s">
        <v>28</v>
      </c>
      <c r="B53" s="169" t="s">
        <v>27</v>
      </c>
      <c r="C53" s="165">
        <v>1</v>
      </c>
      <c r="D53" s="166">
        <v>4800</v>
      </c>
      <c r="E53" s="167">
        <f t="shared" si="1"/>
        <v>4800</v>
      </c>
      <c r="F53" s="162"/>
      <c r="H53" s="3" t="s">
        <v>103</v>
      </c>
      <c r="J53" s="6">
        <f>F110</f>
        <v>1481570.15</v>
      </c>
      <c r="K53" s="6"/>
    </row>
    <row r="54" spans="1:11" ht="12.75">
      <c r="A54" s="168" t="s">
        <v>29</v>
      </c>
      <c r="B54" s="169" t="s">
        <v>27</v>
      </c>
      <c r="C54" s="165">
        <v>1</v>
      </c>
      <c r="D54" s="166">
        <v>2295</v>
      </c>
      <c r="E54" s="167">
        <f t="shared" si="1"/>
        <v>2295</v>
      </c>
      <c r="F54" s="162"/>
      <c r="H54" s="3" t="s">
        <v>104</v>
      </c>
      <c r="J54" s="6">
        <f>K20</f>
        <v>66444</v>
      </c>
      <c r="K54" s="6"/>
    </row>
    <row r="55" spans="1:11" ht="12.75">
      <c r="A55" s="168" t="s">
        <v>36</v>
      </c>
      <c r="B55" s="169" t="s">
        <v>27</v>
      </c>
      <c r="C55" s="165">
        <v>1</v>
      </c>
      <c r="D55" s="166">
        <v>1729</v>
      </c>
      <c r="E55" s="167">
        <f t="shared" si="1"/>
        <v>1729</v>
      </c>
      <c r="F55" s="162">
        <f>SUM(E48:E55)</f>
        <v>83114</v>
      </c>
      <c r="H55" s="3" t="s">
        <v>100</v>
      </c>
      <c r="J55" s="6">
        <f>K48</f>
        <v>280970</v>
      </c>
      <c r="K55" s="6"/>
    </row>
    <row r="56" spans="1:11" ht="12.75">
      <c r="A56" s="168"/>
      <c r="B56" s="169"/>
      <c r="C56" s="165"/>
      <c r="D56" s="166"/>
      <c r="E56" s="167"/>
      <c r="F56" s="162"/>
      <c r="J56" s="6"/>
      <c r="K56" s="6"/>
    </row>
    <row r="57" spans="1:11" ht="12.75">
      <c r="A57" s="163" t="s">
        <v>38</v>
      </c>
      <c r="B57" s="169"/>
      <c r="C57" s="165"/>
      <c r="D57" s="175"/>
      <c r="E57" s="167"/>
      <c r="F57" s="162"/>
      <c r="H57" s="3" t="s">
        <v>6</v>
      </c>
      <c r="J57" s="6"/>
      <c r="K57" s="8">
        <f>SUM(J53:J55)</f>
        <v>1828984.15</v>
      </c>
    </row>
    <row r="58" spans="1:6" ht="12.75">
      <c r="A58" s="168" t="s">
        <v>39</v>
      </c>
      <c r="B58" s="169" t="s">
        <v>13</v>
      </c>
      <c r="C58" s="165">
        <v>1200</v>
      </c>
      <c r="D58" s="166">
        <v>100</v>
      </c>
      <c r="E58" s="167">
        <f>C58*D58</f>
        <v>120000</v>
      </c>
      <c r="F58" s="162"/>
    </row>
    <row r="59" spans="1:6" ht="12.75">
      <c r="A59" s="168" t="s">
        <v>40</v>
      </c>
      <c r="B59" s="169" t="s">
        <v>30</v>
      </c>
      <c r="C59" s="165">
        <v>6</v>
      </c>
      <c r="D59" s="166">
        <v>3000</v>
      </c>
      <c r="E59" s="167">
        <f>C59*D59</f>
        <v>18000</v>
      </c>
      <c r="F59" s="162"/>
    </row>
    <row r="60" spans="1:6" ht="12.75">
      <c r="A60" s="168" t="s">
        <v>41</v>
      </c>
      <c r="B60" s="169" t="s">
        <v>42</v>
      </c>
      <c r="C60" s="165">
        <v>1</v>
      </c>
      <c r="D60" s="166">
        <v>12000</v>
      </c>
      <c r="E60" s="167">
        <f>C60*D60</f>
        <v>12000</v>
      </c>
      <c r="F60" s="162"/>
    </row>
    <row r="61" spans="1:9" ht="12.75">
      <c r="A61" s="168" t="s">
        <v>28</v>
      </c>
      <c r="B61" s="169" t="s">
        <v>42</v>
      </c>
      <c r="C61" s="165">
        <v>1</v>
      </c>
      <c r="D61" s="166">
        <v>5525</v>
      </c>
      <c r="E61" s="167">
        <f>C61*D61</f>
        <v>5525</v>
      </c>
      <c r="F61" s="162"/>
      <c r="H61" s="237" t="s">
        <v>310</v>
      </c>
      <c r="I61" s="237"/>
    </row>
    <row r="62" spans="1:9" ht="15">
      <c r="A62" s="168" t="s">
        <v>29</v>
      </c>
      <c r="B62" s="169" t="s">
        <v>42</v>
      </c>
      <c r="C62" s="165">
        <v>1</v>
      </c>
      <c r="D62" s="166">
        <v>4475</v>
      </c>
      <c r="E62" s="167">
        <f>C62*D62</f>
        <v>4475</v>
      </c>
      <c r="F62" s="162">
        <f>SUM(E58:E62)</f>
        <v>160000</v>
      </c>
      <c r="H62" s="228" t="s">
        <v>308</v>
      </c>
      <c r="I62" s="228"/>
    </row>
    <row r="63" spans="1:9" ht="12.75">
      <c r="A63" s="133"/>
      <c r="B63" s="130"/>
      <c r="C63" s="137"/>
      <c r="D63" s="138"/>
      <c r="E63" s="139"/>
      <c r="F63" s="153"/>
      <c r="H63" s="36" t="s">
        <v>304</v>
      </c>
      <c r="I63" s="52">
        <f>J53+J54+J55-K45-K46-K44</f>
        <v>1810184.15</v>
      </c>
    </row>
    <row r="64" spans="1:9" ht="12.75">
      <c r="A64" s="134" t="s">
        <v>43</v>
      </c>
      <c r="B64" s="134"/>
      <c r="C64" s="134"/>
      <c r="D64" s="141"/>
      <c r="E64" s="134"/>
      <c r="F64" s="153"/>
      <c r="H64" s="36" t="s">
        <v>305</v>
      </c>
      <c r="I64" s="52">
        <f>K45+K46</f>
        <v>8800</v>
      </c>
    </row>
    <row r="65" spans="1:9" ht="12.75">
      <c r="A65" s="133" t="s">
        <v>32</v>
      </c>
      <c r="B65" s="130" t="s">
        <v>27</v>
      </c>
      <c r="C65" s="142">
        <v>1</v>
      </c>
      <c r="D65" s="138">
        <v>168150</v>
      </c>
      <c r="E65" s="139">
        <f aca="true" t="shared" si="2" ref="E65:E75">C65*D65</f>
        <v>168150</v>
      </c>
      <c r="F65" s="153"/>
      <c r="H65" s="36" t="s">
        <v>191</v>
      </c>
      <c r="I65" s="52">
        <f>-'CAPITAL DE TRABAJO'!C7</f>
        <v>6568.987658731496</v>
      </c>
    </row>
    <row r="66" spans="1:9" ht="12.75">
      <c r="A66" s="133" t="s">
        <v>33</v>
      </c>
      <c r="B66" s="130" t="s">
        <v>27</v>
      </c>
      <c r="C66" s="137">
        <v>1</v>
      </c>
      <c r="D66" s="138">
        <f>D65*0.15</f>
        <v>25222.5</v>
      </c>
      <c r="E66" s="139">
        <f t="shared" si="2"/>
        <v>25222.5</v>
      </c>
      <c r="F66" s="153"/>
      <c r="H66" s="36" t="s">
        <v>309</v>
      </c>
      <c r="I66" s="52">
        <f>K44</f>
        <v>10000</v>
      </c>
    </row>
    <row r="67" spans="1:9" ht="12.75">
      <c r="A67" s="133" t="s">
        <v>44</v>
      </c>
      <c r="B67" s="130"/>
      <c r="C67" s="137">
        <v>1</v>
      </c>
      <c r="D67" s="140">
        <v>23000</v>
      </c>
      <c r="E67" s="139">
        <f t="shared" si="2"/>
        <v>23000</v>
      </c>
      <c r="F67" s="153"/>
      <c r="H67" s="116" t="s">
        <v>306</v>
      </c>
      <c r="I67" s="117">
        <f>SUM(I63:I66)</f>
        <v>1835553.1376587313</v>
      </c>
    </row>
    <row r="68" spans="1:9" ht="12.75">
      <c r="A68" s="133" t="s">
        <v>45</v>
      </c>
      <c r="B68" s="130"/>
      <c r="C68" s="137">
        <v>1</v>
      </c>
      <c r="D68" s="140">
        <v>15790</v>
      </c>
      <c r="E68" s="139">
        <f t="shared" si="2"/>
        <v>15790</v>
      </c>
      <c r="F68" s="153"/>
      <c r="H68" s="236" t="s">
        <v>311</v>
      </c>
      <c r="I68" s="236"/>
    </row>
    <row r="69" spans="1:6" ht="12.75">
      <c r="A69" s="133" t="s">
        <v>46</v>
      </c>
      <c r="B69" s="130" t="s">
        <v>27</v>
      </c>
      <c r="C69" s="137">
        <v>1</v>
      </c>
      <c r="D69" s="138">
        <v>9750</v>
      </c>
      <c r="E69" s="139">
        <f t="shared" si="2"/>
        <v>9750</v>
      </c>
      <c r="F69" s="153"/>
    </row>
    <row r="70" spans="1:9" ht="12.75">
      <c r="A70" s="133" t="s">
        <v>47</v>
      </c>
      <c r="B70" s="130" t="s">
        <v>27</v>
      </c>
      <c r="C70" s="137">
        <v>1</v>
      </c>
      <c r="D70" s="138">
        <v>21600</v>
      </c>
      <c r="E70" s="139">
        <f t="shared" si="2"/>
        <v>21600</v>
      </c>
      <c r="F70" s="153"/>
      <c r="H70" s="237" t="s">
        <v>320</v>
      </c>
      <c r="I70" s="237"/>
    </row>
    <row r="71" spans="1:9" ht="12.75">
      <c r="A71" s="133" t="s">
        <v>26</v>
      </c>
      <c r="B71" s="130" t="s">
        <v>27</v>
      </c>
      <c r="C71" s="137">
        <v>1</v>
      </c>
      <c r="D71" s="138">
        <v>15900</v>
      </c>
      <c r="E71" s="139">
        <f t="shared" si="2"/>
        <v>15900</v>
      </c>
      <c r="F71" s="153"/>
      <c r="H71" s="227" t="s">
        <v>312</v>
      </c>
      <c r="I71" s="235"/>
    </row>
    <row r="72" spans="1:9" ht="12.75">
      <c r="A72" s="133" t="s">
        <v>48</v>
      </c>
      <c r="B72" s="130" t="s">
        <v>13</v>
      </c>
      <c r="C72" s="142">
        <v>300</v>
      </c>
      <c r="D72" s="138">
        <v>130</v>
      </c>
      <c r="E72" s="139">
        <f t="shared" si="2"/>
        <v>39000</v>
      </c>
      <c r="F72" s="153"/>
      <c r="H72" s="36" t="s">
        <v>313</v>
      </c>
      <c r="I72" s="52">
        <f>K27</f>
        <v>250000</v>
      </c>
    </row>
    <row r="73" spans="1:9" ht="12.75">
      <c r="A73" s="133" t="s">
        <v>28</v>
      </c>
      <c r="B73" s="130" t="s">
        <v>27</v>
      </c>
      <c r="C73" s="137">
        <v>1</v>
      </c>
      <c r="D73" s="138">
        <v>6700</v>
      </c>
      <c r="E73" s="139">
        <f t="shared" si="2"/>
        <v>6700</v>
      </c>
      <c r="F73" s="153"/>
      <c r="H73" s="36" t="s">
        <v>314</v>
      </c>
      <c r="I73" s="52">
        <f>J53</f>
        <v>1481570.15</v>
      </c>
    </row>
    <row r="74" spans="1:9" ht="12.75">
      <c r="A74" s="133" t="s">
        <v>49</v>
      </c>
      <c r="B74" s="130" t="s">
        <v>27</v>
      </c>
      <c r="C74" s="137">
        <v>1</v>
      </c>
      <c r="D74" s="138">
        <v>5900</v>
      </c>
      <c r="E74" s="139">
        <f t="shared" si="2"/>
        <v>5900</v>
      </c>
      <c r="F74" s="153"/>
      <c r="H74" s="36" t="s">
        <v>315</v>
      </c>
      <c r="I74" s="52">
        <f>J54</f>
        <v>66444</v>
      </c>
    </row>
    <row r="75" spans="1:9" ht="12.75">
      <c r="A75" s="133" t="s">
        <v>50</v>
      </c>
      <c r="B75" s="130" t="s">
        <v>27</v>
      </c>
      <c r="C75" s="137">
        <v>1</v>
      </c>
      <c r="D75" s="138">
        <v>2400</v>
      </c>
      <c r="E75" s="139">
        <f t="shared" si="2"/>
        <v>2400</v>
      </c>
      <c r="F75" s="153">
        <f>SUM(E65:E75)</f>
        <v>333412.5</v>
      </c>
      <c r="H75" s="36" t="s">
        <v>111</v>
      </c>
      <c r="I75" s="52">
        <f>K28+K31</f>
        <v>3300</v>
      </c>
    </row>
    <row r="76" spans="1:9" ht="12.75">
      <c r="A76" s="133"/>
      <c r="B76" s="130"/>
      <c r="C76" s="137"/>
      <c r="D76" s="138"/>
      <c r="E76" s="139"/>
      <c r="F76" s="153"/>
      <c r="H76" s="36" t="s">
        <v>112</v>
      </c>
      <c r="I76" s="52">
        <f>K35</f>
        <v>3070</v>
      </c>
    </row>
    <row r="77" spans="1:9" ht="12.75">
      <c r="A77" s="135" t="s">
        <v>51</v>
      </c>
      <c r="B77" s="130"/>
      <c r="C77" s="137"/>
      <c r="D77" s="138"/>
      <c r="E77" s="139"/>
      <c r="F77" s="153"/>
      <c r="H77" s="36" t="s">
        <v>114</v>
      </c>
      <c r="I77" s="52">
        <f>K40</f>
        <v>3800</v>
      </c>
    </row>
    <row r="78" spans="1:9" ht="12.75">
      <c r="A78" s="133" t="s">
        <v>32</v>
      </c>
      <c r="B78" s="130" t="s">
        <v>27</v>
      </c>
      <c r="C78" s="137">
        <v>1</v>
      </c>
      <c r="D78" s="138">
        <v>102500</v>
      </c>
      <c r="E78" s="139">
        <f aca="true" t="shared" si="3" ref="E78:E87">C78*D78</f>
        <v>102500</v>
      </c>
      <c r="F78" s="153"/>
      <c r="H78" s="36" t="s">
        <v>316</v>
      </c>
      <c r="I78" s="52">
        <f>K41</f>
        <v>1000</v>
      </c>
    </row>
    <row r="79" spans="1:9" ht="12.75">
      <c r="A79" s="133" t="s">
        <v>33</v>
      </c>
      <c r="B79" s="130" t="s">
        <v>27</v>
      </c>
      <c r="C79" s="137">
        <v>1</v>
      </c>
      <c r="D79" s="138">
        <v>9250</v>
      </c>
      <c r="E79" s="139">
        <f t="shared" si="3"/>
        <v>9250</v>
      </c>
      <c r="F79" s="153"/>
      <c r="H79" s="36" t="s">
        <v>113</v>
      </c>
      <c r="I79" s="52">
        <f>K34</f>
        <v>1000</v>
      </c>
    </row>
    <row r="80" spans="1:9" ht="12.75">
      <c r="A80" s="133" t="s">
        <v>44</v>
      </c>
      <c r="B80" s="130" t="s">
        <v>52</v>
      </c>
      <c r="C80" s="137"/>
      <c r="D80" s="140"/>
      <c r="E80" s="139">
        <f t="shared" si="3"/>
        <v>0</v>
      </c>
      <c r="F80" s="153"/>
      <c r="H80" s="116" t="s">
        <v>319</v>
      </c>
      <c r="I80" s="117">
        <f>SUM(I72:I79)</f>
        <v>1810184.15</v>
      </c>
    </row>
    <row r="81" spans="1:9" ht="12.75">
      <c r="A81" s="133" t="s">
        <v>53</v>
      </c>
      <c r="B81" s="130" t="s">
        <v>52</v>
      </c>
      <c r="C81" s="137">
        <v>1</v>
      </c>
      <c r="D81" s="138">
        <v>28500</v>
      </c>
      <c r="E81" s="139">
        <f t="shared" si="3"/>
        <v>28500</v>
      </c>
      <c r="F81" s="153"/>
      <c r="H81" s="236" t="s">
        <v>311</v>
      </c>
      <c r="I81" s="236"/>
    </row>
    <row r="82" spans="1:6" ht="12.75">
      <c r="A82" s="133" t="s">
        <v>46</v>
      </c>
      <c r="B82" s="130" t="s">
        <v>27</v>
      </c>
      <c r="C82" s="137">
        <v>1</v>
      </c>
      <c r="D82" s="138">
        <v>7625</v>
      </c>
      <c r="E82" s="139">
        <f t="shared" si="3"/>
        <v>7625</v>
      </c>
      <c r="F82" s="153"/>
    </row>
    <row r="83" spans="1:6" ht="12.75">
      <c r="A83" s="133" t="s">
        <v>47</v>
      </c>
      <c r="B83" s="130" t="s">
        <v>27</v>
      </c>
      <c r="C83" s="137">
        <v>1</v>
      </c>
      <c r="D83" s="138">
        <v>13450</v>
      </c>
      <c r="E83" s="139">
        <f t="shared" si="3"/>
        <v>13450</v>
      </c>
      <c r="F83" s="153"/>
    </row>
    <row r="84" spans="1:6" ht="12.75">
      <c r="A84" s="133" t="s">
        <v>54</v>
      </c>
      <c r="B84" s="130" t="s">
        <v>27</v>
      </c>
      <c r="C84" s="137">
        <v>1</v>
      </c>
      <c r="D84" s="138">
        <v>7750</v>
      </c>
      <c r="E84" s="139">
        <f t="shared" si="3"/>
        <v>7750</v>
      </c>
      <c r="F84" s="153"/>
    </row>
    <row r="85" spans="1:6" ht="12.75">
      <c r="A85" s="133" t="s">
        <v>28</v>
      </c>
      <c r="B85" s="130" t="s">
        <v>27</v>
      </c>
      <c r="C85" s="137">
        <v>1</v>
      </c>
      <c r="D85" s="138">
        <v>5400</v>
      </c>
      <c r="E85" s="139">
        <f t="shared" si="3"/>
        <v>5400</v>
      </c>
      <c r="F85" s="153"/>
    </row>
    <row r="86" spans="1:6" ht="12.75">
      <c r="A86" s="133" t="s">
        <v>49</v>
      </c>
      <c r="B86" s="130" t="s">
        <v>27</v>
      </c>
      <c r="C86" s="137">
        <v>1</v>
      </c>
      <c r="D86" s="138">
        <v>4500</v>
      </c>
      <c r="E86" s="139">
        <f t="shared" si="3"/>
        <v>4500</v>
      </c>
      <c r="F86" s="153"/>
    </row>
    <row r="87" spans="1:9" ht="14.25">
      <c r="A87" s="133" t="s">
        <v>55</v>
      </c>
      <c r="B87" s="130" t="s">
        <v>27</v>
      </c>
      <c r="C87" s="137">
        <v>1</v>
      </c>
      <c r="D87" s="138">
        <v>1800</v>
      </c>
      <c r="E87" s="139">
        <f t="shared" si="3"/>
        <v>1800</v>
      </c>
      <c r="F87" s="153">
        <f>SUM(E78:E87)</f>
        <v>180775</v>
      </c>
      <c r="I87" s="42"/>
    </row>
    <row r="88" spans="1:9" ht="12.75">
      <c r="A88" s="133"/>
      <c r="B88" s="130"/>
      <c r="C88" s="137"/>
      <c r="D88" s="138"/>
      <c r="E88" s="139"/>
      <c r="F88" s="153"/>
      <c r="I88" s="6"/>
    </row>
    <row r="89" spans="1:9" ht="12.75">
      <c r="A89" s="135" t="s">
        <v>71</v>
      </c>
      <c r="B89" s="130"/>
      <c r="C89" s="137"/>
      <c r="D89" s="139"/>
      <c r="E89" s="139"/>
      <c r="F89" s="153"/>
      <c r="I89" s="6"/>
    </row>
    <row r="90" spans="1:6" ht="12.75">
      <c r="A90" s="133" t="s">
        <v>56</v>
      </c>
      <c r="B90" s="130" t="s">
        <v>13</v>
      </c>
      <c r="C90" s="137">
        <v>1400</v>
      </c>
      <c r="D90" s="138">
        <v>130</v>
      </c>
      <c r="E90" s="139">
        <f>C90*D90</f>
        <v>182000</v>
      </c>
      <c r="F90" s="153"/>
    </row>
    <row r="91" spans="1:9" ht="12.75">
      <c r="A91" s="133" t="s">
        <v>26</v>
      </c>
      <c r="B91" s="130" t="s">
        <v>42</v>
      </c>
      <c r="C91" s="137">
        <v>1</v>
      </c>
      <c r="D91" s="138">
        <v>13980</v>
      </c>
      <c r="E91" s="139">
        <f>C91*D91</f>
        <v>13980</v>
      </c>
      <c r="F91" s="153"/>
      <c r="I91" s="25"/>
    </row>
    <row r="92" spans="1:9" ht="14.25">
      <c r="A92" s="133" t="s">
        <v>57</v>
      </c>
      <c r="B92" s="130" t="s">
        <v>42</v>
      </c>
      <c r="C92" s="137">
        <v>1</v>
      </c>
      <c r="D92" s="138">
        <v>5333.33</v>
      </c>
      <c r="E92" s="139">
        <f>C92*D92</f>
        <v>5333.33</v>
      </c>
      <c r="F92" s="153"/>
      <c r="I92" s="42"/>
    </row>
    <row r="93" spans="1:9" ht="12.75">
      <c r="A93" s="133" t="s">
        <v>49</v>
      </c>
      <c r="B93" s="130" t="s">
        <v>42</v>
      </c>
      <c r="C93" s="137">
        <v>1</v>
      </c>
      <c r="D93" s="138">
        <v>4500</v>
      </c>
      <c r="E93" s="139">
        <f>C93*D93</f>
        <v>4500</v>
      </c>
      <c r="F93" s="153">
        <f>SUM(E90:E93)</f>
        <v>205813.33</v>
      </c>
      <c r="I93" s="6"/>
    </row>
    <row r="94" spans="1:9" ht="12.75">
      <c r="A94" s="133"/>
      <c r="B94" s="130"/>
      <c r="C94" s="137"/>
      <c r="D94" s="138"/>
      <c r="E94" s="139"/>
      <c r="F94" s="153"/>
      <c r="I94" s="6"/>
    </row>
    <row r="95" spans="1:6" ht="12.75">
      <c r="A95" s="135" t="s">
        <v>58</v>
      </c>
      <c r="B95" s="136"/>
      <c r="C95" s="137"/>
      <c r="D95" s="140"/>
      <c r="E95" s="139"/>
      <c r="F95" s="153"/>
    </row>
    <row r="96" spans="1:9" ht="12.75">
      <c r="A96" s="133" t="s">
        <v>59</v>
      </c>
      <c r="B96" s="130" t="s">
        <v>13</v>
      </c>
      <c r="C96" s="137">
        <v>2500</v>
      </c>
      <c r="D96" s="140">
        <v>3.05</v>
      </c>
      <c r="E96" s="139">
        <f>C96*D96</f>
        <v>7625</v>
      </c>
      <c r="F96" s="153"/>
      <c r="I96" s="25"/>
    </row>
    <row r="97" spans="1:6" ht="12.75">
      <c r="A97" s="133" t="s">
        <v>60</v>
      </c>
      <c r="B97" s="130" t="s">
        <v>61</v>
      </c>
      <c r="C97" s="137">
        <v>70</v>
      </c>
      <c r="D97" s="138">
        <v>28.57</v>
      </c>
      <c r="E97" s="139">
        <f>C97*D97</f>
        <v>1999.9</v>
      </c>
      <c r="F97" s="153">
        <f>SUM(E96:E97)</f>
        <v>9624.9</v>
      </c>
    </row>
    <row r="98" spans="1:6" ht="12.75">
      <c r="A98" s="143"/>
      <c r="B98" s="130"/>
      <c r="C98" s="137"/>
      <c r="D98" s="138"/>
      <c r="E98" s="139"/>
      <c r="F98" s="153"/>
    </row>
    <row r="99" spans="1:6" ht="12.75">
      <c r="A99" s="135" t="s">
        <v>62</v>
      </c>
      <c r="B99" s="136"/>
      <c r="C99" s="137"/>
      <c r="D99" s="140"/>
      <c r="E99" s="139"/>
      <c r="F99" s="153"/>
    </row>
    <row r="100" spans="1:6" ht="12.75">
      <c r="A100" s="133" t="s">
        <v>63</v>
      </c>
      <c r="B100" s="130" t="s">
        <v>13</v>
      </c>
      <c r="C100" s="137">
        <v>2500</v>
      </c>
      <c r="D100" s="140">
        <v>30</v>
      </c>
      <c r="E100" s="139">
        <f>C100*D100</f>
        <v>75000</v>
      </c>
      <c r="F100" s="153"/>
    </row>
    <row r="101" spans="1:6" ht="12.75">
      <c r="A101" s="133"/>
      <c r="B101" s="130"/>
      <c r="C101" s="137"/>
      <c r="D101" s="138"/>
      <c r="E101" s="139"/>
      <c r="F101" s="153">
        <f>SUM(E100:E101)</f>
        <v>75000</v>
      </c>
    </row>
    <row r="102" spans="1:6" ht="12.75">
      <c r="A102" s="143"/>
      <c r="B102" s="144"/>
      <c r="C102" s="145"/>
      <c r="D102" s="147"/>
      <c r="E102" s="146"/>
      <c r="F102" s="153"/>
    </row>
    <row r="103" spans="1:6" ht="12.75">
      <c r="A103" s="135" t="s">
        <v>64</v>
      </c>
      <c r="B103" s="136"/>
      <c r="C103" s="137"/>
      <c r="D103" s="140"/>
      <c r="E103" s="139"/>
      <c r="F103" s="153"/>
    </row>
    <row r="104" spans="1:6" ht="12.75">
      <c r="A104" s="133" t="s">
        <v>65</v>
      </c>
      <c r="B104" s="130" t="s">
        <v>42</v>
      </c>
      <c r="C104" s="137">
        <v>1</v>
      </c>
      <c r="D104" s="140"/>
      <c r="E104" s="139"/>
      <c r="F104" s="153"/>
    </row>
    <row r="105" spans="1:6" ht="12.75">
      <c r="A105" s="133" t="s">
        <v>29</v>
      </c>
      <c r="B105" s="130" t="s">
        <v>42</v>
      </c>
      <c r="C105" s="137">
        <v>1</v>
      </c>
      <c r="D105" s="140"/>
      <c r="E105" s="139"/>
      <c r="F105" s="153"/>
    </row>
    <row r="106" spans="1:6" ht="12.75">
      <c r="A106" s="133" t="s">
        <v>66</v>
      </c>
      <c r="B106" s="130" t="s">
        <v>42</v>
      </c>
      <c r="C106" s="137">
        <v>1</v>
      </c>
      <c r="D106" s="133"/>
      <c r="E106" s="133"/>
      <c r="F106" s="153"/>
    </row>
    <row r="107" spans="1:6" ht="12.75">
      <c r="A107" s="133" t="s">
        <v>202</v>
      </c>
      <c r="B107" s="130" t="s">
        <v>42</v>
      </c>
      <c r="C107" s="137">
        <v>1</v>
      </c>
      <c r="D107" s="133"/>
      <c r="E107" s="133">
        <v>15000</v>
      </c>
      <c r="F107" s="153"/>
    </row>
    <row r="108" spans="1:6" ht="12.75">
      <c r="A108" s="133"/>
      <c r="B108" s="130"/>
      <c r="C108" s="137"/>
      <c r="D108" s="138"/>
      <c r="E108" s="139"/>
      <c r="F108" s="153">
        <v>65000</v>
      </c>
    </row>
    <row r="109" spans="1:6" ht="12.75">
      <c r="A109" s="143"/>
      <c r="B109" s="143"/>
      <c r="C109" s="148"/>
      <c r="D109" s="143"/>
      <c r="E109" s="143"/>
      <c r="F109" s="153"/>
    </row>
    <row r="110" spans="1:6" ht="12.75">
      <c r="A110" s="149" t="s">
        <v>67</v>
      </c>
      <c r="B110" s="150"/>
      <c r="C110" s="151"/>
      <c r="D110" s="152"/>
      <c r="E110" s="149"/>
      <c r="F110" s="154">
        <f>SUM(F5:F108)</f>
        <v>1481570.15</v>
      </c>
    </row>
    <row r="113" ht="12.75">
      <c r="C113" s="4"/>
    </row>
  </sheetData>
  <mergeCells count="16">
    <mergeCell ref="H71:I71"/>
    <mergeCell ref="H81:I81"/>
    <mergeCell ref="H70:I70"/>
    <mergeCell ref="H2:K2"/>
    <mergeCell ref="H62:I62"/>
    <mergeCell ref="H61:I61"/>
    <mergeCell ref="H68:I68"/>
    <mergeCell ref="H25:K25"/>
    <mergeCell ref="H51:K5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0"/>
  <sheetViews>
    <sheetView workbookViewId="0" topLeftCell="A1">
      <selection activeCell="G39" sqref="G39"/>
    </sheetView>
  </sheetViews>
  <sheetFormatPr defaultColWidth="11.421875" defaultRowHeight="12.75"/>
  <cols>
    <col min="2" max="2" width="15.28125" style="0" bestFit="1" customWidth="1"/>
    <col min="3" max="12" width="11.28125" style="0" bestFit="1" customWidth="1"/>
  </cols>
  <sheetData>
    <row r="3" spans="2:3" ht="12.75">
      <c r="B3" s="236"/>
      <c r="C3" s="236"/>
    </row>
    <row r="4" spans="2:12" ht="15.75">
      <c r="B4" s="243" t="s">
        <v>181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2:12" ht="12.75">
      <c r="B5" s="185"/>
      <c r="C5" s="186" t="s">
        <v>264</v>
      </c>
      <c r="D5" s="186" t="s">
        <v>265</v>
      </c>
      <c r="E5" s="186" t="s">
        <v>266</v>
      </c>
      <c r="F5" s="186" t="s">
        <v>267</v>
      </c>
      <c r="G5" s="186" t="s">
        <v>268</v>
      </c>
      <c r="H5" s="186" t="s">
        <v>269</v>
      </c>
      <c r="I5" s="186" t="s">
        <v>270</v>
      </c>
      <c r="J5" s="186" t="s">
        <v>271</v>
      </c>
      <c r="K5" s="186" t="s">
        <v>272</v>
      </c>
      <c r="L5" s="186" t="s">
        <v>273</v>
      </c>
    </row>
    <row r="6" spans="2:12" ht="12.75">
      <c r="B6" s="185" t="s">
        <v>314</v>
      </c>
      <c r="C6" s="191">
        <f>DEMANDA!C27</f>
        <v>237572.16924672</v>
      </c>
      <c r="D6" s="191">
        <f>(1+DEMANDA!$C$28)*INGRESOS!C6</f>
        <v>244699.33432412162</v>
      </c>
      <c r="E6" s="191">
        <f>(1+DEMANDA!$C$28)*INGRESOS!D6</f>
        <v>252040.3143538453</v>
      </c>
      <c r="F6" s="191">
        <f>(1+DEMANDA!$C$28)*INGRESOS!E6</f>
        <v>259601.52378446065</v>
      </c>
      <c r="G6" s="191">
        <f>(1+DEMANDA!$C$28)*INGRESOS!F6</f>
        <v>267389.5694979945</v>
      </c>
      <c r="H6" s="191">
        <f>(1+DEMANDA!$C$28)*INGRESOS!G6</f>
        <v>275411.25658293435</v>
      </c>
      <c r="I6" s="191">
        <f>(1+DEMANDA!$C$28)*INGRESOS!H6</f>
        <v>283673.5942804224</v>
      </c>
      <c r="J6" s="191">
        <f>(1+DEMANDA!$C$28)*INGRESOS!I6</f>
        <v>292183.8021088351</v>
      </c>
      <c r="K6" s="191">
        <f>(1+DEMANDA!$C$28)*INGRESOS!J6</f>
        <v>300949.31617210014</v>
      </c>
      <c r="L6" s="191">
        <f>(1+DEMANDA!$C$28)*INGRESOS!K6</f>
        <v>309977.79565726314</v>
      </c>
    </row>
    <row r="7" spans="2:12" ht="12.75">
      <c r="B7" s="185" t="s">
        <v>315</v>
      </c>
      <c r="C7" s="191">
        <f>DEMANDA!G24</f>
        <v>36457.78266900001</v>
      </c>
      <c r="D7" s="191">
        <f>(1+DEMANDA!$C$28)*INGRESOS!C7</f>
        <v>37551.51614907001</v>
      </c>
      <c r="E7" s="191">
        <f>(1+DEMANDA!$C$28)*INGRESOS!D7</f>
        <v>38678.061633542115</v>
      </c>
      <c r="F7" s="191">
        <f>(1+DEMANDA!$C$28)*INGRESOS!E7</f>
        <v>39838.403482548376</v>
      </c>
      <c r="G7" s="191">
        <f>(1+DEMANDA!$C$28)*INGRESOS!F7</f>
        <v>41033.55558702483</v>
      </c>
      <c r="H7" s="191">
        <f>(1+DEMANDA!$C$28)*INGRESOS!G7</f>
        <v>42264.56225463557</v>
      </c>
      <c r="I7" s="191">
        <f>(1+DEMANDA!$C$28)*INGRESOS!H7</f>
        <v>43532.49912227464</v>
      </c>
      <c r="J7" s="191">
        <f>(1+DEMANDA!$C$28)*INGRESOS!I7</f>
        <v>44838.47409594288</v>
      </c>
      <c r="K7" s="191">
        <f>(1+DEMANDA!$C$28)*INGRESOS!J7</f>
        <v>46183.62831882117</v>
      </c>
      <c r="L7" s="191">
        <f>(1+DEMANDA!$C$28)*INGRESOS!K7</f>
        <v>47569.1371683858</v>
      </c>
    </row>
    <row r="8" spans="2:12" ht="12.75">
      <c r="B8" s="185" t="s">
        <v>186</v>
      </c>
      <c r="C8" s="191">
        <f>DEMANDA!C64</f>
        <v>221239.08261100797</v>
      </c>
      <c r="D8" s="191">
        <f>(1+DEMANDA!$C$28)*INGRESOS!C8</f>
        <v>227876.2550893382</v>
      </c>
      <c r="E8" s="191">
        <f>(1+DEMANDA!$C$28)*INGRESOS!D8</f>
        <v>234712.54274201836</v>
      </c>
      <c r="F8" s="191">
        <f>(1+DEMANDA!$C$28)*INGRESOS!E8</f>
        <v>241753.9190242789</v>
      </c>
      <c r="G8" s="191">
        <f>(1+DEMANDA!$C$28)*INGRESOS!F8</f>
        <v>249006.5365950073</v>
      </c>
      <c r="H8" s="191">
        <f>(1+DEMANDA!$C$28)*INGRESOS!G8</f>
        <v>256476.7326928575</v>
      </c>
      <c r="I8" s="191">
        <f>(1+DEMANDA!$C$28)*INGRESOS!H8</f>
        <v>264171.03467364324</v>
      </c>
      <c r="J8" s="191">
        <f>(1+DEMANDA!$C$28)*INGRESOS!I8</f>
        <v>272096.16571385256</v>
      </c>
      <c r="K8" s="191">
        <f>(1+DEMANDA!$C$28)*INGRESOS!J8</f>
        <v>280259.0506852681</v>
      </c>
      <c r="L8" s="191">
        <f>(1+DEMANDA!$C$28)*INGRESOS!K8</f>
        <v>288666.8222058262</v>
      </c>
    </row>
    <row r="9" spans="2:12" ht="12.75">
      <c r="B9" s="192" t="s">
        <v>325</v>
      </c>
      <c r="C9" s="193">
        <f>SUM(C6:C8)</f>
        <v>495269.034526728</v>
      </c>
      <c r="D9" s="193">
        <f aca="true" t="shared" si="0" ref="D9:L9">SUM(D6:D8)</f>
        <v>510127.1055625299</v>
      </c>
      <c r="E9" s="193">
        <f t="shared" si="0"/>
        <v>525430.9187294057</v>
      </c>
      <c r="F9" s="193">
        <f t="shared" si="0"/>
        <v>541193.8462912879</v>
      </c>
      <c r="G9" s="193">
        <f t="shared" si="0"/>
        <v>557429.6616800267</v>
      </c>
      <c r="H9" s="193">
        <f t="shared" si="0"/>
        <v>574152.5515304274</v>
      </c>
      <c r="I9" s="193">
        <f t="shared" si="0"/>
        <v>591377.1280763403</v>
      </c>
      <c r="J9" s="193">
        <f t="shared" si="0"/>
        <v>609118.4419186305</v>
      </c>
      <c r="K9" s="193">
        <f t="shared" si="0"/>
        <v>627391.9951761895</v>
      </c>
      <c r="L9" s="193">
        <f t="shared" si="0"/>
        <v>646213.7550314751</v>
      </c>
    </row>
    <row r="10" spans="2:3" ht="12.75">
      <c r="B10" s="236" t="s">
        <v>311</v>
      </c>
      <c r="C10" s="236"/>
    </row>
  </sheetData>
  <mergeCells count="3">
    <mergeCell ref="B4:L4"/>
    <mergeCell ref="B10:C10"/>
    <mergeCell ref="B3:C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4">
      <selection activeCell="D22" sqref="D22"/>
    </sheetView>
  </sheetViews>
  <sheetFormatPr defaultColWidth="11.421875" defaultRowHeight="12.75"/>
  <cols>
    <col min="1" max="1" width="26.421875" style="0" bestFit="1" customWidth="1"/>
    <col min="2" max="5" width="10.28125" style="0" bestFit="1" customWidth="1"/>
    <col min="7" max="9" width="11.28125" style="0" bestFit="1" customWidth="1"/>
    <col min="11" max="14" width="11.28125" style="0" bestFit="1" customWidth="1"/>
  </cols>
  <sheetData>
    <row r="2" spans="1:14" ht="15">
      <c r="A2" s="228" t="s">
        <v>153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.75">
      <c r="A3" s="185"/>
      <c r="B3" s="186" t="s">
        <v>154</v>
      </c>
      <c r="C3" s="186" t="s">
        <v>155</v>
      </c>
      <c r="D3" s="186" t="s">
        <v>156</v>
      </c>
      <c r="E3" s="186" t="s">
        <v>157</v>
      </c>
      <c r="F3" s="186" t="s">
        <v>158</v>
      </c>
      <c r="G3" s="186" t="s">
        <v>159</v>
      </c>
      <c r="H3" s="186" t="s">
        <v>160</v>
      </c>
      <c r="I3" s="186" t="s">
        <v>161</v>
      </c>
      <c r="J3" s="186" t="s">
        <v>162</v>
      </c>
      <c r="K3" s="186" t="s">
        <v>163</v>
      </c>
      <c r="L3" s="186" t="s">
        <v>164</v>
      </c>
      <c r="M3" s="186" t="s">
        <v>165</v>
      </c>
      <c r="N3" s="186" t="s">
        <v>121</v>
      </c>
    </row>
    <row r="4" spans="1:14" ht="12.75">
      <c r="A4" s="185" t="s">
        <v>116</v>
      </c>
      <c r="B4" s="60">
        <f>'COSTOS OPERACIONALES'!E25/12</f>
        <v>14057.058694533334</v>
      </c>
      <c r="C4" s="60">
        <f>B4</f>
        <v>14057.058694533334</v>
      </c>
      <c r="D4" s="60">
        <f>C4</f>
        <v>14057.058694533334</v>
      </c>
      <c r="E4" s="60">
        <f aca="true" t="shared" si="0" ref="E4:M4">D4</f>
        <v>14057.058694533334</v>
      </c>
      <c r="F4" s="60">
        <f t="shared" si="0"/>
        <v>14057.058694533334</v>
      </c>
      <c r="G4" s="60">
        <f t="shared" si="0"/>
        <v>14057.058694533334</v>
      </c>
      <c r="H4" s="60">
        <f t="shared" si="0"/>
        <v>14057.058694533334</v>
      </c>
      <c r="I4" s="60">
        <f t="shared" si="0"/>
        <v>14057.058694533334</v>
      </c>
      <c r="J4" s="60">
        <f t="shared" si="0"/>
        <v>14057.058694533334</v>
      </c>
      <c r="K4" s="60">
        <f t="shared" si="0"/>
        <v>14057.058694533334</v>
      </c>
      <c r="L4" s="60">
        <f t="shared" si="0"/>
        <v>14057.058694533334</v>
      </c>
      <c r="M4" s="60">
        <f t="shared" si="0"/>
        <v>14057.058694533334</v>
      </c>
      <c r="N4" s="185"/>
    </row>
    <row r="5" spans="1:14" ht="12.75">
      <c r="A5" s="185" t="s">
        <v>128</v>
      </c>
      <c r="B5" s="60">
        <f>SUM('COSTOS NO OPERACIONALES'!F6:F38)/12</f>
        <v>7370</v>
      </c>
      <c r="C5" s="60">
        <f>B5</f>
        <v>7370</v>
      </c>
      <c r="D5" s="60">
        <f>C5</f>
        <v>7370</v>
      </c>
      <c r="E5" s="60">
        <f aca="true" t="shared" si="1" ref="E5:M5">D5</f>
        <v>7370</v>
      </c>
      <c r="F5" s="60">
        <f t="shared" si="1"/>
        <v>7370</v>
      </c>
      <c r="G5" s="60">
        <f t="shared" si="1"/>
        <v>7370</v>
      </c>
      <c r="H5" s="60">
        <f t="shared" si="1"/>
        <v>7370</v>
      </c>
      <c r="I5" s="60">
        <f t="shared" si="1"/>
        <v>7370</v>
      </c>
      <c r="J5" s="60">
        <f t="shared" si="1"/>
        <v>7370</v>
      </c>
      <c r="K5" s="60">
        <f t="shared" si="1"/>
        <v>7370</v>
      </c>
      <c r="L5" s="60">
        <f t="shared" si="1"/>
        <v>7370</v>
      </c>
      <c r="M5" s="60">
        <f t="shared" si="1"/>
        <v>7370</v>
      </c>
      <c r="N5" s="185"/>
    </row>
    <row r="6" spans="1:14" ht="12.75">
      <c r="A6" s="185" t="s">
        <v>166</v>
      </c>
      <c r="B6" s="60">
        <f>SUM(B4:B5)</f>
        <v>21427.058694533334</v>
      </c>
      <c r="C6" s="60">
        <f aca="true" t="shared" si="2" ref="C6:M6">SUM(C4:C5)</f>
        <v>21427.058694533334</v>
      </c>
      <c r="D6" s="60">
        <f t="shared" si="2"/>
        <v>21427.058694533334</v>
      </c>
      <c r="E6" s="60">
        <f t="shared" si="2"/>
        <v>21427.058694533334</v>
      </c>
      <c r="F6" s="60">
        <f t="shared" si="2"/>
        <v>21427.058694533334</v>
      </c>
      <c r="G6" s="60">
        <f t="shared" si="2"/>
        <v>21427.058694533334</v>
      </c>
      <c r="H6" s="60">
        <f t="shared" si="2"/>
        <v>21427.058694533334</v>
      </c>
      <c r="I6" s="60">
        <f t="shared" si="2"/>
        <v>21427.058694533334</v>
      </c>
      <c r="J6" s="60">
        <f t="shared" si="2"/>
        <v>21427.058694533334</v>
      </c>
      <c r="K6" s="60">
        <f t="shared" si="2"/>
        <v>21427.058694533334</v>
      </c>
      <c r="L6" s="60">
        <f t="shared" si="2"/>
        <v>21427.058694533334</v>
      </c>
      <c r="M6" s="60">
        <f t="shared" si="2"/>
        <v>21427.058694533334</v>
      </c>
      <c r="N6" s="185"/>
    </row>
    <row r="7" spans="1:14" ht="12.75">
      <c r="A7" s="187" t="s">
        <v>167</v>
      </c>
      <c r="B7" s="188"/>
      <c r="C7" s="188">
        <f>B8-B6</f>
        <v>-6568.987658731496</v>
      </c>
      <c r="D7" s="188">
        <f>C8-C6+C7</f>
        <v>1720.0957183388473</v>
      </c>
      <c r="E7" s="188">
        <f aca="true" t="shared" si="3" ref="E7:M7">D8-D6+D7</f>
        <v>54583.3922028147</v>
      </c>
      <c r="F7" s="188">
        <f t="shared" si="3"/>
        <v>117352.06937782513</v>
      </c>
      <c r="G7" s="188">
        <f t="shared" si="3"/>
        <v>130593.84310016275</v>
      </c>
      <c r="H7" s="188">
        <f t="shared" si="3"/>
        <v>148788.30716776766</v>
      </c>
      <c r="I7" s="188">
        <f t="shared" si="3"/>
        <v>171935.46158063985</v>
      </c>
      <c r="J7" s="188">
        <f t="shared" si="3"/>
        <v>195082.61599351204</v>
      </c>
      <c r="K7" s="188">
        <f t="shared" si="3"/>
        <v>208324.38971584965</v>
      </c>
      <c r="L7" s="188">
        <f t="shared" si="3"/>
        <v>216613.47309292</v>
      </c>
      <c r="M7" s="188">
        <f t="shared" si="3"/>
        <v>224902.55646999035</v>
      </c>
      <c r="N7" s="185"/>
    </row>
    <row r="8" spans="1:14" ht="12.75">
      <c r="A8" s="185" t="s">
        <v>168</v>
      </c>
      <c r="B8" s="60">
        <f>N8*B10</f>
        <v>14858.071035801839</v>
      </c>
      <c r="C8" s="60">
        <f>$N$8*C10</f>
        <v>29716.142071603677</v>
      </c>
      <c r="D8" s="60">
        <f aca="true" t="shared" si="4" ref="D8:M8">$N$8*D10</f>
        <v>74290.35517900919</v>
      </c>
      <c r="E8" s="60">
        <f t="shared" si="4"/>
        <v>84195.73586954376</v>
      </c>
      <c r="F8" s="60">
        <f t="shared" si="4"/>
        <v>34668.83241687096</v>
      </c>
      <c r="G8" s="60">
        <f t="shared" si="4"/>
        <v>39621.52276213824</v>
      </c>
      <c r="H8" s="60">
        <f t="shared" si="4"/>
        <v>44574.213107405514</v>
      </c>
      <c r="I8" s="60">
        <f t="shared" si="4"/>
        <v>44574.213107405514</v>
      </c>
      <c r="J8" s="60">
        <f t="shared" si="4"/>
        <v>34668.83241687096</v>
      </c>
      <c r="K8" s="60">
        <f t="shared" si="4"/>
        <v>29716.142071603677</v>
      </c>
      <c r="L8" s="60">
        <f t="shared" si="4"/>
        <v>29716.142071603677</v>
      </c>
      <c r="M8" s="60">
        <f t="shared" si="4"/>
        <v>34668.83241687096</v>
      </c>
      <c r="N8" s="189">
        <f>DEMANDA!C27+DEMANDA!G24+DEMANDA!C64</f>
        <v>495269.034526728</v>
      </c>
    </row>
    <row r="9" spans="1:14" ht="12.7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ht="12.75">
      <c r="A10" s="185" t="s">
        <v>515</v>
      </c>
      <c r="B10" s="190">
        <v>0.03</v>
      </c>
      <c r="C10" s="190">
        <v>0.06</v>
      </c>
      <c r="D10" s="190">
        <v>0.15</v>
      </c>
      <c r="E10" s="190">
        <v>0.17</v>
      </c>
      <c r="F10" s="190">
        <v>0.07</v>
      </c>
      <c r="G10" s="190">
        <v>0.08</v>
      </c>
      <c r="H10" s="190">
        <v>0.09</v>
      </c>
      <c r="I10" s="190">
        <v>0.09</v>
      </c>
      <c r="J10" s="190">
        <v>0.07</v>
      </c>
      <c r="K10" s="190">
        <v>0.06</v>
      </c>
      <c r="L10" s="190">
        <v>0.06</v>
      </c>
      <c r="M10" s="190">
        <v>0.07</v>
      </c>
      <c r="N10" s="190">
        <f>SUM(B10:M10)</f>
        <v>1.0000000000000002</v>
      </c>
    </row>
    <row r="11" spans="1:2" ht="12.75">
      <c r="A11" s="236" t="s">
        <v>311</v>
      </c>
      <c r="B11" s="236"/>
    </row>
    <row r="13" ht="12.75">
      <c r="N13" s="6"/>
    </row>
  </sheetData>
  <mergeCells count="2">
    <mergeCell ref="A2:N2"/>
    <mergeCell ref="A11:B11"/>
  </mergeCells>
  <printOptions/>
  <pageMargins left="0.75" right="0.75" top="1" bottom="1" header="0" footer="0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3"/>
  <sheetViews>
    <sheetView workbookViewId="0" topLeftCell="A1">
      <selection activeCell="H48" sqref="H48"/>
    </sheetView>
  </sheetViews>
  <sheetFormatPr defaultColWidth="11.421875" defaultRowHeight="12.75"/>
  <cols>
    <col min="2" max="2" width="21.00390625" style="0" customWidth="1"/>
    <col min="3" max="4" width="16.140625" style="0" bestFit="1" customWidth="1"/>
    <col min="5" max="5" width="11.7109375" style="0" bestFit="1" customWidth="1"/>
    <col min="6" max="6" width="30.28125" style="0" bestFit="1" customWidth="1"/>
    <col min="7" max="7" width="12.57421875" style="0" customWidth="1"/>
    <col min="8" max="8" width="30.28125" style="0" bestFit="1" customWidth="1"/>
    <col min="9" max="9" width="11.7109375" style="0" bestFit="1" customWidth="1"/>
  </cols>
  <sheetData>
    <row r="2" spans="2:5" ht="15">
      <c r="B2" s="228" t="s">
        <v>116</v>
      </c>
      <c r="C2" s="228"/>
      <c r="D2" s="228"/>
      <c r="E2" s="228"/>
    </row>
    <row r="3" spans="2:5" ht="12.75">
      <c r="B3" s="36"/>
      <c r="C3" s="36"/>
      <c r="D3" s="36"/>
      <c r="E3" s="36"/>
    </row>
    <row r="4" spans="2:5" ht="12.75">
      <c r="B4" s="185"/>
      <c r="C4" s="185"/>
      <c r="D4" s="186" t="s">
        <v>120</v>
      </c>
      <c r="E4" s="186" t="s">
        <v>121</v>
      </c>
    </row>
    <row r="5" spans="2:5" ht="12.75">
      <c r="B5" s="185" t="s">
        <v>117</v>
      </c>
      <c r="C5" s="185"/>
      <c r="D5" s="191">
        <v>2000</v>
      </c>
      <c r="E5" s="191">
        <f>D5*C7</f>
        <v>20000</v>
      </c>
    </row>
    <row r="6" spans="2:5" ht="12.75">
      <c r="B6" s="185" t="s">
        <v>118</v>
      </c>
      <c r="C6" s="201">
        <v>5000</v>
      </c>
      <c r="D6" s="185"/>
      <c r="E6" s="185"/>
    </row>
    <row r="7" spans="2:5" ht="12.75">
      <c r="B7" s="185" t="s">
        <v>122</v>
      </c>
      <c r="C7" s="185">
        <v>10</v>
      </c>
      <c r="D7" s="185"/>
      <c r="E7" s="185"/>
    </row>
    <row r="8" spans="2:5" ht="12.75">
      <c r="B8" s="185" t="s">
        <v>119</v>
      </c>
      <c r="C8" s="185"/>
      <c r="D8" s="191">
        <v>800</v>
      </c>
      <c r="E8" s="191">
        <f>D8*12</f>
        <v>9600</v>
      </c>
    </row>
    <row r="9" spans="2:5" ht="14.25" customHeight="1">
      <c r="B9" s="202" t="s">
        <v>123</v>
      </c>
      <c r="C9" s="185"/>
      <c r="D9" s="185"/>
      <c r="E9" s="185"/>
    </row>
    <row r="10" spans="2:5" ht="13.5" customHeight="1">
      <c r="B10" s="185" t="s">
        <v>124</v>
      </c>
      <c r="C10" s="185"/>
      <c r="D10" s="185"/>
      <c r="E10" s="191">
        <f>C11*C12</f>
        <v>13000</v>
      </c>
    </row>
    <row r="11" spans="2:5" ht="12.75">
      <c r="B11" s="185" t="s">
        <v>85</v>
      </c>
      <c r="C11" s="191">
        <v>1300</v>
      </c>
      <c r="D11" s="185"/>
      <c r="E11" s="185"/>
    </row>
    <row r="12" spans="2:5" ht="12.75">
      <c r="B12" s="185" t="s">
        <v>125</v>
      </c>
      <c r="C12" s="185">
        <v>10</v>
      </c>
      <c r="D12" s="185"/>
      <c r="E12" s="185"/>
    </row>
    <row r="13" spans="2:5" ht="12.75">
      <c r="B13" s="185" t="s">
        <v>105</v>
      </c>
      <c r="C13" s="185"/>
      <c r="D13" s="185"/>
      <c r="E13" s="191">
        <f>C14</f>
        <v>9472.75</v>
      </c>
    </row>
    <row r="14" spans="2:6" ht="12.75">
      <c r="B14" s="185" t="s">
        <v>201</v>
      </c>
      <c r="C14" s="191">
        <f>(DEPRECIACIONES!C6+DEPRECIACIONES!C7)*0.035</f>
        <v>9472.75</v>
      </c>
      <c r="D14" s="185"/>
      <c r="E14" s="185"/>
      <c r="F14" s="6"/>
    </row>
    <row r="15" spans="2:5" ht="12.75">
      <c r="B15" s="185" t="s">
        <v>126</v>
      </c>
      <c r="C15" s="185"/>
      <c r="D15" s="191">
        <v>400</v>
      </c>
      <c r="E15" s="191">
        <f>D15*12</f>
        <v>4800</v>
      </c>
    </row>
    <row r="16" spans="2:5" ht="12.75">
      <c r="B16" s="185" t="s">
        <v>127</v>
      </c>
      <c r="C16" s="185"/>
      <c r="D16" s="185"/>
      <c r="E16" s="191">
        <f>C17*C18</f>
        <v>450</v>
      </c>
    </row>
    <row r="17" spans="2:5" ht="12.75">
      <c r="B17" s="185" t="s">
        <v>85</v>
      </c>
      <c r="C17" s="191">
        <v>150</v>
      </c>
      <c r="D17" s="185"/>
      <c r="E17" s="191"/>
    </row>
    <row r="18" spans="2:5" ht="12.75">
      <c r="B18" s="185" t="s">
        <v>125</v>
      </c>
      <c r="C18" s="185">
        <v>3</v>
      </c>
      <c r="D18" s="185"/>
      <c r="E18" s="191"/>
    </row>
    <row r="19" spans="2:5" ht="12.75">
      <c r="B19" s="202" t="s">
        <v>186</v>
      </c>
      <c r="C19" s="185"/>
      <c r="D19" s="191">
        <f>(C21*C20)+(C23*C22)</f>
        <v>9280.1628612</v>
      </c>
      <c r="E19" s="191">
        <f>D19*12</f>
        <v>111361.95433440001</v>
      </c>
    </row>
    <row r="20" spans="2:5" ht="18" customHeight="1">
      <c r="B20" s="185" t="s">
        <v>250</v>
      </c>
      <c r="C20" s="191">
        <f>DEMANDA!C48</f>
        <v>2.5</v>
      </c>
      <c r="D20" s="185"/>
      <c r="E20" s="191"/>
    </row>
    <row r="21" spans="2:5" ht="12.75">
      <c r="B21" s="185" t="s">
        <v>251</v>
      </c>
      <c r="C21" s="203">
        <f>DEMANDA!C61</f>
        <v>3093.3876204</v>
      </c>
      <c r="D21" s="185"/>
      <c r="E21" s="191"/>
    </row>
    <row r="22" spans="2:5" ht="12.75">
      <c r="B22" s="185" t="s">
        <v>252</v>
      </c>
      <c r="C22" s="191">
        <f>DEMANDA!C58</f>
        <v>0.25</v>
      </c>
      <c r="D22" s="185"/>
      <c r="E22" s="191"/>
    </row>
    <row r="23" spans="2:5" ht="12.75">
      <c r="B23" s="185" t="s">
        <v>253</v>
      </c>
      <c r="C23" s="203">
        <f>C21*2</f>
        <v>6186.7752408</v>
      </c>
      <c r="D23" s="185"/>
      <c r="E23" s="191"/>
    </row>
    <row r="24" spans="2:5" ht="12.75">
      <c r="B24" s="185"/>
      <c r="C24" s="185"/>
      <c r="D24" s="185"/>
      <c r="E24" s="191"/>
    </row>
    <row r="25" spans="2:5" ht="12.75">
      <c r="B25" s="202" t="s">
        <v>91</v>
      </c>
      <c r="C25" s="202"/>
      <c r="D25" s="202"/>
      <c r="E25" s="204">
        <f>SUM(E5:E19)</f>
        <v>168684.7043344</v>
      </c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spans="2:7" ht="15">
      <c r="B32" s="228" t="s">
        <v>499</v>
      </c>
      <c r="C32" s="228"/>
      <c r="D32" s="228"/>
      <c r="E32" s="6"/>
      <c r="F32" s="238" t="s">
        <v>504</v>
      </c>
      <c r="G32" s="238"/>
    </row>
    <row r="33" spans="2:7" ht="24">
      <c r="B33" s="115" t="s">
        <v>495</v>
      </c>
      <c r="C33" s="205" t="s">
        <v>500</v>
      </c>
      <c r="D33" s="205" t="s">
        <v>501</v>
      </c>
      <c r="E33" s="6"/>
      <c r="F33" s="120" t="s">
        <v>116</v>
      </c>
      <c r="G33" s="118" t="s">
        <v>328</v>
      </c>
    </row>
    <row r="34" spans="2:7" ht="12.75">
      <c r="B34" s="53">
        <v>1</v>
      </c>
      <c r="C34" s="37">
        <f>SUM(E5:E16)</f>
        <v>57322.75</v>
      </c>
      <c r="D34" s="37">
        <f>C34+((DEMANDA!D84*DEMANDA!$D$51)+(DEMANDA!E84*DEMANDA!$C$58))</f>
        <v>168684.70433439998</v>
      </c>
      <c r="F34" s="36" t="s">
        <v>327</v>
      </c>
      <c r="G34" s="52">
        <f>E5</f>
        <v>20000</v>
      </c>
    </row>
    <row r="35" spans="2:7" ht="12.75">
      <c r="B35" s="53">
        <v>2</v>
      </c>
      <c r="C35" s="37">
        <f>(1+DEMANDA!$C$28)*'COSTOS OPERACIONALES'!C34</f>
        <v>59042.4325</v>
      </c>
      <c r="D35" s="37">
        <f>C35+((DEMANDA!D85*DEMANDA!$D$51)+(DEMANDA!E85*DEMANDA!$C$58))</f>
        <v>201585.73404803197</v>
      </c>
      <c r="F35" s="36" t="s">
        <v>119</v>
      </c>
      <c r="G35" s="52">
        <f>E8</f>
        <v>9600</v>
      </c>
    </row>
    <row r="36" spans="2:7" ht="12.75">
      <c r="B36" s="53">
        <v>3</v>
      </c>
      <c r="C36" s="37">
        <f>(1+DEMANDA!$C$28)*'COSTOS OPERACIONALES'!C35</f>
        <v>60813.705475</v>
      </c>
      <c r="D36" s="37">
        <f>C36+((DEMANDA!D86*DEMANDA!$D$51)+(DEMANDA!E86*DEMANDA!$C$58))</f>
        <v>218212.69173124095</v>
      </c>
      <c r="F36" s="36" t="s">
        <v>329</v>
      </c>
      <c r="G36" s="52">
        <f>E10</f>
        <v>13000</v>
      </c>
    </row>
    <row r="37" spans="2:7" ht="12.75">
      <c r="B37" s="53">
        <v>4</v>
      </c>
      <c r="C37" s="37">
        <f>(1+DEMANDA!$C$28)*'COSTOS OPERACIONALES'!C36</f>
        <v>62638.11663925</v>
      </c>
      <c r="D37" s="37">
        <f>C37+((DEMANDA!D87*DEMANDA!$D$51)+(DEMANDA!E87*DEMANDA!$C$58))</f>
        <v>234403.0177285372</v>
      </c>
      <c r="F37" s="36" t="s">
        <v>330</v>
      </c>
      <c r="G37" s="52">
        <f>E13</f>
        <v>9472.75</v>
      </c>
    </row>
    <row r="38" spans="2:7" ht="12.75">
      <c r="B38" s="53">
        <v>5</v>
      </c>
      <c r="C38" s="37">
        <f>(1+DEMANDA!$C$28)*'COSTOS OPERACIONALES'!C37</f>
        <v>64517.260138427504</v>
      </c>
      <c r="D38" s="37">
        <f>C38+((DEMANDA!D88*DEMANDA!$D$51)+(DEMANDA!E88*DEMANDA!$C$58))</f>
        <v>250633.3829645061</v>
      </c>
      <c r="F38" s="36" t="s">
        <v>331</v>
      </c>
      <c r="G38" s="52">
        <f>E15</f>
        <v>4800</v>
      </c>
    </row>
    <row r="39" spans="2:7" ht="12.75">
      <c r="B39" s="53">
        <v>6</v>
      </c>
      <c r="C39" s="37">
        <f>(1+DEMANDA!$C$28)*'COSTOS OPERACIONALES'!C38</f>
        <v>66452.77794258033</v>
      </c>
      <c r="D39" s="37">
        <f>C39+((DEMANDA!D89*DEMANDA!$D$51)+(DEMANDA!E89*DEMANDA!$C$58))</f>
        <v>266919.6817125627</v>
      </c>
      <c r="F39" s="36" t="s">
        <v>332</v>
      </c>
      <c r="G39" s="52">
        <f>E16</f>
        <v>450</v>
      </c>
    </row>
    <row r="40" spans="2:7" ht="12.75">
      <c r="B40" s="53">
        <v>7</v>
      </c>
      <c r="C40" s="37">
        <f>(1+DEMANDA!$C$28)*'COSTOS OPERACIONALES'!C39</f>
        <v>68446.36128085775</v>
      </c>
      <c r="D40" s="37">
        <f>C40+((DEMANDA!D90*DEMANDA!$D$51)+(DEMANDA!E90*DEMANDA!$C$58))</f>
        <v>283264.0327709572</v>
      </c>
      <c r="F40" s="36" t="s">
        <v>333</v>
      </c>
      <c r="G40" s="52">
        <f>E19</f>
        <v>111361.95433440001</v>
      </c>
    </row>
    <row r="41" spans="2:7" ht="12.75">
      <c r="B41" s="53">
        <v>8</v>
      </c>
      <c r="C41" s="37">
        <f>(1+DEMANDA!$C$28)*'COSTOS OPERACIONALES'!C40</f>
        <v>70499.75211928348</v>
      </c>
      <c r="D41" s="37">
        <f>C41+((DEMANDA!D91*DEMANDA!$D$51)+(DEMANDA!E91*DEMANDA!$C$58))</f>
        <v>299668.19093278644</v>
      </c>
      <c r="F41" s="116" t="s">
        <v>334</v>
      </c>
      <c r="G41" s="117">
        <f>SUM(G34:G40)</f>
        <v>168684.7043344</v>
      </c>
    </row>
    <row r="42" spans="2:7" ht="12.75">
      <c r="B42" s="53">
        <v>9</v>
      </c>
      <c r="C42" s="37">
        <f>(1+DEMANDA!$C$28)*'COSTOS OPERACIONALES'!C41</f>
        <v>72614.74468286199</v>
      </c>
      <c r="D42" s="37">
        <f>C42+((DEMANDA!D92*DEMANDA!$D$51)+(DEMANDA!E92*DEMANDA!$C$58))</f>
        <v>316133.9508078671</v>
      </c>
      <c r="F42" s="236" t="s">
        <v>311</v>
      </c>
      <c r="G42" s="236"/>
    </row>
    <row r="43" spans="2:4" ht="12.75">
      <c r="B43" s="53">
        <v>10</v>
      </c>
      <c r="C43" s="37">
        <f>(1+DEMANDA!$C$28)*'COSTOS OPERACIONALES'!C42</f>
        <v>74793.18702334785</v>
      </c>
      <c r="D43" s="37">
        <f>C43+((DEMANDA!D93*DEMANDA!$D$51)+(DEMANDA!E93*DEMANDA!$C$58))</f>
        <v>332663.16045949794</v>
      </c>
    </row>
  </sheetData>
  <mergeCells count="4">
    <mergeCell ref="B2:E2"/>
    <mergeCell ref="F42:G42"/>
    <mergeCell ref="F32:G32"/>
    <mergeCell ref="B32:D32"/>
  </mergeCells>
  <printOptions/>
  <pageMargins left="0.75" right="0.75" top="1" bottom="1" header="0" footer="0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62"/>
  <sheetViews>
    <sheetView workbookViewId="0" topLeftCell="A16">
      <selection activeCell="G22" sqref="G22"/>
    </sheetView>
  </sheetViews>
  <sheetFormatPr defaultColWidth="11.421875" defaultRowHeight="12.75"/>
  <cols>
    <col min="2" max="2" width="27.00390625" style="0" bestFit="1" customWidth="1"/>
    <col min="3" max="3" width="11.140625" style="11" customWidth="1"/>
    <col min="5" max="5" width="11.421875" style="2" customWidth="1"/>
    <col min="6" max="6" width="13.00390625" style="2" bestFit="1" customWidth="1"/>
    <col min="9" max="9" width="28.8515625" style="0" bestFit="1" customWidth="1"/>
    <col min="10" max="10" width="12.7109375" style="0" customWidth="1"/>
  </cols>
  <sheetData>
    <row r="2" spans="2:6" ht="15.75">
      <c r="B2" s="263" t="s">
        <v>128</v>
      </c>
      <c r="C2" s="264"/>
      <c r="D2" s="264"/>
      <c r="E2" s="264"/>
      <c r="F2" s="265"/>
    </row>
    <row r="5" spans="5:6" ht="12.75">
      <c r="E5" s="5" t="s">
        <v>120</v>
      </c>
      <c r="F5" s="5" t="s">
        <v>121</v>
      </c>
    </row>
    <row r="6" spans="2:6" ht="15">
      <c r="B6" s="12" t="s">
        <v>131</v>
      </c>
      <c r="E6" s="5"/>
      <c r="F6" s="9">
        <f>SUM(E7:E33)*12</f>
        <v>84000</v>
      </c>
    </row>
    <row r="7" spans="2:6" ht="12.75">
      <c r="B7" t="s">
        <v>132</v>
      </c>
      <c r="E7" s="9">
        <v>700</v>
      </c>
      <c r="F7" s="9"/>
    </row>
    <row r="8" spans="2:6" ht="12.75">
      <c r="B8" t="s">
        <v>134</v>
      </c>
      <c r="E8" s="9">
        <v>450</v>
      </c>
      <c r="F8" s="9"/>
    </row>
    <row r="9" spans="2:6" ht="12.75">
      <c r="B9" t="s">
        <v>135</v>
      </c>
      <c r="E9" s="9">
        <v>500</v>
      </c>
      <c r="F9" s="9"/>
    </row>
    <row r="10" spans="2:6" ht="12.75">
      <c r="B10" t="s">
        <v>136</v>
      </c>
      <c r="E10" s="9">
        <v>450</v>
      </c>
      <c r="F10" s="9"/>
    </row>
    <row r="11" spans="2:6" ht="12.75">
      <c r="B11" t="s">
        <v>137</v>
      </c>
      <c r="E11" s="9">
        <v>350</v>
      </c>
      <c r="F11" s="9"/>
    </row>
    <row r="12" spans="2:6" ht="12.75">
      <c r="B12" t="s">
        <v>138</v>
      </c>
      <c r="E12" s="9">
        <f>C13*C14</f>
        <v>500</v>
      </c>
      <c r="F12" s="9"/>
    </row>
    <row r="13" spans="2:6" ht="12.75">
      <c r="B13" t="s">
        <v>139</v>
      </c>
      <c r="C13" s="10">
        <v>250</v>
      </c>
      <c r="E13" s="9"/>
      <c r="F13" s="9"/>
    </row>
    <row r="14" spans="2:6" ht="12.75">
      <c r="B14" t="s">
        <v>140</v>
      </c>
      <c r="C14" s="11">
        <v>2</v>
      </c>
      <c r="E14" s="9"/>
      <c r="F14" s="9"/>
    </row>
    <row r="15" spans="2:6" ht="12.75">
      <c r="B15" t="s">
        <v>141</v>
      </c>
      <c r="E15" s="9">
        <v>250</v>
      </c>
      <c r="F15" s="9"/>
    </row>
    <row r="16" spans="2:10" ht="14.25" customHeight="1">
      <c r="B16" t="s">
        <v>142</v>
      </c>
      <c r="E16" s="9">
        <f>C17*C18</f>
        <v>600</v>
      </c>
      <c r="F16" s="9"/>
      <c r="I16" s="238" t="s">
        <v>506</v>
      </c>
      <c r="J16" s="238"/>
    </row>
    <row r="17" spans="2:10" ht="12.75">
      <c r="B17" t="s">
        <v>139</v>
      </c>
      <c r="C17" s="10">
        <v>200</v>
      </c>
      <c r="E17" s="9"/>
      <c r="F17" s="9"/>
      <c r="I17" s="120" t="s">
        <v>188</v>
      </c>
      <c r="J17" s="118" t="s">
        <v>328</v>
      </c>
    </row>
    <row r="18" spans="2:10" ht="12.75">
      <c r="B18" t="s">
        <v>143</v>
      </c>
      <c r="C18" s="11">
        <v>3</v>
      </c>
      <c r="E18" s="9"/>
      <c r="F18" s="9"/>
      <c r="I18" s="36" t="s">
        <v>131</v>
      </c>
      <c r="J18" s="52">
        <f>F6</f>
        <v>84000</v>
      </c>
    </row>
    <row r="19" spans="2:10" ht="12.75">
      <c r="B19" t="s">
        <v>144</v>
      </c>
      <c r="C19" s="10"/>
      <c r="E19" s="9">
        <f>C20*C21</f>
        <v>750</v>
      </c>
      <c r="F19" s="9"/>
      <c r="I19" s="36" t="s">
        <v>283</v>
      </c>
      <c r="J19" s="52">
        <f>F34</f>
        <v>2640</v>
      </c>
    </row>
    <row r="20" spans="2:10" ht="12.75">
      <c r="B20" t="s">
        <v>139</v>
      </c>
      <c r="C20" s="10">
        <v>250</v>
      </c>
      <c r="E20" s="9"/>
      <c r="F20" s="9"/>
      <c r="I20" s="36" t="s">
        <v>335</v>
      </c>
      <c r="J20" s="52">
        <f>F38</f>
        <v>1800</v>
      </c>
    </row>
    <row r="21" spans="2:10" ht="12.75">
      <c r="B21" t="s">
        <v>143</v>
      </c>
      <c r="C21" s="11">
        <v>3</v>
      </c>
      <c r="E21" s="9"/>
      <c r="F21" s="9"/>
      <c r="I21" s="36" t="s">
        <v>285</v>
      </c>
      <c r="J21" s="52">
        <f>F39</f>
        <v>9600</v>
      </c>
    </row>
    <row r="22" spans="2:10" ht="12.75">
      <c r="B22" t="s">
        <v>145</v>
      </c>
      <c r="E22" s="9">
        <f>C23*C24</f>
        <v>750</v>
      </c>
      <c r="F22" s="9"/>
      <c r="I22" s="116" t="s">
        <v>336</v>
      </c>
      <c r="J22" s="117">
        <f>SUM(J18:J21)</f>
        <v>98040</v>
      </c>
    </row>
    <row r="23" spans="2:10" ht="18" customHeight="1">
      <c r="B23" t="s">
        <v>139</v>
      </c>
      <c r="C23" s="10">
        <v>250</v>
      </c>
      <c r="E23" s="9"/>
      <c r="F23" s="9"/>
      <c r="I23" s="236" t="s">
        <v>311</v>
      </c>
      <c r="J23" s="236"/>
    </row>
    <row r="24" spans="2:6" ht="12.75">
      <c r="B24" t="s">
        <v>143</v>
      </c>
      <c r="C24" s="11">
        <v>3</v>
      </c>
      <c r="E24" s="9"/>
      <c r="F24" s="9"/>
    </row>
    <row r="25" spans="2:6" ht="12.75">
      <c r="B25" t="s">
        <v>146</v>
      </c>
      <c r="E25" s="9">
        <f>C26*C27</f>
        <v>660</v>
      </c>
      <c r="F25" s="9"/>
    </row>
    <row r="26" spans="2:6" ht="12.75">
      <c r="B26" t="s">
        <v>139</v>
      </c>
      <c r="C26" s="10">
        <v>220</v>
      </c>
      <c r="E26" s="9"/>
      <c r="F26" s="9"/>
    </row>
    <row r="27" spans="2:6" ht="10.5" customHeight="1">
      <c r="B27" t="s">
        <v>143</v>
      </c>
      <c r="C27" s="11">
        <v>3</v>
      </c>
      <c r="E27" s="9"/>
      <c r="F27" s="9"/>
    </row>
    <row r="28" spans="2:10" ht="12.75" customHeight="1">
      <c r="B28" t="s">
        <v>147</v>
      </c>
      <c r="E28" s="9">
        <v>350</v>
      </c>
      <c r="F28" s="9"/>
      <c r="I28" s="238" t="s">
        <v>505</v>
      </c>
      <c r="J28" s="238"/>
    </row>
    <row r="29" spans="2:10" ht="12.75">
      <c r="B29" t="s">
        <v>148</v>
      </c>
      <c r="E29" s="9">
        <f>C30*C31</f>
        <v>600</v>
      </c>
      <c r="F29" s="9"/>
      <c r="I29" s="121" t="s">
        <v>346</v>
      </c>
      <c r="J29" s="118" t="s">
        <v>328</v>
      </c>
    </row>
    <row r="30" spans="2:10" ht="12.75">
      <c r="B30" t="s">
        <v>139</v>
      </c>
      <c r="C30" s="10">
        <v>300</v>
      </c>
      <c r="E30" s="9"/>
      <c r="F30" s="9"/>
      <c r="I30" s="36" t="s">
        <v>132</v>
      </c>
      <c r="J30" s="52">
        <f>E7*12</f>
        <v>8400</v>
      </c>
    </row>
    <row r="31" spans="2:10" ht="12.75">
      <c r="B31" t="s">
        <v>140</v>
      </c>
      <c r="C31" s="11">
        <v>2</v>
      </c>
      <c r="E31" s="9"/>
      <c r="F31" s="9"/>
      <c r="I31" s="36" t="s">
        <v>134</v>
      </c>
      <c r="J31" s="52">
        <f>E8*12</f>
        <v>5400</v>
      </c>
    </row>
    <row r="32" spans="2:10" ht="12.75">
      <c r="B32" t="s">
        <v>149</v>
      </c>
      <c r="E32" s="9">
        <v>50</v>
      </c>
      <c r="F32" s="9"/>
      <c r="I32" s="36" t="s">
        <v>136</v>
      </c>
      <c r="J32" s="52">
        <f>E10*12</f>
        <v>5400</v>
      </c>
    </row>
    <row r="33" spans="2:10" ht="12.75">
      <c r="B33" t="s">
        <v>150</v>
      </c>
      <c r="E33" s="9">
        <v>40</v>
      </c>
      <c r="F33" s="9"/>
      <c r="I33" s="36" t="s">
        <v>135</v>
      </c>
      <c r="J33" s="52">
        <f>E9*12</f>
        <v>6000</v>
      </c>
    </row>
    <row r="34" spans="2:10" ht="12.75">
      <c r="B34" s="3" t="s">
        <v>133</v>
      </c>
      <c r="C34" s="13"/>
      <c r="D34" s="3"/>
      <c r="E34" s="14"/>
      <c r="F34" s="9">
        <f>SUM(E35:E37)*12</f>
        <v>2640</v>
      </c>
      <c r="I34" s="36" t="s">
        <v>137</v>
      </c>
      <c r="J34" s="52">
        <f>E11*12</f>
        <v>4200</v>
      </c>
    </row>
    <row r="35" spans="2:10" ht="12.75">
      <c r="B35" t="s">
        <v>151</v>
      </c>
      <c r="E35" s="9">
        <v>80</v>
      </c>
      <c r="F35" s="9"/>
      <c r="I35" s="36" t="s">
        <v>337</v>
      </c>
      <c r="J35" s="52">
        <f>E12*12</f>
        <v>6000</v>
      </c>
    </row>
    <row r="36" spans="2:10" ht="12.75">
      <c r="B36" t="s">
        <v>119</v>
      </c>
      <c r="E36" s="9">
        <v>80</v>
      </c>
      <c r="F36" s="9"/>
      <c r="I36" s="36" t="s">
        <v>338</v>
      </c>
      <c r="J36" s="52">
        <f>E15*12</f>
        <v>3000</v>
      </c>
    </row>
    <row r="37" spans="2:10" ht="12.75">
      <c r="B37" t="s">
        <v>129</v>
      </c>
      <c r="E37" s="9">
        <v>60</v>
      </c>
      <c r="F37" s="9"/>
      <c r="I37" s="36" t="s">
        <v>339</v>
      </c>
      <c r="J37" s="52">
        <f>E22*12</f>
        <v>9000</v>
      </c>
    </row>
    <row r="38" spans="2:10" ht="12.75">
      <c r="B38" s="3" t="s">
        <v>152</v>
      </c>
      <c r="E38" s="9">
        <v>150</v>
      </c>
      <c r="F38" s="9">
        <f>E38*12</f>
        <v>1800</v>
      </c>
      <c r="I38" s="36" t="s">
        <v>340</v>
      </c>
      <c r="J38" s="52">
        <f>E16*12</f>
        <v>7200</v>
      </c>
    </row>
    <row r="39" spans="2:10" ht="12.75">
      <c r="B39" s="3" t="s">
        <v>130</v>
      </c>
      <c r="E39" s="9">
        <v>800</v>
      </c>
      <c r="F39" s="9">
        <f>E39*12</f>
        <v>9600</v>
      </c>
      <c r="I39" s="36" t="s">
        <v>341</v>
      </c>
      <c r="J39" s="52">
        <f>E19*12</f>
        <v>9000</v>
      </c>
    </row>
    <row r="40" spans="5:10" ht="12.75">
      <c r="E40" s="9"/>
      <c r="F40" s="9"/>
      <c r="I40" s="36" t="s">
        <v>342</v>
      </c>
      <c r="J40" s="52">
        <f>E25*12</f>
        <v>7920</v>
      </c>
    </row>
    <row r="41" spans="2:10" ht="15">
      <c r="B41" s="12" t="s">
        <v>91</v>
      </c>
      <c r="C41" s="22"/>
      <c r="D41" s="12"/>
      <c r="E41" s="23"/>
      <c r="F41" s="23">
        <f>SUM(F6:F39)</f>
        <v>98040</v>
      </c>
      <c r="I41" s="36" t="s">
        <v>343</v>
      </c>
      <c r="J41" s="52">
        <f>E28*12</f>
        <v>4200</v>
      </c>
    </row>
    <row r="42" spans="5:10" ht="12.75">
      <c r="E42" s="9"/>
      <c r="F42" s="9"/>
      <c r="I42" s="36" t="s">
        <v>344</v>
      </c>
      <c r="J42" s="52">
        <f>E29*12</f>
        <v>7200</v>
      </c>
    </row>
    <row r="43" spans="5:10" ht="12.75">
      <c r="E43" s="9"/>
      <c r="F43" s="9"/>
      <c r="I43" s="36" t="s">
        <v>149</v>
      </c>
      <c r="J43" s="52">
        <f>E32*12</f>
        <v>600</v>
      </c>
    </row>
    <row r="44" spans="5:10" ht="12.75">
      <c r="E44" s="9"/>
      <c r="F44" s="9"/>
      <c r="I44" s="36" t="s">
        <v>150</v>
      </c>
      <c r="J44" s="52">
        <f>E33*12</f>
        <v>480</v>
      </c>
    </row>
    <row r="45" spans="5:10" ht="12.75">
      <c r="E45" s="9"/>
      <c r="F45" s="9"/>
      <c r="I45" s="116" t="s">
        <v>345</v>
      </c>
      <c r="J45" s="117">
        <f>SUM(J30:J44)</f>
        <v>84000</v>
      </c>
    </row>
    <row r="46" spans="5:10" ht="12.75">
      <c r="E46" s="9"/>
      <c r="F46" s="9"/>
      <c r="I46" s="236" t="s">
        <v>311</v>
      </c>
      <c r="J46" s="236"/>
    </row>
    <row r="47" spans="2:6" ht="12.75">
      <c r="B47" s="17"/>
      <c r="C47" s="18"/>
      <c r="D47" s="19"/>
      <c r="E47" s="9"/>
      <c r="F47" s="9"/>
    </row>
    <row r="48" spans="2:6" ht="12.75">
      <c r="B48" s="20"/>
      <c r="C48" s="21"/>
      <c r="D48" s="21"/>
      <c r="E48" s="9"/>
      <c r="F48" s="9"/>
    </row>
    <row r="49" spans="2:6" ht="12.75">
      <c r="B49" s="20"/>
      <c r="C49" s="21"/>
      <c r="D49" s="21"/>
      <c r="E49" s="9"/>
      <c r="F49" s="9"/>
    </row>
    <row r="50" spans="2:6" ht="12.75">
      <c r="B50" s="20"/>
      <c r="C50" s="21"/>
      <c r="D50" s="21"/>
      <c r="E50" s="9"/>
      <c r="F50" s="9"/>
    </row>
    <row r="51" spans="2:6" ht="12.75">
      <c r="B51" s="20"/>
      <c r="C51" s="21"/>
      <c r="D51" s="21"/>
      <c r="E51" s="9"/>
      <c r="F51" s="9"/>
    </row>
    <row r="52" spans="2:6" ht="12.75">
      <c r="B52" s="20"/>
      <c r="C52" s="21"/>
      <c r="D52" s="21"/>
      <c r="E52" s="9"/>
      <c r="F52" s="9"/>
    </row>
    <row r="53" spans="2:6" ht="12.75">
      <c r="B53" s="20"/>
      <c r="C53" s="21"/>
      <c r="D53" s="21"/>
      <c r="E53" s="9"/>
      <c r="F53" s="9"/>
    </row>
    <row r="54" spans="2:6" ht="12.75">
      <c r="B54" s="17"/>
      <c r="C54" s="18"/>
      <c r="D54" s="18"/>
      <c r="E54" s="9"/>
      <c r="F54" s="9"/>
    </row>
    <row r="55" spans="2:6" ht="12.75">
      <c r="B55" s="17"/>
      <c r="C55" s="18"/>
      <c r="D55" s="18"/>
      <c r="E55" s="9"/>
      <c r="F55" s="9"/>
    </row>
    <row r="56" spans="2:6" ht="12.75">
      <c r="B56" s="17"/>
      <c r="C56" s="18"/>
      <c r="D56" s="18"/>
      <c r="E56" s="9"/>
      <c r="F56" s="9"/>
    </row>
    <row r="57" spans="2:6" ht="12.75">
      <c r="B57" s="17"/>
      <c r="C57" s="18"/>
      <c r="D57" s="18"/>
      <c r="E57" s="9"/>
      <c r="F57" s="9"/>
    </row>
    <row r="58" spans="2:6" ht="12.75">
      <c r="B58" s="17"/>
      <c r="C58" s="18"/>
      <c r="D58" s="19"/>
      <c r="E58" s="9"/>
      <c r="F58" s="9"/>
    </row>
    <row r="59" spans="2:6" ht="12.75">
      <c r="B59" s="20"/>
      <c r="C59" s="21"/>
      <c r="D59" s="21"/>
      <c r="E59" s="9"/>
      <c r="F59" s="9"/>
    </row>
    <row r="60" spans="2:6" ht="12.75">
      <c r="B60" s="15"/>
      <c r="C60" s="16"/>
      <c r="D60" s="16"/>
      <c r="E60" s="9"/>
      <c r="F60" s="9"/>
    </row>
    <row r="61" spans="2:6" ht="12.75">
      <c r="B61" s="15"/>
      <c r="C61" s="16"/>
      <c r="D61" s="16"/>
      <c r="E61" s="9"/>
      <c r="F61" s="9"/>
    </row>
    <row r="62" spans="5:6" ht="12.75">
      <c r="E62" s="9"/>
      <c r="F62" s="9"/>
    </row>
  </sheetData>
  <mergeCells count="5">
    <mergeCell ref="I46:J46"/>
    <mergeCell ref="I28:J28"/>
    <mergeCell ref="B2:F2"/>
    <mergeCell ref="I23:J23"/>
    <mergeCell ref="I16:J16"/>
  </mergeCells>
  <printOptions/>
  <pageMargins left="0.75" right="0.75" top="1" bottom="1" header="0" footer="0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0"/>
  <sheetViews>
    <sheetView workbookViewId="0" topLeftCell="A1">
      <selection activeCell="G31" sqref="G31"/>
    </sheetView>
  </sheetViews>
  <sheetFormatPr defaultColWidth="11.421875" defaultRowHeight="12.75"/>
  <cols>
    <col min="1" max="1" width="7.8515625" style="0" customWidth="1"/>
    <col min="2" max="2" width="22.140625" style="0" customWidth="1"/>
    <col min="3" max="3" width="13.7109375" style="0" customWidth="1"/>
    <col min="4" max="4" width="10.28125" style="0" customWidth="1"/>
    <col min="5" max="5" width="13.8515625" style="0" customWidth="1"/>
  </cols>
  <sheetData>
    <row r="2" spans="2:5" ht="18">
      <c r="B2" s="239" t="s">
        <v>115</v>
      </c>
      <c r="C2" s="239"/>
      <c r="D2" s="239"/>
      <c r="E2" s="239"/>
    </row>
    <row r="3" spans="4:5" ht="9" customHeight="1">
      <c r="D3" s="238"/>
      <c r="E3" s="238"/>
    </row>
    <row r="4" spans="2:5" ht="15" customHeight="1">
      <c r="B4" s="238" t="s">
        <v>507</v>
      </c>
      <c r="C4" s="238"/>
      <c r="D4" s="238"/>
      <c r="E4" s="238"/>
    </row>
    <row r="5" spans="2:5" ht="25.5">
      <c r="B5" s="118" t="s">
        <v>351</v>
      </c>
      <c r="C5" s="118" t="s">
        <v>350</v>
      </c>
      <c r="D5" s="118" t="s">
        <v>348</v>
      </c>
      <c r="E5" s="122" t="s">
        <v>257</v>
      </c>
    </row>
    <row r="6" spans="2:5" ht="12.75">
      <c r="B6" s="36" t="s">
        <v>105</v>
      </c>
      <c r="C6" s="52">
        <f>'INVERSION INICIAL'!E65</f>
        <v>168150</v>
      </c>
      <c r="D6" s="53">
        <v>25</v>
      </c>
      <c r="E6" s="55">
        <f>C6/D6</f>
        <v>6726</v>
      </c>
    </row>
    <row r="7" spans="2:5" ht="12.75">
      <c r="B7" s="36" t="s">
        <v>106</v>
      </c>
      <c r="C7" s="52">
        <f>'INVERSION INICIAL'!E78</f>
        <v>102500</v>
      </c>
      <c r="D7" s="53">
        <v>25</v>
      </c>
      <c r="E7" s="55">
        <f aca="true" t="shared" si="0" ref="E7:E17">C7/D7</f>
        <v>4100</v>
      </c>
    </row>
    <row r="8" spans="2:5" ht="12.75">
      <c r="B8" s="36" t="s">
        <v>107</v>
      </c>
      <c r="C8" s="52">
        <f>'INVERSION INICIAL'!E39</f>
        <v>60000</v>
      </c>
      <c r="D8" s="53">
        <v>25</v>
      </c>
      <c r="E8" s="55">
        <f t="shared" si="0"/>
        <v>2400</v>
      </c>
    </row>
    <row r="9" spans="2:5" ht="12.75">
      <c r="B9" s="36" t="s">
        <v>108</v>
      </c>
      <c r="C9" s="52">
        <f>'INVERSION INICIAL'!E49</f>
        <v>30000</v>
      </c>
      <c r="D9" s="53">
        <v>25</v>
      </c>
      <c r="E9" s="55">
        <f t="shared" si="0"/>
        <v>1200</v>
      </c>
    </row>
    <row r="10" spans="2:5" ht="12.75">
      <c r="B10" s="36" t="s">
        <v>109</v>
      </c>
      <c r="C10" s="52">
        <f>('INVERSION INICIAL'!E34+'INVERSION INICIAL'!E43+'INVERSION INICIAL'!E52+'INVERSION INICIAL'!E59+'INVERSION INICIAL'!E60+'INVERSION INICIAL'!E71+'INVERSION INICIAL'!E84+'INVERSION INICIAL'!E91+15000)</f>
        <v>116286.19</v>
      </c>
      <c r="D10" s="53">
        <v>10</v>
      </c>
      <c r="E10" s="55">
        <f t="shared" si="0"/>
        <v>11628.619</v>
      </c>
    </row>
    <row r="11" spans="2:5" ht="12.75">
      <c r="B11" s="36" t="s">
        <v>110</v>
      </c>
      <c r="C11" s="52">
        <f>'INVERSION INICIAL'!K16</f>
        <v>34944</v>
      </c>
      <c r="D11" s="53">
        <v>10</v>
      </c>
      <c r="E11" s="55">
        <f t="shared" si="0"/>
        <v>3494.4</v>
      </c>
    </row>
    <row r="12" spans="2:5" ht="12.75">
      <c r="B12" s="36" t="s">
        <v>111</v>
      </c>
      <c r="C12" s="52">
        <f>('INVERSION INICIAL'!K28+'INVERSION INICIAL'!K31)</f>
        <v>3300</v>
      </c>
      <c r="D12" s="53">
        <v>3</v>
      </c>
      <c r="E12" s="55">
        <f t="shared" si="0"/>
        <v>1100</v>
      </c>
    </row>
    <row r="13" spans="2:5" ht="12.75">
      <c r="B13" s="36" t="s">
        <v>112</v>
      </c>
      <c r="C13" s="52">
        <f>'INVERSION INICIAL'!K35</f>
        <v>3070</v>
      </c>
      <c r="D13" s="53">
        <v>10</v>
      </c>
      <c r="E13" s="55">
        <f t="shared" si="0"/>
        <v>307</v>
      </c>
    </row>
    <row r="14" spans="2:5" ht="12.75">
      <c r="B14" s="36" t="s">
        <v>113</v>
      </c>
      <c r="C14" s="52">
        <f>'INVERSION INICIAL'!K34</f>
        <v>1000</v>
      </c>
      <c r="D14" s="53">
        <v>10</v>
      </c>
      <c r="E14" s="55">
        <f t="shared" si="0"/>
        <v>100</v>
      </c>
    </row>
    <row r="15" spans="2:5" ht="12.75">
      <c r="B15" s="36" t="s">
        <v>114</v>
      </c>
      <c r="C15" s="52">
        <f>'INVERSION INICIAL'!K40</f>
        <v>3800</v>
      </c>
      <c r="D15" s="53">
        <v>10</v>
      </c>
      <c r="E15" s="55">
        <f t="shared" si="0"/>
        <v>380</v>
      </c>
    </row>
    <row r="16" spans="2:5" ht="12.75">
      <c r="B16" s="36" t="s">
        <v>316</v>
      </c>
      <c r="C16" s="52">
        <f>'INVERSION INICIAL'!K41</f>
        <v>1000</v>
      </c>
      <c r="D16" s="53">
        <v>10</v>
      </c>
      <c r="E16" s="55">
        <f t="shared" si="0"/>
        <v>100</v>
      </c>
    </row>
    <row r="17" spans="2:5" ht="12.75">
      <c r="B17" s="36" t="s">
        <v>224</v>
      </c>
      <c r="C17" s="52">
        <f>('INVERSION INICIAL'!F110-DEPRECIACIONES!C6-DEPRECIACIONES!C7-DEPRECIACIONES!C8-DEPRECIACIONES!C9-DEPRECIACIONES!C10)</f>
        <v>1004633.96</v>
      </c>
      <c r="D17" s="53">
        <v>20</v>
      </c>
      <c r="E17" s="55">
        <f t="shared" si="0"/>
        <v>50231.698</v>
      </c>
    </row>
    <row r="18" spans="2:5" ht="12.75">
      <c r="B18" s="240" t="s">
        <v>347</v>
      </c>
      <c r="C18" s="241"/>
      <c r="D18" s="242"/>
      <c r="E18" s="117">
        <f>SUM(E6:E17)</f>
        <v>81767.717</v>
      </c>
    </row>
    <row r="19" spans="2:3" ht="12.75">
      <c r="B19" s="236" t="s">
        <v>311</v>
      </c>
      <c r="C19" s="236"/>
    </row>
    <row r="20" ht="12.75">
      <c r="C20" s="6"/>
    </row>
  </sheetData>
  <mergeCells count="5">
    <mergeCell ref="B2:E2"/>
    <mergeCell ref="B18:D18"/>
    <mergeCell ref="B19:C19"/>
    <mergeCell ref="D3:E3"/>
    <mergeCell ref="B4:E4"/>
  </mergeCells>
  <printOptions/>
  <pageMargins left="0.75" right="0.75" top="1" bottom="1" header="0" footer="0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9"/>
  <sheetViews>
    <sheetView workbookViewId="0" topLeftCell="A1">
      <selection activeCell="G38" sqref="G38"/>
    </sheetView>
  </sheetViews>
  <sheetFormatPr defaultColWidth="11.421875" defaultRowHeight="12.75"/>
  <cols>
    <col min="2" max="2" width="36.00390625" style="0" bestFit="1" customWidth="1"/>
    <col min="3" max="9" width="11.28125" style="0" bestFit="1" customWidth="1"/>
    <col min="10" max="12" width="12.7109375" style="0" bestFit="1" customWidth="1"/>
  </cols>
  <sheetData>
    <row r="2" spans="2:12" ht="15.75">
      <c r="B2" s="243" t="s">
        <v>274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2:12" ht="12.75">
      <c r="B3" s="115" t="s">
        <v>263</v>
      </c>
      <c r="C3" s="115" t="s">
        <v>264</v>
      </c>
      <c r="D3" s="115" t="s">
        <v>265</v>
      </c>
      <c r="E3" s="115" t="s">
        <v>266</v>
      </c>
      <c r="F3" s="115" t="s">
        <v>267</v>
      </c>
      <c r="G3" s="115" t="s">
        <v>268</v>
      </c>
      <c r="H3" s="115" t="s">
        <v>269</v>
      </c>
      <c r="I3" s="115" t="s">
        <v>270</v>
      </c>
      <c r="J3" s="115" t="s">
        <v>271</v>
      </c>
      <c r="K3" s="115" t="s">
        <v>272</v>
      </c>
      <c r="L3" s="115" t="s">
        <v>273</v>
      </c>
    </row>
    <row r="4" spans="2:12" ht="12.75">
      <c r="B4" s="206" t="s">
        <v>275</v>
      </c>
      <c r="C4" s="207">
        <f>'FLUJO DE CAJA'!D4</f>
        <v>495269.034526728</v>
      </c>
      <c r="D4" s="207">
        <f>'FLUJO DE CAJA'!E4</f>
        <v>632121.4750607619</v>
      </c>
      <c r="E4" s="207">
        <f>'FLUJO DE CAJA'!F4</f>
        <v>697224.2330258987</v>
      </c>
      <c r="F4" s="207">
        <f>'FLUJO DE CAJA'!G4</f>
        <v>758716.1892072089</v>
      </c>
      <c r="G4" s="207">
        <f>'FLUJO DE CAJA'!H4</f>
        <v>820828.9769883843</v>
      </c>
      <c r="H4" s="207">
        <f>'FLUJO DE CAJA'!I4</f>
        <v>882231.2340641755</v>
      </c>
      <c r="I4" s="207">
        <f>'FLUJO DE CAJA'!J4</f>
        <v>943612.1752188052</v>
      </c>
      <c r="J4" s="207">
        <f>'FLUJO DE CAJA'!K4</f>
        <v>1004992.4768958001</v>
      </c>
      <c r="K4" s="207">
        <f>'FLUJO DE CAJA'!L4</f>
        <v>1065643.603735086</v>
      </c>
      <c r="L4" s="207">
        <f>'FLUJO DE CAJA'!M4</f>
        <v>1126272.8553292402</v>
      </c>
    </row>
    <row r="5" spans="2:12" ht="12.75">
      <c r="B5" s="206" t="s">
        <v>276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2:12" ht="12.75">
      <c r="B6" s="206" t="s">
        <v>187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2:12" ht="12.75">
      <c r="B7" s="209" t="s">
        <v>277</v>
      </c>
      <c r="C7" s="207">
        <f>'COSTOS OPERACIONALES'!E5</f>
        <v>20000</v>
      </c>
      <c r="D7" s="207">
        <f>(1+DEMANDA!$C$28)*'ESTADO DE PERDIDAS Y GANANCIAS'!C7</f>
        <v>20600</v>
      </c>
      <c r="E7" s="207">
        <f>(1+DEMANDA!$C$28)*'ESTADO DE PERDIDAS Y GANANCIAS'!D7</f>
        <v>21218</v>
      </c>
      <c r="F7" s="207">
        <f>(1+DEMANDA!$C$28)*'ESTADO DE PERDIDAS Y GANANCIAS'!E7</f>
        <v>21854.54</v>
      </c>
      <c r="G7" s="207">
        <f>(1+DEMANDA!$C$28)*'ESTADO DE PERDIDAS Y GANANCIAS'!F7</f>
        <v>22510.1762</v>
      </c>
      <c r="H7" s="207">
        <f>(1+DEMANDA!$C$28)*'ESTADO DE PERDIDAS Y GANANCIAS'!G7</f>
        <v>23185.481486</v>
      </c>
      <c r="I7" s="207">
        <f>(1+DEMANDA!$C$28)*'ESTADO DE PERDIDAS Y GANANCIAS'!H7</f>
        <v>23881.04593058</v>
      </c>
      <c r="J7" s="207">
        <f>(1+DEMANDA!$C$28)*'ESTADO DE PERDIDAS Y GANANCIAS'!I7</f>
        <v>24597.4773084974</v>
      </c>
      <c r="K7" s="207">
        <f>(1+DEMANDA!$C$28)*'ESTADO DE PERDIDAS Y GANANCIAS'!J7</f>
        <v>25335.401627752322</v>
      </c>
      <c r="L7" s="207">
        <f>(1+DEMANDA!$C$28)*'ESTADO DE PERDIDAS Y GANANCIAS'!K7</f>
        <v>26095.46367658489</v>
      </c>
    </row>
    <row r="8" spans="2:12" ht="12.75">
      <c r="B8" s="209" t="s">
        <v>119</v>
      </c>
      <c r="C8" s="207">
        <f>'COSTOS OPERACIONALES'!E8</f>
        <v>9600</v>
      </c>
      <c r="D8" s="207">
        <f>(1+DEMANDA!$C$28)*'ESTADO DE PERDIDAS Y GANANCIAS'!C8</f>
        <v>9888</v>
      </c>
      <c r="E8" s="207">
        <f>(1+DEMANDA!$C$28)*'ESTADO DE PERDIDAS Y GANANCIAS'!D8</f>
        <v>10184.64</v>
      </c>
      <c r="F8" s="207">
        <f>(1+DEMANDA!$C$28)*'ESTADO DE PERDIDAS Y GANANCIAS'!E8</f>
        <v>10490.1792</v>
      </c>
      <c r="G8" s="207">
        <f>(1+DEMANDA!$C$28)*'ESTADO DE PERDIDAS Y GANANCIAS'!F8</f>
        <v>10804.884576</v>
      </c>
      <c r="H8" s="207">
        <f>(1+DEMANDA!$C$28)*'ESTADO DE PERDIDAS Y GANANCIAS'!G8</f>
        <v>11129.03111328</v>
      </c>
      <c r="I8" s="207">
        <f>(1+DEMANDA!$C$28)*'ESTADO DE PERDIDAS Y GANANCIAS'!H8</f>
        <v>11462.9020466784</v>
      </c>
      <c r="J8" s="207">
        <f>(1+DEMANDA!$C$28)*'ESTADO DE PERDIDAS Y GANANCIAS'!I8</f>
        <v>11806.789108078752</v>
      </c>
      <c r="K8" s="207">
        <f>(1+DEMANDA!$C$28)*'ESTADO DE PERDIDAS Y GANANCIAS'!J8</f>
        <v>12160.992781321114</v>
      </c>
      <c r="L8" s="207">
        <f>(1+DEMANDA!$C$28)*'ESTADO DE PERDIDAS Y GANANCIAS'!K8</f>
        <v>12525.822564760749</v>
      </c>
    </row>
    <row r="9" spans="2:12" ht="12.75">
      <c r="B9" s="209" t="s">
        <v>278</v>
      </c>
      <c r="C9" s="207">
        <f>'COSTOS OPERACIONALES'!E10</f>
        <v>13000</v>
      </c>
      <c r="D9" s="207">
        <f>(1+DEMANDA!$C$28)*'ESTADO DE PERDIDAS Y GANANCIAS'!C9</f>
        <v>13390</v>
      </c>
      <c r="E9" s="207">
        <f>(1+DEMANDA!$C$28)*'ESTADO DE PERDIDAS Y GANANCIAS'!D9</f>
        <v>13791.7</v>
      </c>
      <c r="F9" s="207">
        <f>(1+DEMANDA!$C$28)*'ESTADO DE PERDIDAS Y GANANCIAS'!E9</f>
        <v>14205.451000000001</v>
      </c>
      <c r="G9" s="207">
        <f>(1+DEMANDA!$C$28)*'ESTADO DE PERDIDAS Y GANANCIAS'!F9</f>
        <v>14631.61453</v>
      </c>
      <c r="H9" s="207">
        <f>(1+DEMANDA!$C$28)*'ESTADO DE PERDIDAS Y GANANCIAS'!G9</f>
        <v>15070.5629659</v>
      </c>
      <c r="I9" s="207">
        <f>(1+DEMANDA!$C$28)*'ESTADO DE PERDIDAS Y GANANCIAS'!H9</f>
        <v>15522.679854877</v>
      </c>
      <c r="J9" s="207">
        <f>(1+DEMANDA!$C$28)*'ESTADO DE PERDIDAS Y GANANCIAS'!I9</f>
        <v>15988.36025052331</v>
      </c>
      <c r="K9" s="207">
        <f>(1+DEMANDA!$C$28)*'ESTADO DE PERDIDAS Y GANANCIAS'!J9</f>
        <v>16468.01105803901</v>
      </c>
      <c r="L9" s="207">
        <f>(1+DEMANDA!$C$28)*'ESTADO DE PERDIDAS Y GANANCIAS'!K9</f>
        <v>16962.05138978018</v>
      </c>
    </row>
    <row r="10" spans="2:12" ht="12.75">
      <c r="B10" s="209" t="s">
        <v>279</v>
      </c>
      <c r="C10" s="207">
        <f>'COSTOS OPERACIONALES'!E13</f>
        <v>9472.75</v>
      </c>
      <c r="D10" s="207">
        <f>(1+DEMANDA!$C$28)*'ESTADO DE PERDIDAS Y GANANCIAS'!C10</f>
        <v>9756.9325</v>
      </c>
      <c r="E10" s="207">
        <f>(1+DEMANDA!$C$28)*'ESTADO DE PERDIDAS Y GANANCIAS'!D10</f>
        <v>10049.640475000002</v>
      </c>
      <c r="F10" s="207">
        <f>(1+DEMANDA!$C$28)*'ESTADO DE PERDIDAS Y GANANCIAS'!E10</f>
        <v>10351.129689250003</v>
      </c>
      <c r="G10" s="207">
        <f>(1+DEMANDA!$C$28)*'ESTADO DE PERDIDAS Y GANANCIAS'!F10</f>
        <v>10661.663579927503</v>
      </c>
      <c r="H10" s="207">
        <f>(1+DEMANDA!$C$28)*'ESTADO DE PERDIDAS Y GANANCIAS'!G10</f>
        <v>10981.513487325328</v>
      </c>
      <c r="I10" s="207">
        <f>(1+DEMANDA!$C$28)*'ESTADO DE PERDIDAS Y GANANCIAS'!H10</f>
        <v>11310.958891945089</v>
      </c>
      <c r="J10" s="207">
        <f>(1+DEMANDA!$C$28)*'ESTADO DE PERDIDAS Y GANANCIAS'!I10</f>
        <v>11650.287658703443</v>
      </c>
      <c r="K10" s="207">
        <f>(1+DEMANDA!$C$28)*'ESTADO DE PERDIDAS Y GANANCIAS'!J10</f>
        <v>11999.796288464546</v>
      </c>
      <c r="L10" s="207">
        <f>(1+DEMANDA!$C$28)*'ESTADO DE PERDIDAS Y GANANCIAS'!K10</f>
        <v>12359.790177118482</v>
      </c>
    </row>
    <row r="11" spans="2:12" ht="12.75">
      <c r="B11" s="209" t="s">
        <v>280</v>
      </c>
      <c r="C11" s="207">
        <f>'COSTOS OPERACIONALES'!E15</f>
        <v>4800</v>
      </c>
      <c r="D11" s="207">
        <f>(1+DEMANDA!$C$28)*'ESTADO DE PERDIDAS Y GANANCIAS'!C11</f>
        <v>4944</v>
      </c>
      <c r="E11" s="207">
        <f>(1+DEMANDA!$C$28)*'ESTADO DE PERDIDAS Y GANANCIAS'!D11</f>
        <v>5092.32</v>
      </c>
      <c r="F11" s="207">
        <f>(1+DEMANDA!$C$28)*'ESTADO DE PERDIDAS Y GANANCIAS'!E11</f>
        <v>5245.0896</v>
      </c>
      <c r="G11" s="207">
        <f>(1+DEMANDA!$C$28)*'ESTADO DE PERDIDAS Y GANANCIAS'!F11</f>
        <v>5402.442288</v>
      </c>
      <c r="H11" s="207">
        <f>(1+DEMANDA!$C$28)*'ESTADO DE PERDIDAS Y GANANCIAS'!G11</f>
        <v>5564.51555664</v>
      </c>
      <c r="I11" s="207">
        <f>(1+DEMANDA!$C$28)*'ESTADO DE PERDIDAS Y GANANCIAS'!H11</f>
        <v>5731.4510233392</v>
      </c>
      <c r="J11" s="207">
        <f>(1+DEMANDA!$C$28)*'ESTADO DE PERDIDAS Y GANANCIAS'!I11</f>
        <v>5903.394554039376</v>
      </c>
      <c r="K11" s="207">
        <f>(1+DEMANDA!$C$28)*'ESTADO DE PERDIDAS Y GANANCIAS'!J11</f>
        <v>6080.496390660557</v>
      </c>
      <c r="L11" s="207">
        <f>(1+DEMANDA!$C$28)*'ESTADO DE PERDIDAS Y GANANCIAS'!K11</f>
        <v>6262.911282380374</v>
      </c>
    </row>
    <row r="12" spans="2:12" ht="12.75">
      <c r="B12" s="209" t="s">
        <v>281</v>
      </c>
      <c r="C12" s="207">
        <f>'COSTOS OPERACIONALES'!E16</f>
        <v>450</v>
      </c>
      <c r="D12" s="207">
        <f>(1+DEMANDA!$C$28)*'ESTADO DE PERDIDAS Y GANANCIAS'!C12</f>
        <v>463.5</v>
      </c>
      <c r="E12" s="207">
        <f>(1+DEMANDA!$C$28)*'ESTADO DE PERDIDAS Y GANANCIAS'!D12</f>
        <v>477.40500000000003</v>
      </c>
      <c r="F12" s="207">
        <f>(1+DEMANDA!$C$28)*'ESTADO DE PERDIDAS Y GANANCIAS'!E12</f>
        <v>491.72715000000005</v>
      </c>
      <c r="G12" s="207">
        <f>(1+DEMANDA!$C$28)*'ESTADO DE PERDIDAS Y GANANCIAS'!F12</f>
        <v>506.4789645000001</v>
      </c>
      <c r="H12" s="207">
        <f>(1+DEMANDA!$C$28)*'ESTADO DE PERDIDAS Y GANANCIAS'!G12</f>
        <v>521.6733334350001</v>
      </c>
      <c r="I12" s="207">
        <f>(1+DEMANDA!$C$28)*'ESTADO DE PERDIDAS Y GANANCIAS'!H12</f>
        <v>537.3235334380502</v>
      </c>
      <c r="J12" s="207">
        <f>(1+DEMANDA!$C$28)*'ESTADO DE PERDIDAS Y GANANCIAS'!I12</f>
        <v>553.4432394411917</v>
      </c>
      <c r="K12" s="207">
        <f>(1+DEMANDA!$C$28)*'ESTADO DE PERDIDAS Y GANANCIAS'!J12</f>
        <v>570.0465366244275</v>
      </c>
      <c r="L12" s="207">
        <f>(1+DEMANDA!$C$28)*'ESTADO DE PERDIDAS Y GANANCIAS'!K12</f>
        <v>587.1479327231604</v>
      </c>
    </row>
    <row r="13" spans="2:12" ht="12.75">
      <c r="B13" s="209" t="s">
        <v>282</v>
      </c>
      <c r="C13" s="207">
        <f>'COSTOS OPERACIONALES'!D34-'COSTOS OPERACIONALES'!C34</f>
        <v>111361.95433439998</v>
      </c>
      <c r="D13" s="207">
        <f>'COSTOS OPERACIONALES'!D35-'COSTOS OPERACIONALES'!C35</f>
        <v>142543.30154803197</v>
      </c>
      <c r="E13" s="207">
        <f>'COSTOS OPERACIONALES'!D36-'COSTOS OPERACIONALES'!C36</f>
        <v>157398.98625624095</v>
      </c>
      <c r="F13" s="207">
        <f>'COSTOS OPERACIONALES'!D37-'COSTOS OPERACIONALES'!C37</f>
        <v>171764.9010892872</v>
      </c>
      <c r="G13" s="207">
        <f>'COSTOS OPERACIONALES'!D38-'COSTOS OPERACIONALES'!C38</f>
        <v>186116.12282607862</v>
      </c>
      <c r="H13" s="207">
        <f>'COSTOS OPERACIONALES'!D39-'COSTOS OPERACIONALES'!C39</f>
        <v>200466.90376998234</v>
      </c>
      <c r="I13" s="207">
        <f>'COSTOS OPERACIONALES'!D40-'COSTOS OPERACIONALES'!C40</f>
        <v>214817.67149009946</v>
      </c>
      <c r="J13" s="207">
        <f>'COSTOS OPERACIONALES'!D41-'COSTOS OPERACIONALES'!C41</f>
        <v>229168.43881350296</v>
      </c>
      <c r="K13" s="207">
        <f>'COSTOS OPERACIONALES'!D42-'COSTOS OPERACIONALES'!C42</f>
        <v>243519.20612500512</v>
      </c>
      <c r="L13" s="207">
        <f>'COSTOS OPERACIONALES'!D43-'COSTOS OPERACIONALES'!C43</f>
        <v>257869.9734361501</v>
      </c>
    </row>
    <row r="14" spans="2:12" ht="12.75">
      <c r="B14" s="206" t="s">
        <v>188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</row>
    <row r="15" spans="2:12" ht="12.75">
      <c r="B15" s="209" t="s">
        <v>131</v>
      </c>
      <c r="C15" s="207">
        <f>'COSTOS NO OPERACIONALES'!F6</f>
        <v>84000</v>
      </c>
      <c r="D15" s="207">
        <f aca="true" t="shared" si="0" ref="D15:D30">C15</f>
        <v>84000</v>
      </c>
      <c r="E15" s="207">
        <f aca="true" t="shared" si="1" ref="E15:L15">D15</f>
        <v>84000</v>
      </c>
      <c r="F15" s="207">
        <f t="shared" si="1"/>
        <v>84000</v>
      </c>
      <c r="G15" s="207">
        <f t="shared" si="1"/>
        <v>84000</v>
      </c>
      <c r="H15" s="207">
        <f t="shared" si="1"/>
        <v>84000</v>
      </c>
      <c r="I15" s="207">
        <f t="shared" si="1"/>
        <v>84000</v>
      </c>
      <c r="J15" s="207">
        <f t="shared" si="1"/>
        <v>84000</v>
      </c>
      <c r="K15" s="207">
        <f t="shared" si="1"/>
        <v>84000</v>
      </c>
      <c r="L15" s="207">
        <f t="shared" si="1"/>
        <v>84000</v>
      </c>
    </row>
    <row r="16" spans="2:12" ht="12.75">
      <c r="B16" s="209" t="s">
        <v>283</v>
      </c>
      <c r="C16" s="207">
        <f>'COSTOS NO OPERACIONALES'!F34</f>
        <v>2640</v>
      </c>
      <c r="D16" s="207">
        <f t="shared" si="0"/>
        <v>2640</v>
      </c>
      <c r="E16" s="207">
        <f aca="true" t="shared" si="2" ref="E16:L16">D16</f>
        <v>2640</v>
      </c>
      <c r="F16" s="207">
        <f t="shared" si="2"/>
        <v>2640</v>
      </c>
      <c r="G16" s="207">
        <f t="shared" si="2"/>
        <v>2640</v>
      </c>
      <c r="H16" s="207">
        <f t="shared" si="2"/>
        <v>2640</v>
      </c>
      <c r="I16" s="207">
        <f t="shared" si="2"/>
        <v>2640</v>
      </c>
      <c r="J16" s="207">
        <f t="shared" si="2"/>
        <v>2640</v>
      </c>
      <c r="K16" s="207">
        <f t="shared" si="2"/>
        <v>2640</v>
      </c>
      <c r="L16" s="207">
        <f t="shared" si="2"/>
        <v>2640</v>
      </c>
    </row>
    <row r="17" spans="2:12" ht="12.75">
      <c r="B17" s="209" t="s">
        <v>284</v>
      </c>
      <c r="C17" s="207">
        <f>'COSTOS NO OPERACIONALES'!F38</f>
        <v>1800</v>
      </c>
      <c r="D17" s="207">
        <f t="shared" si="0"/>
        <v>1800</v>
      </c>
      <c r="E17" s="207">
        <f aca="true" t="shared" si="3" ref="E17:L17">D17</f>
        <v>1800</v>
      </c>
      <c r="F17" s="207">
        <f t="shared" si="3"/>
        <v>1800</v>
      </c>
      <c r="G17" s="207">
        <f t="shared" si="3"/>
        <v>1800</v>
      </c>
      <c r="H17" s="207">
        <f t="shared" si="3"/>
        <v>1800</v>
      </c>
      <c r="I17" s="207">
        <f t="shared" si="3"/>
        <v>1800</v>
      </c>
      <c r="J17" s="207">
        <f t="shared" si="3"/>
        <v>1800</v>
      </c>
      <c r="K17" s="207">
        <f t="shared" si="3"/>
        <v>1800</v>
      </c>
      <c r="L17" s="207">
        <f t="shared" si="3"/>
        <v>1800</v>
      </c>
    </row>
    <row r="18" spans="2:12" ht="12.75">
      <c r="B18" s="209" t="s">
        <v>285</v>
      </c>
      <c r="C18" s="207">
        <f>'COSTOS NO OPERACIONALES'!F39</f>
        <v>9600</v>
      </c>
      <c r="D18" s="207">
        <f t="shared" si="0"/>
        <v>9600</v>
      </c>
      <c r="E18" s="207">
        <f aca="true" t="shared" si="4" ref="E18:L24">D18</f>
        <v>9600</v>
      </c>
      <c r="F18" s="207">
        <f t="shared" si="4"/>
        <v>9600</v>
      </c>
      <c r="G18" s="207">
        <f t="shared" si="4"/>
        <v>9600</v>
      </c>
      <c r="H18" s="207">
        <f t="shared" si="4"/>
        <v>9600</v>
      </c>
      <c r="I18" s="207">
        <f t="shared" si="4"/>
        <v>9600</v>
      </c>
      <c r="J18" s="207">
        <f t="shared" si="4"/>
        <v>9600</v>
      </c>
      <c r="K18" s="207">
        <f t="shared" si="4"/>
        <v>9600</v>
      </c>
      <c r="L18" s="207">
        <f t="shared" si="4"/>
        <v>9600</v>
      </c>
    </row>
    <row r="19" spans="2:12" ht="12.75">
      <c r="B19" s="209" t="s">
        <v>286</v>
      </c>
      <c r="C19" s="207">
        <f>DEPRECIACIONES!E6</f>
        <v>6726</v>
      </c>
      <c r="D19" s="207">
        <f t="shared" si="0"/>
        <v>6726</v>
      </c>
      <c r="E19" s="207">
        <f t="shared" si="4"/>
        <v>6726</v>
      </c>
      <c r="F19" s="207">
        <f t="shared" si="4"/>
        <v>6726</v>
      </c>
      <c r="G19" s="207">
        <f t="shared" si="4"/>
        <v>6726</v>
      </c>
      <c r="H19" s="207">
        <f t="shared" si="4"/>
        <v>6726</v>
      </c>
      <c r="I19" s="207">
        <f t="shared" si="4"/>
        <v>6726</v>
      </c>
      <c r="J19" s="207">
        <f t="shared" si="4"/>
        <v>6726</v>
      </c>
      <c r="K19" s="207">
        <f t="shared" si="4"/>
        <v>6726</v>
      </c>
      <c r="L19" s="207">
        <f t="shared" si="4"/>
        <v>6726</v>
      </c>
    </row>
    <row r="20" spans="2:12" ht="12.75">
      <c r="B20" s="209" t="s">
        <v>287</v>
      </c>
      <c r="C20" s="207">
        <f>DEPRECIACIONES!E7</f>
        <v>4100</v>
      </c>
      <c r="D20" s="207">
        <f t="shared" si="0"/>
        <v>4100</v>
      </c>
      <c r="E20" s="207">
        <f t="shared" si="4"/>
        <v>4100</v>
      </c>
      <c r="F20" s="207">
        <f t="shared" si="4"/>
        <v>4100</v>
      </c>
      <c r="G20" s="207">
        <f t="shared" si="4"/>
        <v>4100</v>
      </c>
      <c r="H20" s="207">
        <f t="shared" si="4"/>
        <v>4100</v>
      </c>
      <c r="I20" s="207">
        <f t="shared" si="4"/>
        <v>4100</v>
      </c>
      <c r="J20" s="207">
        <f t="shared" si="4"/>
        <v>4100</v>
      </c>
      <c r="K20" s="207">
        <f t="shared" si="4"/>
        <v>4100</v>
      </c>
      <c r="L20" s="207">
        <f t="shared" si="4"/>
        <v>4100</v>
      </c>
    </row>
    <row r="21" spans="2:12" ht="12.75">
      <c r="B21" s="209" t="s">
        <v>288</v>
      </c>
      <c r="C21" s="207">
        <f>DEPRECIACIONES!E8</f>
        <v>2400</v>
      </c>
      <c r="D21" s="207">
        <f t="shared" si="0"/>
        <v>2400</v>
      </c>
      <c r="E21" s="207">
        <f t="shared" si="4"/>
        <v>2400</v>
      </c>
      <c r="F21" s="207">
        <f t="shared" si="4"/>
        <v>2400</v>
      </c>
      <c r="G21" s="207">
        <f t="shared" si="4"/>
        <v>2400</v>
      </c>
      <c r="H21" s="207">
        <f t="shared" si="4"/>
        <v>2400</v>
      </c>
      <c r="I21" s="207">
        <f t="shared" si="4"/>
        <v>2400</v>
      </c>
      <c r="J21" s="207">
        <f t="shared" si="4"/>
        <v>2400</v>
      </c>
      <c r="K21" s="207">
        <f t="shared" si="4"/>
        <v>2400</v>
      </c>
      <c r="L21" s="207">
        <f t="shared" si="4"/>
        <v>2400</v>
      </c>
    </row>
    <row r="22" spans="2:12" ht="12.75">
      <c r="B22" s="209" t="s">
        <v>289</v>
      </c>
      <c r="C22" s="207">
        <f>DEPRECIACIONES!E9</f>
        <v>1200</v>
      </c>
      <c r="D22" s="207">
        <f t="shared" si="0"/>
        <v>1200</v>
      </c>
      <c r="E22" s="207">
        <f t="shared" si="4"/>
        <v>1200</v>
      </c>
      <c r="F22" s="207">
        <f t="shared" si="4"/>
        <v>1200</v>
      </c>
      <c r="G22" s="207">
        <f t="shared" si="4"/>
        <v>1200</v>
      </c>
      <c r="H22" s="207">
        <f t="shared" si="4"/>
        <v>1200</v>
      </c>
      <c r="I22" s="207">
        <f t="shared" si="4"/>
        <v>1200</v>
      </c>
      <c r="J22" s="207">
        <f t="shared" si="4"/>
        <v>1200</v>
      </c>
      <c r="K22" s="207">
        <f t="shared" si="4"/>
        <v>1200</v>
      </c>
      <c r="L22" s="207">
        <f t="shared" si="4"/>
        <v>1200</v>
      </c>
    </row>
    <row r="23" spans="2:12" ht="12.75">
      <c r="B23" s="209" t="s">
        <v>290</v>
      </c>
      <c r="C23" s="207">
        <f>DEPRECIACIONES!E10</f>
        <v>11628.619</v>
      </c>
      <c r="D23" s="207">
        <f t="shared" si="0"/>
        <v>11628.619</v>
      </c>
      <c r="E23" s="207">
        <f t="shared" si="4"/>
        <v>11628.619</v>
      </c>
      <c r="F23" s="207">
        <f t="shared" si="4"/>
        <v>11628.619</v>
      </c>
      <c r="G23" s="207">
        <f t="shared" si="4"/>
        <v>11628.619</v>
      </c>
      <c r="H23" s="207">
        <f t="shared" si="4"/>
        <v>11628.619</v>
      </c>
      <c r="I23" s="207">
        <f t="shared" si="4"/>
        <v>11628.619</v>
      </c>
      <c r="J23" s="207">
        <f t="shared" si="4"/>
        <v>11628.619</v>
      </c>
      <c r="K23" s="207">
        <f t="shared" si="4"/>
        <v>11628.619</v>
      </c>
      <c r="L23" s="207">
        <f t="shared" si="4"/>
        <v>11628.619</v>
      </c>
    </row>
    <row r="24" spans="2:12" ht="12.75">
      <c r="B24" s="209" t="s">
        <v>291</v>
      </c>
      <c r="C24" s="207">
        <f>DEPRECIACIONES!E11</f>
        <v>3494.4</v>
      </c>
      <c r="D24" s="207">
        <f t="shared" si="0"/>
        <v>3494.4</v>
      </c>
      <c r="E24" s="207">
        <f t="shared" si="4"/>
        <v>3494.4</v>
      </c>
      <c r="F24" s="207">
        <f t="shared" si="4"/>
        <v>3494.4</v>
      </c>
      <c r="G24" s="207">
        <f t="shared" si="4"/>
        <v>3494.4</v>
      </c>
      <c r="H24" s="207">
        <f t="shared" si="4"/>
        <v>3494.4</v>
      </c>
      <c r="I24" s="207">
        <f t="shared" si="4"/>
        <v>3494.4</v>
      </c>
      <c r="J24" s="207">
        <f t="shared" si="4"/>
        <v>3494.4</v>
      </c>
      <c r="K24" s="207">
        <f t="shared" si="4"/>
        <v>3494.4</v>
      </c>
      <c r="L24" s="207">
        <f t="shared" si="4"/>
        <v>3494.4</v>
      </c>
    </row>
    <row r="25" spans="2:12" ht="12.75">
      <c r="B25" s="209" t="s">
        <v>292</v>
      </c>
      <c r="C25" s="207">
        <f>DEPRECIACIONES!E12</f>
        <v>1100</v>
      </c>
      <c r="D25" s="207">
        <f t="shared" si="0"/>
        <v>1100</v>
      </c>
      <c r="E25" s="207">
        <f aca="true" t="shared" si="5" ref="E25:E30">D25</f>
        <v>1100</v>
      </c>
      <c r="F25" s="207"/>
      <c r="G25" s="207"/>
      <c r="H25" s="207"/>
      <c r="I25" s="207"/>
      <c r="J25" s="207"/>
      <c r="K25" s="207"/>
      <c r="L25" s="207"/>
    </row>
    <row r="26" spans="2:12" ht="12.75">
      <c r="B26" s="209" t="s">
        <v>293</v>
      </c>
      <c r="C26" s="207">
        <f>DEPRECIACIONES!E13</f>
        <v>307</v>
      </c>
      <c r="D26" s="207">
        <f t="shared" si="0"/>
        <v>307</v>
      </c>
      <c r="E26" s="207">
        <f t="shared" si="5"/>
        <v>307</v>
      </c>
      <c r="F26" s="207">
        <f aca="true" t="shared" si="6" ref="F26:L30">E26</f>
        <v>307</v>
      </c>
      <c r="G26" s="207">
        <f t="shared" si="6"/>
        <v>307</v>
      </c>
      <c r="H26" s="207">
        <f t="shared" si="6"/>
        <v>307</v>
      </c>
      <c r="I26" s="207">
        <f t="shared" si="6"/>
        <v>307</v>
      </c>
      <c r="J26" s="207">
        <f t="shared" si="6"/>
        <v>307</v>
      </c>
      <c r="K26" s="207">
        <f t="shared" si="6"/>
        <v>307</v>
      </c>
      <c r="L26" s="207">
        <f t="shared" si="6"/>
        <v>307</v>
      </c>
    </row>
    <row r="27" spans="2:12" ht="12.75">
      <c r="B27" s="209" t="s">
        <v>294</v>
      </c>
      <c r="C27" s="207">
        <f>DEPRECIACIONES!E14</f>
        <v>100</v>
      </c>
      <c r="D27" s="207">
        <f t="shared" si="0"/>
        <v>100</v>
      </c>
      <c r="E27" s="207">
        <f t="shared" si="5"/>
        <v>100</v>
      </c>
      <c r="F27" s="207">
        <f t="shared" si="6"/>
        <v>100</v>
      </c>
      <c r="G27" s="207">
        <f t="shared" si="6"/>
        <v>100</v>
      </c>
      <c r="H27" s="207">
        <f t="shared" si="6"/>
        <v>100</v>
      </c>
      <c r="I27" s="207">
        <f t="shared" si="6"/>
        <v>100</v>
      </c>
      <c r="J27" s="207">
        <f t="shared" si="6"/>
        <v>100</v>
      </c>
      <c r="K27" s="207">
        <f t="shared" si="6"/>
        <v>100</v>
      </c>
      <c r="L27" s="207">
        <f t="shared" si="6"/>
        <v>100</v>
      </c>
    </row>
    <row r="28" spans="2:12" ht="12.75">
      <c r="B28" s="209" t="s">
        <v>295</v>
      </c>
      <c r="C28" s="207">
        <f>DEPRECIACIONES!E15</f>
        <v>380</v>
      </c>
      <c r="D28" s="207">
        <f t="shared" si="0"/>
        <v>380</v>
      </c>
      <c r="E28" s="207">
        <f t="shared" si="5"/>
        <v>380</v>
      </c>
      <c r="F28" s="207">
        <f t="shared" si="6"/>
        <v>380</v>
      </c>
      <c r="G28" s="207">
        <f t="shared" si="6"/>
        <v>380</v>
      </c>
      <c r="H28" s="207">
        <f t="shared" si="6"/>
        <v>380</v>
      </c>
      <c r="I28" s="207">
        <f t="shared" si="6"/>
        <v>380</v>
      </c>
      <c r="J28" s="207">
        <f t="shared" si="6"/>
        <v>380</v>
      </c>
      <c r="K28" s="207">
        <f t="shared" si="6"/>
        <v>380</v>
      </c>
      <c r="L28" s="207">
        <f t="shared" si="6"/>
        <v>380</v>
      </c>
    </row>
    <row r="29" spans="2:12" ht="12.75">
      <c r="B29" s="209" t="s">
        <v>317</v>
      </c>
      <c r="C29" s="207">
        <f>DEPRECIACIONES!E16</f>
        <v>100</v>
      </c>
      <c r="D29" s="207">
        <f>C29</f>
        <v>100</v>
      </c>
      <c r="E29" s="207">
        <f t="shared" si="5"/>
        <v>100</v>
      </c>
      <c r="F29" s="207">
        <f t="shared" si="6"/>
        <v>100</v>
      </c>
      <c r="G29" s="207">
        <f t="shared" si="6"/>
        <v>100</v>
      </c>
      <c r="H29" s="207">
        <f t="shared" si="6"/>
        <v>100</v>
      </c>
      <c r="I29" s="207">
        <f t="shared" si="6"/>
        <v>100</v>
      </c>
      <c r="J29" s="207">
        <f t="shared" si="6"/>
        <v>100</v>
      </c>
      <c r="K29" s="207">
        <f t="shared" si="6"/>
        <v>100</v>
      </c>
      <c r="L29" s="207">
        <f t="shared" si="6"/>
        <v>100</v>
      </c>
    </row>
    <row r="30" spans="2:12" ht="12.75">
      <c r="B30" s="209" t="s">
        <v>296</v>
      </c>
      <c r="C30" s="207">
        <f>DEPRECIACIONES!E17</f>
        <v>50231.698</v>
      </c>
      <c r="D30" s="207">
        <f t="shared" si="0"/>
        <v>50231.698</v>
      </c>
      <c r="E30" s="207">
        <f t="shared" si="5"/>
        <v>50231.698</v>
      </c>
      <c r="F30" s="207">
        <f t="shared" si="6"/>
        <v>50231.698</v>
      </c>
      <c r="G30" s="207">
        <f t="shared" si="6"/>
        <v>50231.698</v>
      </c>
      <c r="H30" s="207">
        <f t="shared" si="6"/>
        <v>50231.698</v>
      </c>
      <c r="I30" s="207">
        <f t="shared" si="6"/>
        <v>50231.698</v>
      </c>
      <c r="J30" s="207">
        <f t="shared" si="6"/>
        <v>50231.698</v>
      </c>
      <c r="K30" s="207">
        <f t="shared" si="6"/>
        <v>50231.698</v>
      </c>
      <c r="L30" s="207">
        <f t="shared" si="6"/>
        <v>50231.698</v>
      </c>
    </row>
    <row r="31" spans="2:12" ht="12.75">
      <c r="B31" s="209" t="s">
        <v>189</v>
      </c>
      <c r="C31" s="207">
        <f>PRESTAMO!G7</f>
        <v>141337.5915997223</v>
      </c>
      <c r="D31" s="207">
        <f>PRESTAMO!G8</f>
        <v>132885.40191953667</v>
      </c>
      <c r="E31" s="207">
        <f>PRESTAMO!G9</f>
        <v>123503.47137453058</v>
      </c>
      <c r="F31" s="207">
        <f>PRESTAMO!G10</f>
        <v>113089.52846957385</v>
      </c>
      <c r="G31" s="207">
        <f>PRESTAMO!G11</f>
        <v>101530.05184507188</v>
      </c>
      <c r="H31" s="207">
        <f>PRESTAMO!G12</f>
        <v>88699.03279187469</v>
      </c>
      <c r="I31" s="207">
        <f>PRESTAMO!G13</f>
        <v>74456.6016428258</v>
      </c>
      <c r="J31" s="207">
        <f>PRESTAMO!G14</f>
        <v>58647.50306738154</v>
      </c>
      <c r="K31" s="207">
        <f>PRESTAMO!G15</f>
        <v>41099.40364863841</v>
      </c>
      <c r="L31" s="207">
        <f>PRESTAMO!G16</f>
        <v>21621.013293833534</v>
      </c>
    </row>
    <row r="32" spans="2:12" ht="12.75">
      <c r="B32" s="209" t="s">
        <v>297</v>
      </c>
      <c r="C32" s="207">
        <f aca="true" t="shared" si="7" ref="C32:L32">C4-(SUM(C7:C31))</f>
        <v>5439.021592605626</v>
      </c>
      <c r="D32" s="207">
        <f t="shared" si="7"/>
        <v>117842.62209319323</v>
      </c>
      <c r="E32" s="207">
        <f t="shared" si="7"/>
        <v>175700.35292012716</v>
      </c>
      <c r="F32" s="207">
        <f t="shared" si="7"/>
        <v>232515.92600909784</v>
      </c>
      <c r="G32" s="207">
        <f t="shared" si="7"/>
        <v>289957.8251788063</v>
      </c>
      <c r="H32" s="207">
        <f t="shared" si="7"/>
        <v>347904.80255973816</v>
      </c>
      <c r="I32" s="207">
        <f t="shared" si="7"/>
        <v>407183.82380502217</v>
      </c>
      <c r="J32" s="207">
        <f t="shared" si="7"/>
        <v>467969.06589563214</v>
      </c>
      <c r="K32" s="207">
        <f t="shared" si="7"/>
        <v>529702.5322785805</v>
      </c>
      <c r="L32" s="207">
        <f t="shared" si="7"/>
        <v>593280.9645759087</v>
      </c>
    </row>
    <row r="33" spans="2:12" ht="12.75">
      <c r="B33" s="209" t="s">
        <v>298</v>
      </c>
      <c r="C33" s="207">
        <f>IF(C32&gt;0,C32*0.15,0)</f>
        <v>815.853238890844</v>
      </c>
      <c r="D33" s="207">
        <f aca="true" t="shared" si="8" ref="D33:L33">IF(D32&gt;0,D32*0.15,0)</f>
        <v>17676.393313978984</v>
      </c>
      <c r="E33" s="207">
        <f t="shared" si="8"/>
        <v>26355.052938019075</v>
      </c>
      <c r="F33" s="207">
        <f t="shared" si="8"/>
        <v>34877.38890136468</v>
      </c>
      <c r="G33" s="207">
        <f t="shared" si="8"/>
        <v>43493.67377682095</v>
      </c>
      <c r="H33" s="207">
        <f t="shared" si="8"/>
        <v>52185.720383960725</v>
      </c>
      <c r="I33" s="207">
        <f t="shared" si="8"/>
        <v>61077.573570753324</v>
      </c>
      <c r="J33" s="207">
        <f t="shared" si="8"/>
        <v>70195.35988434481</v>
      </c>
      <c r="K33" s="207">
        <f t="shared" si="8"/>
        <v>79455.37984178707</v>
      </c>
      <c r="L33" s="207">
        <f t="shared" si="8"/>
        <v>88992.14468638631</v>
      </c>
    </row>
    <row r="34" spans="2:12" ht="12.75">
      <c r="B34" s="209" t="s">
        <v>299</v>
      </c>
      <c r="C34" s="207">
        <f>C32-C33</f>
        <v>4623.168353714782</v>
      </c>
      <c r="D34" s="207">
        <f aca="true" t="shared" si="9" ref="D34:L34">D32-D33</f>
        <v>100166.22877921425</v>
      </c>
      <c r="E34" s="207">
        <f t="shared" si="9"/>
        <v>149345.2999821081</v>
      </c>
      <c r="F34" s="207">
        <f t="shared" si="9"/>
        <v>197638.53710773317</v>
      </c>
      <c r="G34" s="207">
        <f t="shared" si="9"/>
        <v>246464.15140198538</v>
      </c>
      <c r="H34" s="207">
        <f t="shared" si="9"/>
        <v>295719.0821757774</v>
      </c>
      <c r="I34" s="207">
        <f t="shared" si="9"/>
        <v>346106.25023426884</v>
      </c>
      <c r="J34" s="207">
        <f t="shared" si="9"/>
        <v>397773.70601128734</v>
      </c>
      <c r="K34" s="207">
        <f t="shared" si="9"/>
        <v>450247.15243679343</v>
      </c>
      <c r="L34" s="207">
        <f t="shared" si="9"/>
        <v>504288.8198895224</v>
      </c>
    </row>
    <row r="35" spans="2:12" ht="12.75">
      <c r="B35" s="209" t="s">
        <v>300</v>
      </c>
      <c r="C35" s="207">
        <f>IF(C34&gt;0,C34*0.25,0)</f>
        <v>1155.7920884286955</v>
      </c>
      <c r="D35" s="207">
        <f aca="true" t="shared" si="10" ref="D35:L35">IF(D34&gt;0,D34*0.25,0)</f>
        <v>25041.55719480356</v>
      </c>
      <c r="E35" s="207">
        <f t="shared" si="10"/>
        <v>37336.32499552702</v>
      </c>
      <c r="F35" s="207">
        <f t="shared" si="10"/>
        <v>49409.63427693329</v>
      </c>
      <c r="G35" s="207">
        <f t="shared" si="10"/>
        <v>61616.037850496345</v>
      </c>
      <c r="H35" s="207">
        <f t="shared" si="10"/>
        <v>73929.77054394435</v>
      </c>
      <c r="I35" s="207">
        <f t="shared" si="10"/>
        <v>86526.56255856721</v>
      </c>
      <c r="J35" s="207">
        <f t="shared" si="10"/>
        <v>99443.42650282184</v>
      </c>
      <c r="K35" s="207">
        <f t="shared" si="10"/>
        <v>112561.78810919836</v>
      </c>
      <c r="L35" s="207">
        <f t="shared" si="10"/>
        <v>126072.2049723806</v>
      </c>
    </row>
    <row r="36" spans="2:12" ht="12.75">
      <c r="B36" s="206" t="s">
        <v>301</v>
      </c>
      <c r="C36" s="208">
        <f>C34-C35</f>
        <v>3467.3762652860864</v>
      </c>
      <c r="D36" s="208">
        <f aca="true" t="shared" si="11" ref="D36:L36">D34-D35</f>
        <v>75124.67158441068</v>
      </c>
      <c r="E36" s="208">
        <f t="shared" si="11"/>
        <v>112008.97498658107</v>
      </c>
      <c r="F36" s="208">
        <f t="shared" si="11"/>
        <v>148228.90283079987</v>
      </c>
      <c r="G36" s="208">
        <f t="shared" si="11"/>
        <v>184848.11355148902</v>
      </c>
      <c r="H36" s="208">
        <f t="shared" si="11"/>
        <v>221789.31163183306</v>
      </c>
      <c r="I36" s="208">
        <f t="shared" si="11"/>
        <v>259579.68767570163</v>
      </c>
      <c r="J36" s="208">
        <f t="shared" si="11"/>
        <v>298330.2795084655</v>
      </c>
      <c r="K36" s="208">
        <f t="shared" si="11"/>
        <v>337685.3643275951</v>
      </c>
      <c r="L36" s="208">
        <f t="shared" si="11"/>
        <v>378216.6149171418</v>
      </c>
    </row>
    <row r="38" spans="3:12" ht="12.75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ht="12.75">
      <c r="C39" s="6"/>
    </row>
  </sheetData>
  <mergeCells count="1">
    <mergeCell ref="B2:L2"/>
  </mergeCells>
  <printOptions/>
  <pageMargins left="0.75" right="0.75" top="1" bottom="1" header="0" footer="0"/>
  <pageSetup orientation="portrait" paperSize="9"/>
  <ignoredErrors>
    <ignoredError sqref="C35:L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M33"/>
  <sheetViews>
    <sheetView tabSelected="1" workbookViewId="0" topLeftCell="A1">
      <selection activeCell="H36" sqref="H36"/>
    </sheetView>
  </sheetViews>
  <sheetFormatPr defaultColWidth="11.421875" defaultRowHeight="12.75"/>
  <cols>
    <col min="2" max="2" width="33.28125" style="0" bestFit="1" customWidth="1"/>
    <col min="3" max="3" width="11.8515625" style="0" bestFit="1" customWidth="1"/>
    <col min="4" max="10" width="10.00390625" style="0" bestFit="1" customWidth="1"/>
    <col min="11" max="13" width="11.28125" style="0" bestFit="1" customWidth="1"/>
  </cols>
  <sheetData>
    <row r="2" spans="2:13" ht="18">
      <c r="B2" s="244" t="s">
        <v>200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2:13" ht="12.75">
      <c r="B3" s="132" t="s">
        <v>180</v>
      </c>
      <c r="C3" s="210">
        <v>0</v>
      </c>
      <c r="D3" s="210">
        <v>1</v>
      </c>
      <c r="E3" s="210">
        <v>2</v>
      </c>
      <c r="F3" s="210">
        <v>3</v>
      </c>
      <c r="G3" s="210">
        <v>4</v>
      </c>
      <c r="H3" s="210">
        <v>5</v>
      </c>
      <c r="I3" s="210">
        <v>6</v>
      </c>
      <c r="J3" s="210">
        <v>7</v>
      </c>
      <c r="K3" s="210">
        <v>8</v>
      </c>
      <c r="L3" s="210">
        <v>9</v>
      </c>
      <c r="M3" s="210">
        <v>10</v>
      </c>
    </row>
    <row r="4" spans="2:13" ht="12.75">
      <c r="B4" s="132" t="s">
        <v>181</v>
      </c>
      <c r="C4" s="211"/>
      <c r="D4" s="212">
        <f>SUM(D5:D7)</f>
        <v>495269.034526728</v>
      </c>
      <c r="E4" s="212">
        <f>SUM(E5:E7)</f>
        <v>632121.4750607619</v>
      </c>
      <c r="F4" s="212">
        <f aca="true" t="shared" si="0" ref="F4:M4">SUM(F5:F7)</f>
        <v>697224.2330258987</v>
      </c>
      <c r="G4" s="212">
        <f t="shared" si="0"/>
        <v>758716.1892072089</v>
      </c>
      <c r="H4" s="212">
        <f t="shared" si="0"/>
        <v>820828.9769883843</v>
      </c>
      <c r="I4" s="212">
        <f t="shared" si="0"/>
        <v>882231.2340641755</v>
      </c>
      <c r="J4" s="212">
        <f t="shared" si="0"/>
        <v>943612.1752188052</v>
      </c>
      <c r="K4" s="212">
        <f t="shared" si="0"/>
        <v>1004992.4768958001</v>
      </c>
      <c r="L4" s="212">
        <f t="shared" si="0"/>
        <v>1065643.603735086</v>
      </c>
      <c r="M4" s="212">
        <f t="shared" si="0"/>
        <v>1126272.8553292402</v>
      </c>
    </row>
    <row r="5" spans="2:13" ht="12.75">
      <c r="B5" s="131" t="s">
        <v>184</v>
      </c>
      <c r="C5" s="211"/>
      <c r="D5" s="211">
        <f>(DEMANDA!B84*DEMANDA!C25*DEMANDA!C23)+(DEMANDA!B84*DEMANDA!C24*DEMANDA!C22)</f>
        <v>237572.16924671998</v>
      </c>
      <c r="E5" s="211">
        <f>(DEMANDA!B85*DEMANDA!C25*DEMANDA!C23)+(DEMANDA!B85*DEMANDA!C24*DEMANDA!C22)</f>
        <v>304092.3766358016</v>
      </c>
      <c r="F5" s="211">
        <f>(DEMANDA!B86*DEMANDA!C25*DEMANDA!C23)+(DEMANDA!B86*DEMANDA!C24*DEMANDA!C22)</f>
        <v>335784.504013314</v>
      </c>
      <c r="G5" s="211">
        <f>(DEMANDA!B87*DEMANDA!C25*DEMANDA!C23)+(DEMANDA!B87*DEMANDA!C24*DEMANDA!C22)</f>
        <v>366431.78899047937</v>
      </c>
      <c r="H5" s="211">
        <f>(DEMANDA!B88*DEMANDA!C25*DEMANDA!C23)+(DEMANDA!B88*DEMANDA!C24*DEMANDA!C22)</f>
        <v>397047.7286956344</v>
      </c>
      <c r="I5" s="211">
        <f>(DEMANDA!B89*DEMANDA!C25*DEMANDA!C23)+(DEMANDA!B89*DEMANDA!C24*DEMANDA!C22)</f>
        <v>427662.728042629</v>
      </c>
      <c r="J5" s="211">
        <f>(DEMANDA!B90*DEMANDA!C25*DEMANDA!C23)+(DEMANDA!B90*DEMANDA!C24*DEMANDA!C22)</f>
        <v>458277.69917887886</v>
      </c>
      <c r="K5" s="211">
        <f>(DEMANDA!B91*DEMANDA!C25*DEMANDA!C23)+(DEMANDA!B91*DEMANDA!C24*DEMANDA!C22)</f>
        <v>488892.6694688063</v>
      </c>
      <c r="L5" s="211">
        <f>(DEMANDA!B92*DEMANDA!C25*DEMANDA!C23)+(DEMANDA!B92*DEMANDA!C24*DEMANDA!C22)</f>
        <v>519507.6397333441</v>
      </c>
      <c r="M5" s="211">
        <f>(DEMANDA!B93*DEMANDA!C25*DEMANDA!C23)+(DEMANDA!B93*DEMANDA!C24*DEMANDA!C22)</f>
        <v>550122.6099971202</v>
      </c>
    </row>
    <row r="6" spans="2:13" ht="12.75">
      <c r="B6" s="143" t="s">
        <v>185</v>
      </c>
      <c r="C6" s="211"/>
      <c r="D6" s="211">
        <f>(DEMANDA!C84*DEMANDA!G22)</f>
        <v>36457.78266900001</v>
      </c>
      <c r="E6" s="211">
        <f>DEMANDA!C85*DEMANDA!G22</f>
        <v>44843.07268287001</v>
      </c>
      <c r="F6" s="211">
        <f>DEMANDA!C86*DEMANDA!G22</f>
        <v>48740.409650186106</v>
      </c>
      <c r="G6" s="211">
        <f>DEMANDA!C87*DEMANDA!G22</f>
        <v>51044.7967193456</v>
      </c>
      <c r="H6" s="211">
        <f>DEMANDA!C88*DEMANDA!G22</f>
        <v>54030.550944940376</v>
      </c>
      <c r="I6" s="211">
        <f>DEMANDA!C89*DEMANDA!G22</f>
        <v>56307.59053184821</v>
      </c>
      <c r="J6" s="211">
        <f>DEMANDA!C90*DEMANDA!G22</f>
        <v>58563.36867959546</v>
      </c>
      <c r="K6" s="211">
        <f>DEMANDA!C91*DEMANDA!G22</f>
        <v>60818.508984167886</v>
      </c>
      <c r="L6" s="211">
        <f>DEMANDA!C92*DEMANDA!G22</f>
        <v>62344.47450006505</v>
      </c>
      <c r="M6" s="211">
        <f>DEMANDA!C93*DEMANDA!G22</f>
        <v>63848.564772301965</v>
      </c>
    </row>
    <row r="7" spans="2:13" ht="12.75">
      <c r="B7" s="143" t="s">
        <v>186</v>
      </c>
      <c r="C7" s="211"/>
      <c r="D7" s="211">
        <f>((DEMANDA!D84*DEMANDA!$C$40*DEMANDA!$C$51)+(DEMANDA!D84*DEMANDA!$C$41*DEMANDA!$C$52)+(DEMANDA!D84*DEMANDA!$C$42*DEMANDA!C53)+(DEMANDA!D84*DEMANDA!$C$43*DEMANDA!$C$54)+(DEMANDA!D84*DEMANDA!$C$44*DEMANDA!$C$55))+(DEMANDA!E84*DEMANDA!$C$57)</f>
        <v>221239.08261100797</v>
      </c>
      <c r="E7" s="211">
        <f>((DEMANDA!D85*DEMANDA!C40*DEMANDA!C51)+(DEMANDA!D85*DEMANDA!C41*DEMANDA!C52)+(DEMANDA!D85*DEMANDA!C42*DEMANDA!C53)+(DEMANDA!D85*DEMANDA!C43*DEMANDA!C54)+(DEMANDA!D85*DEMANDA!C44*DEMANDA!C55))+(DEMANDA!E85*DEMANDA!C57)</f>
        <v>283186.02574209025</v>
      </c>
      <c r="F7" s="211">
        <f>((DEMANDA!D86*DEMANDA!C40*DEMANDA!C51)+(DEMANDA!D86*DEMANDA!C41*DEMANDA!C52)+(DEMANDA!D86*DEMANDA!C42*DEMANDA!C53)+(DEMANDA!D86*DEMANDA!C43*DEMANDA!C54)+(DEMANDA!D86*DEMANDA!C44*DEMANDA!C55))+(DEMANDA!C57*DEMANDA!E86)</f>
        <v>312699.31936239864</v>
      </c>
      <c r="G7" s="211">
        <f>((DEMANDA!D87*DEMANDA!C40*DEMANDA!C51)+(DEMANDA!D87*DEMANDA!C41*DEMANDA!C52)+(DEMANDA!D87*DEMANDA!C42*DEMANDA!C53)+(DEMANDA!D87*DEMANDA!C43*DEMANDA!C54)+(DEMANDA!D87*DEMANDA!C44*DEMANDA!C55))+(DEMANDA!C57*DEMANDA!E87)</f>
        <v>341239.60349738394</v>
      </c>
      <c r="H7" s="211">
        <f>((DEMANDA!D88*DEMANDA!C40*DEMANDA!C51)+(DEMANDA!D88*DEMANDA!C41*DEMANDA!C52)+(DEMANDA!D88*DEMANDA!C42*DEMANDA!C53)+(DEMANDA!D88*DEMANDA!C43*DEMANDA!C54)+(DEMANDA!D88*DEMANDA!C44*DEMANDA!C55))+(DEMANDA!C57*DEMANDA!E88)</f>
        <v>369750.6973478095</v>
      </c>
      <c r="I7" s="211">
        <f>((DEMANDA!D89*DEMANDA!C40*DEMANDA!C51)+(DEMANDA!D89*DEMANDA!C41*DEMANDA!C52)+(DEMANDA!D89*DEMANDA!C42*DEMANDA!C53)+(DEMANDA!D89*DEMANDA!C43*DEMANDA!C54)+(DEMANDA!D89*DEMANDA!C44*DEMANDA!C55))+(DEMANDA!C57*DEMANDA!E89)</f>
        <v>398260.9154896983</v>
      </c>
      <c r="J7" s="211">
        <f>((DEMANDA!D90*DEMANDA!C40*DEMANDA!C51)+(DEMANDA!D90*DEMANDA!C41*DEMANDA!C52)+(DEMANDA!D90*DEMANDA!C42*DEMANDA!C53)+(DEMANDA!D90*DEMANDA!C43*DEMANDA!C54)+(DEMANDA!D90*DEMANDA!C44*DEMANDA!C55))+(DEMANDA!C57*DEMANDA!E90)</f>
        <v>426771.10736033093</v>
      </c>
      <c r="K7" s="211">
        <f>((DEMANDA!D91*DEMANDA!C40*DEMANDA!C51)+(DEMANDA!D91*DEMANDA!C41*DEMANDA!C52)+(DEMANDA!D91*DEMANDA!C42*DEMANDA!C53)+(DEMANDA!D91*DEMANDA!C43*DEMANDA!C54)+(DEMANDA!D91*DEMANDA!C44*DEMANDA!C55))+(DEMANDA!C57*DEMANDA!E91)</f>
        <v>455281.2984428259</v>
      </c>
      <c r="L7" s="211">
        <f>((DEMANDA!D92*DEMANDA!C40*DEMANDA!C51)+(DEMANDA!D92*DEMANDA!C41*DEMANDA!C52)+(DEMANDA!D92*DEMANDA!C42*DEMANDA!C53)+(DEMANDA!D92*DEMANDA!C43*DEMANDA!C54)+(DEMANDA!D92*DEMANDA!C44*DEMANDA!C55))+(DEMANDA!C57*DEMANDA!E92)</f>
        <v>483791.48950167676</v>
      </c>
      <c r="M7" s="211">
        <f>((DEMANDA!D93*DEMANDA!C40*DEMANDA!C51)+(DEMANDA!D93*DEMANDA!C41*DEMANDA!C52)+(DEMANDA!D93*DEMANDA!C42*DEMANDA!C53)+(DEMANDA!D93*DEMANDA!C43*DEMANDA!C54)+(DEMANDA!D93*DEMANDA!C44*DEMANDA!C55))+(DEMANDA!C57*DEMANDA!E93)</f>
        <v>512301.68055981817</v>
      </c>
    </row>
    <row r="8" spans="2:13" ht="12.75">
      <c r="B8" s="132" t="s">
        <v>182</v>
      </c>
      <c r="C8" s="211"/>
      <c r="D8" s="212">
        <f>SUM(D9:D12)</f>
        <v>489830.0129341223</v>
      </c>
      <c r="E8" s="212">
        <f aca="true" t="shared" si="1" ref="E8:M8">SUM(E9:E12)</f>
        <v>514278.8529675686</v>
      </c>
      <c r="F8" s="212">
        <f t="shared" si="1"/>
        <v>521523.88010577153</v>
      </c>
      <c r="G8" s="212">
        <f t="shared" si="1"/>
        <v>526200.263198111</v>
      </c>
      <c r="H8" s="212">
        <f t="shared" si="1"/>
        <v>530871.1518095781</v>
      </c>
      <c r="I8" s="212">
        <f t="shared" si="1"/>
        <v>534326.4315044375</v>
      </c>
      <c r="J8" s="212">
        <f t="shared" si="1"/>
        <v>536428.351413783</v>
      </c>
      <c r="K8" s="212">
        <f t="shared" si="1"/>
        <v>537023.411000168</v>
      </c>
      <c r="L8" s="212">
        <f t="shared" si="1"/>
        <v>535941.0714565055</v>
      </c>
      <c r="M8" s="212">
        <f t="shared" si="1"/>
        <v>532991.8907533315</v>
      </c>
    </row>
    <row r="9" spans="2:13" ht="12.75">
      <c r="B9" s="131" t="s">
        <v>187</v>
      </c>
      <c r="C9" s="211"/>
      <c r="D9" s="211">
        <f>'COSTOS OPERACIONALES'!E25</f>
        <v>168684.7043344</v>
      </c>
      <c r="E9" s="211">
        <f>'COSTOS OPERACIONALES'!D35</f>
        <v>201585.73404803197</v>
      </c>
      <c r="F9" s="211">
        <f>'COSTOS OPERACIONALES'!D36</f>
        <v>218212.69173124095</v>
      </c>
      <c r="G9" s="211">
        <f>'COSTOS OPERACIONALES'!D37</f>
        <v>234403.0177285372</v>
      </c>
      <c r="H9" s="211">
        <f>'COSTOS OPERACIONALES'!D38</f>
        <v>250633.3829645061</v>
      </c>
      <c r="I9" s="211">
        <f>'COSTOS OPERACIONALES'!D39</f>
        <v>266919.6817125627</v>
      </c>
      <c r="J9" s="211">
        <f>'COSTOS OPERACIONALES'!D40</f>
        <v>283264.0327709572</v>
      </c>
      <c r="K9" s="211">
        <f>'COSTOS OPERACIONALES'!D41</f>
        <v>299668.19093278644</v>
      </c>
      <c r="L9" s="211">
        <f>'COSTOS OPERACIONALES'!D42</f>
        <v>316133.9508078671</v>
      </c>
      <c r="M9" s="211">
        <f>'COSTOS OPERACIONALES'!D43</f>
        <v>332663.16045949794</v>
      </c>
    </row>
    <row r="10" spans="2:13" ht="12.75">
      <c r="B10" s="131" t="s">
        <v>188</v>
      </c>
      <c r="C10" s="211"/>
      <c r="D10" s="211">
        <f>'COSTOS NO OPERACIONALES'!F41</f>
        <v>98040</v>
      </c>
      <c r="E10" s="211">
        <f>D10</f>
        <v>98040</v>
      </c>
      <c r="F10" s="211">
        <f>E10</f>
        <v>98040</v>
      </c>
      <c r="G10" s="211">
        <f aca="true" t="shared" si="2" ref="G10:M10">F10</f>
        <v>98040</v>
      </c>
      <c r="H10" s="211">
        <f t="shared" si="2"/>
        <v>98040</v>
      </c>
      <c r="I10" s="211">
        <f t="shared" si="2"/>
        <v>98040</v>
      </c>
      <c r="J10" s="211">
        <f t="shared" si="2"/>
        <v>98040</v>
      </c>
      <c r="K10" s="211">
        <f t="shared" si="2"/>
        <v>98040</v>
      </c>
      <c r="L10" s="211">
        <f t="shared" si="2"/>
        <v>98040</v>
      </c>
      <c r="M10" s="211">
        <f t="shared" si="2"/>
        <v>98040</v>
      </c>
    </row>
    <row r="11" spans="2:13" ht="12.75">
      <c r="B11" s="131" t="s">
        <v>189</v>
      </c>
      <c r="C11" s="211"/>
      <c r="D11" s="211">
        <f>PRESTAMO!G7</f>
        <v>141337.5915997223</v>
      </c>
      <c r="E11" s="211">
        <f>PRESTAMO!G8</f>
        <v>132885.40191953667</v>
      </c>
      <c r="F11" s="211">
        <f>PRESTAMO!G9</f>
        <v>123503.47137453058</v>
      </c>
      <c r="G11" s="211">
        <f>PRESTAMO!G10</f>
        <v>113089.52846957385</v>
      </c>
      <c r="H11" s="211">
        <f>PRESTAMO!G11</f>
        <v>101530.05184507188</v>
      </c>
      <c r="I11" s="211">
        <f>PRESTAMO!G12</f>
        <v>88699.03279187469</v>
      </c>
      <c r="J11" s="211">
        <f>PRESTAMO!G13</f>
        <v>74456.6016428258</v>
      </c>
      <c r="K11" s="211">
        <f>PRESTAMO!G14</f>
        <v>58647.50306738154</v>
      </c>
      <c r="L11" s="211">
        <f>PRESTAMO!G15</f>
        <v>41099.40364863841</v>
      </c>
      <c r="M11" s="211">
        <f>PRESTAMO!G16</f>
        <v>21621.013293833534</v>
      </c>
    </row>
    <row r="12" spans="2:13" ht="12.75">
      <c r="B12" s="131" t="s">
        <v>190</v>
      </c>
      <c r="C12" s="211"/>
      <c r="D12" s="211">
        <f>DEPRECIACIONES!E18</f>
        <v>81767.717</v>
      </c>
      <c r="E12" s="211">
        <f>D12</f>
        <v>81767.717</v>
      </c>
      <c r="F12" s="211">
        <f>E12</f>
        <v>81767.717</v>
      </c>
      <c r="G12" s="211">
        <f>(DEPRECIACIONES!E18-DEPRECIACIONES!E12)</f>
        <v>80667.717</v>
      </c>
      <c r="H12" s="211">
        <f aca="true" t="shared" si="3" ref="H12:M12">G12</f>
        <v>80667.717</v>
      </c>
      <c r="I12" s="211">
        <f t="shared" si="3"/>
        <v>80667.717</v>
      </c>
      <c r="J12" s="211">
        <f t="shared" si="3"/>
        <v>80667.717</v>
      </c>
      <c r="K12" s="211">
        <f t="shared" si="3"/>
        <v>80667.717</v>
      </c>
      <c r="L12" s="211">
        <f t="shared" si="3"/>
        <v>80667.717</v>
      </c>
      <c r="M12" s="211">
        <f t="shared" si="3"/>
        <v>80667.717</v>
      </c>
    </row>
    <row r="13" spans="2:13" ht="12.75">
      <c r="B13" s="131" t="s">
        <v>195</v>
      </c>
      <c r="C13" s="211"/>
      <c r="D13" s="211">
        <f>D4-D8</f>
        <v>5439.021592605684</v>
      </c>
      <c r="E13" s="211">
        <f aca="true" t="shared" si="4" ref="E13:M13">E4-E8</f>
        <v>117842.62209319329</v>
      </c>
      <c r="F13" s="211">
        <f t="shared" si="4"/>
        <v>175700.35292012716</v>
      </c>
      <c r="G13" s="211">
        <f t="shared" si="4"/>
        <v>232515.92600909795</v>
      </c>
      <c r="H13" s="211">
        <f t="shared" si="4"/>
        <v>289957.8251788062</v>
      </c>
      <c r="I13" s="211">
        <f t="shared" si="4"/>
        <v>347904.80255973805</v>
      </c>
      <c r="J13" s="211">
        <f t="shared" si="4"/>
        <v>407183.82380502217</v>
      </c>
      <c r="K13" s="211">
        <f t="shared" si="4"/>
        <v>467969.06589563214</v>
      </c>
      <c r="L13" s="211">
        <f t="shared" si="4"/>
        <v>529702.5322785806</v>
      </c>
      <c r="M13" s="211">
        <f t="shared" si="4"/>
        <v>593280.9645759087</v>
      </c>
    </row>
    <row r="14" spans="2:13" ht="12.75">
      <c r="B14" s="131" t="s">
        <v>196</v>
      </c>
      <c r="C14" s="211"/>
      <c r="D14" s="211">
        <f>IF(D13&gt;0,D13*0.15,0)</f>
        <v>815.8532388908526</v>
      </c>
      <c r="E14" s="211">
        <f aca="true" t="shared" si="5" ref="E14:M14">IF(E13&gt;0,E13*0.15,0)</f>
        <v>17676.39331397899</v>
      </c>
      <c r="F14" s="211">
        <f t="shared" si="5"/>
        <v>26355.052938019075</v>
      </c>
      <c r="G14" s="211">
        <f t="shared" si="5"/>
        <v>34877.38890136469</v>
      </c>
      <c r="H14" s="211">
        <f t="shared" si="5"/>
        <v>43493.67377682093</v>
      </c>
      <c r="I14" s="211">
        <f t="shared" si="5"/>
        <v>52185.7203839607</v>
      </c>
      <c r="J14" s="211">
        <f t="shared" si="5"/>
        <v>61077.573570753324</v>
      </c>
      <c r="K14" s="211">
        <f t="shared" si="5"/>
        <v>70195.35988434481</v>
      </c>
      <c r="L14" s="211">
        <f t="shared" si="5"/>
        <v>79455.37984178709</v>
      </c>
      <c r="M14" s="211">
        <f t="shared" si="5"/>
        <v>88992.14468638631</v>
      </c>
    </row>
    <row r="15" spans="2:13" ht="12.75">
      <c r="B15" s="131" t="s">
        <v>197</v>
      </c>
      <c r="C15" s="211"/>
      <c r="D15" s="211">
        <f>D13-D14</f>
        <v>4623.168353714832</v>
      </c>
      <c r="E15" s="211">
        <f aca="true" t="shared" si="6" ref="E15:M15">E13-E14</f>
        <v>100166.2287792143</v>
      </c>
      <c r="F15" s="211">
        <f t="shared" si="6"/>
        <v>149345.2999821081</v>
      </c>
      <c r="G15" s="211">
        <f t="shared" si="6"/>
        <v>197638.53710773325</v>
      </c>
      <c r="H15" s="211">
        <f t="shared" si="6"/>
        <v>246464.15140198526</v>
      </c>
      <c r="I15" s="211">
        <f t="shared" si="6"/>
        <v>295719.08217577735</v>
      </c>
      <c r="J15" s="211">
        <f t="shared" si="6"/>
        <v>346106.25023426884</v>
      </c>
      <c r="K15" s="211">
        <f t="shared" si="6"/>
        <v>397773.70601128734</v>
      </c>
      <c r="L15" s="211">
        <f t="shared" si="6"/>
        <v>450247.1524367935</v>
      </c>
      <c r="M15" s="211">
        <f t="shared" si="6"/>
        <v>504288.8198895224</v>
      </c>
    </row>
    <row r="16" spans="2:13" ht="12.75">
      <c r="B16" s="131" t="s">
        <v>198</v>
      </c>
      <c r="C16" s="211"/>
      <c r="D16" s="211">
        <f>IF(D15&gt;0,D15*0.25,0)</f>
        <v>1155.792088428708</v>
      </c>
      <c r="E16" s="211">
        <f aca="true" t="shared" si="7" ref="E16:M16">IF(E15&gt;0,E15*0.25,0)</f>
        <v>25041.557194803576</v>
      </c>
      <c r="F16" s="211">
        <f t="shared" si="7"/>
        <v>37336.32499552702</v>
      </c>
      <c r="G16" s="211">
        <f t="shared" si="7"/>
        <v>49409.63427693331</v>
      </c>
      <c r="H16" s="211">
        <f t="shared" si="7"/>
        <v>61616.037850496316</v>
      </c>
      <c r="I16" s="211">
        <f t="shared" si="7"/>
        <v>73929.77054394434</v>
      </c>
      <c r="J16" s="211">
        <f t="shared" si="7"/>
        <v>86526.56255856721</v>
      </c>
      <c r="K16" s="211">
        <f t="shared" si="7"/>
        <v>99443.42650282184</v>
      </c>
      <c r="L16" s="211">
        <f t="shared" si="7"/>
        <v>112561.78810919837</v>
      </c>
      <c r="M16" s="211">
        <f t="shared" si="7"/>
        <v>126072.2049723806</v>
      </c>
    </row>
    <row r="17" spans="2:13" ht="12.75">
      <c r="B17" s="132" t="s">
        <v>183</v>
      </c>
      <c r="C17" s="211"/>
      <c r="D17" s="212">
        <f>D15-D16</f>
        <v>3467.376265286124</v>
      </c>
      <c r="E17" s="212">
        <f aca="true" t="shared" si="8" ref="E17:M17">E15-E16</f>
        <v>75124.67158441072</v>
      </c>
      <c r="F17" s="212">
        <f t="shared" si="8"/>
        <v>112008.97498658107</v>
      </c>
      <c r="G17" s="212">
        <f t="shared" si="8"/>
        <v>148228.90283079993</v>
      </c>
      <c r="H17" s="212">
        <f t="shared" si="8"/>
        <v>184848.11355148896</v>
      </c>
      <c r="I17" s="212">
        <f t="shared" si="8"/>
        <v>221789.31163183303</v>
      </c>
      <c r="J17" s="212">
        <f t="shared" si="8"/>
        <v>259579.68767570163</v>
      </c>
      <c r="K17" s="212">
        <f t="shared" si="8"/>
        <v>298330.2795084655</v>
      </c>
      <c r="L17" s="212">
        <f t="shared" si="8"/>
        <v>337685.3643275951</v>
      </c>
      <c r="M17" s="212">
        <f t="shared" si="8"/>
        <v>378216.6149171418</v>
      </c>
    </row>
    <row r="18" spans="2:13" ht="12.75">
      <c r="B18" s="131" t="s">
        <v>190</v>
      </c>
      <c r="C18" s="211"/>
      <c r="D18" s="211">
        <f>D12</f>
        <v>81767.717</v>
      </c>
      <c r="E18" s="211">
        <f>E12</f>
        <v>81767.717</v>
      </c>
      <c r="F18" s="211">
        <f aca="true" t="shared" si="9" ref="F18:M18">F12</f>
        <v>81767.717</v>
      </c>
      <c r="G18" s="211">
        <f t="shared" si="9"/>
        <v>80667.717</v>
      </c>
      <c r="H18" s="211">
        <f t="shared" si="9"/>
        <v>80667.717</v>
      </c>
      <c r="I18" s="211">
        <f t="shared" si="9"/>
        <v>80667.717</v>
      </c>
      <c r="J18" s="211">
        <f t="shared" si="9"/>
        <v>80667.717</v>
      </c>
      <c r="K18" s="211">
        <f t="shared" si="9"/>
        <v>80667.717</v>
      </c>
      <c r="L18" s="211">
        <f t="shared" si="9"/>
        <v>80667.717</v>
      </c>
      <c r="M18" s="211">
        <f t="shared" si="9"/>
        <v>80667.717</v>
      </c>
    </row>
    <row r="19" spans="2:13" ht="12.75">
      <c r="B19" s="131" t="s">
        <v>194</v>
      </c>
      <c r="C19" s="211">
        <f>-'INVERSION INICIAL'!K57</f>
        <v>-1828984.15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2:13" ht="12.75">
      <c r="B20" s="131" t="s">
        <v>191</v>
      </c>
      <c r="C20" s="211">
        <f>'CAPITAL DE TRABAJO'!C7</f>
        <v>-6568.987658731496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>
        <f>-C20</f>
        <v>6568.987658731496</v>
      </c>
    </row>
    <row r="21" spans="2:13" ht="12.75">
      <c r="B21" s="131" t="s">
        <v>193</v>
      </c>
      <c r="C21" s="211">
        <f>PRESTAMO!C7</f>
        <v>1284887.196361112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</row>
    <row r="22" spans="2:13" ht="12.75">
      <c r="B22" s="131" t="s">
        <v>192</v>
      </c>
      <c r="C22" s="211"/>
      <c r="D22" s="211">
        <f>PRESTAMO!H7</f>
        <v>76838.08800168769</v>
      </c>
      <c r="E22" s="211">
        <f>PRESTAMO!H8</f>
        <v>85290.27768187333</v>
      </c>
      <c r="F22" s="211">
        <f>PRESTAMO!H9</f>
        <v>94672.20822687942</v>
      </c>
      <c r="G22" s="211">
        <f>PRESTAMO!H10</f>
        <v>105086.15113183614</v>
      </c>
      <c r="H22" s="211">
        <f>PRESTAMO!H11</f>
        <v>116645.62775633812</v>
      </c>
      <c r="I22" s="211">
        <f>PRESTAMO!H12</f>
        <v>129476.6468095353</v>
      </c>
      <c r="J22" s="211">
        <f>PRESTAMO!H13</f>
        <v>143719.07795858418</v>
      </c>
      <c r="K22" s="211">
        <f>PRESTAMO!H14</f>
        <v>159528.17653402846</v>
      </c>
      <c r="L22" s="211">
        <f>PRESTAMO!H15</f>
        <v>177076.2759527716</v>
      </c>
      <c r="M22" s="211">
        <f>PRESTAMO!H16</f>
        <v>196554.66630757647</v>
      </c>
    </row>
    <row r="23" spans="2:13" ht="12.75">
      <c r="B23" s="143" t="s">
        <v>262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>
        <f>'VALOR DE DESECHO'!H20</f>
        <v>718706.98</v>
      </c>
    </row>
    <row r="24" spans="2:13" ht="12.75">
      <c r="B24" s="132" t="s">
        <v>199</v>
      </c>
      <c r="C24" s="211">
        <f>SUM(C19:C21)</f>
        <v>-550665.9412976194</v>
      </c>
      <c r="D24" s="211">
        <f>D17+D18-D22</f>
        <v>8397.005263598432</v>
      </c>
      <c r="E24" s="211">
        <f aca="true" t="shared" si="10" ref="E24:L24">E17+E18-E22</f>
        <v>71602.11090253739</v>
      </c>
      <c r="F24" s="211">
        <f t="shared" si="10"/>
        <v>99104.48375970166</v>
      </c>
      <c r="G24" s="211">
        <f t="shared" si="10"/>
        <v>123810.46869896378</v>
      </c>
      <c r="H24" s="211">
        <f t="shared" si="10"/>
        <v>148870.20279515086</v>
      </c>
      <c r="I24" s="211">
        <f t="shared" si="10"/>
        <v>172980.38182229773</v>
      </c>
      <c r="J24" s="211">
        <f t="shared" si="10"/>
        <v>196528.32671711745</v>
      </c>
      <c r="K24" s="211">
        <f t="shared" si="10"/>
        <v>219469.81997443704</v>
      </c>
      <c r="L24" s="211">
        <f t="shared" si="10"/>
        <v>241276.8053748235</v>
      </c>
      <c r="M24" s="211">
        <f>M17+M18+M20-M22+M23</f>
        <v>987605.6332682968</v>
      </c>
    </row>
    <row r="26" ht="12.75">
      <c r="E26" s="6"/>
    </row>
    <row r="27" spans="2:3" ht="12.75">
      <c r="B27" s="96" t="s">
        <v>479</v>
      </c>
      <c r="C27" s="98">
        <f>TMAR!C15</f>
        <v>0.19931000000000004</v>
      </c>
    </row>
    <row r="28" spans="2:3" ht="12.75">
      <c r="B28" s="97" t="s">
        <v>477</v>
      </c>
      <c r="C28" s="99">
        <f>(NPV(C27,D24:M24))+C24</f>
        <v>55317.54389620607</v>
      </c>
    </row>
    <row r="29" spans="2:4" ht="12.75">
      <c r="B29" s="3" t="s">
        <v>478</v>
      </c>
      <c r="C29" s="98">
        <f>IRR(C24:M24)</f>
        <v>0.21703184595260183</v>
      </c>
      <c r="D29" s="99"/>
    </row>
    <row r="30" spans="5:13" ht="12.75">
      <c r="E30" s="6"/>
      <c r="F30" s="6"/>
      <c r="G30" s="6"/>
      <c r="H30" s="6"/>
      <c r="I30" s="6"/>
      <c r="J30" s="6"/>
      <c r="K30" s="6"/>
      <c r="L30" s="6"/>
      <c r="M30" s="6"/>
    </row>
    <row r="31" spans="4:13" ht="12.75">
      <c r="D31" s="6"/>
      <c r="E31" s="6"/>
      <c r="F31" s="6"/>
      <c r="G31" s="6"/>
      <c r="H31" s="6"/>
      <c r="I31" s="6"/>
      <c r="J31" s="6"/>
      <c r="K31" s="6"/>
      <c r="L31" s="6"/>
      <c r="M31" s="6"/>
    </row>
    <row r="33" spans="4:13" ht="12.75"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1">
    <mergeCell ref="B2:M2"/>
  </mergeCells>
  <printOptions/>
  <pageMargins left="0.75" right="0.75" top="1" bottom="1" header="0" footer="0"/>
  <pageSetup orientation="portrait" paperSize="9"/>
  <ignoredErrors>
    <ignoredError sqref="E11:F11 H11 D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Usuario Final</cp:lastModifiedBy>
  <dcterms:created xsi:type="dcterms:W3CDTF">2010-02-01T05:31:02Z</dcterms:created>
  <dcterms:modified xsi:type="dcterms:W3CDTF">2010-02-28T03:23:54Z</dcterms:modified>
  <cp:category/>
  <cp:version/>
  <cp:contentType/>
  <cp:contentStatus/>
</cp:coreProperties>
</file>