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0740" firstSheet="7" activeTab="8"/>
  </bookViews>
  <sheets>
    <sheet name="DEMANDA" sheetId="1" r:id="rId1"/>
    <sheet name="INVERSION INICIAL" sheetId="2" r:id="rId2"/>
    <sheet name="INGRESOS" sheetId="12" r:id="rId3"/>
    <sheet name="CAPITAL DE TRABAJO" sheetId="7" r:id="rId4"/>
    <sheet name="COSTOS OPERACIONALES" sheetId="3" r:id="rId5"/>
    <sheet name="COSTOS NO OPERACIONALES" sheetId="8" r:id="rId6"/>
    <sheet name="DEPRECIACIONES" sheetId="6" r:id="rId7"/>
    <sheet name="ESTADO DE PERDIDAS Y GANANCIAS" sheetId="10" r:id="rId8"/>
    <sheet name="FLUJO DE CAJA" sheetId="4" r:id="rId9"/>
    <sheet name="PRESTAMO" sheetId="5" r:id="rId10"/>
    <sheet name="VALOR DE DESECHO" sheetId="9" r:id="rId11"/>
    <sheet name="TMAR" sheetId="13" r:id="rId12"/>
    <sheet name="PAYBACK" sheetId="11" r:id="rId13"/>
  </sheets>
  <calcPr calcId="125725"/>
</workbook>
</file>

<file path=xl/calcChain.xml><?xml version="1.0" encoding="utf-8"?>
<calcChain xmlns="http://schemas.openxmlformats.org/spreadsheetml/2006/main">
  <c r="E65" i="2"/>
  <c r="C6" i="6"/>
  <c r="E78" i="2"/>
  <c r="C7" i="6"/>
  <c r="D66" i="2"/>
  <c r="C20" i="3"/>
  <c r="C22"/>
  <c r="J36" i="2"/>
  <c r="J37"/>
  <c r="J38"/>
  <c r="J39"/>
  <c r="K35"/>
  <c r="K28"/>
  <c r="K31"/>
  <c r="K41"/>
  <c r="K48"/>
  <c r="J55" s="1"/>
  <c r="E34"/>
  <c r="E35"/>
  <c r="E36"/>
  <c r="E33"/>
  <c r="F36"/>
  <c r="E40"/>
  <c r="E43"/>
  <c r="E44"/>
  <c r="E45"/>
  <c r="E46"/>
  <c r="E39"/>
  <c r="F46" s="1"/>
  <c r="E41"/>
  <c r="E42"/>
  <c r="E52"/>
  <c r="E53"/>
  <c r="E54"/>
  <c r="E55"/>
  <c r="E49"/>
  <c r="F55" s="1"/>
  <c r="E50"/>
  <c r="E51"/>
  <c r="E60"/>
  <c r="E61"/>
  <c r="E62"/>
  <c r="E58"/>
  <c r="E59"/>
  <c r="F62" s="1"/>
  <c r="E74"/>
  <c r="E70"/>
  <c r="E68"/>
  <c r="E67"/>
  <c r="E66"/>
  <c r="E69"/>
  <c r="E71"/>
  <c r="E72"/>
  <c r="E73"/>
  <c r="E75"/>
  <c r="F75"/>
  <c r="E86"/>
  <c r="E85"/>
  <c r="E84"/>
  <c r="E83"/>
  <c r="E82"/>
  <c r="E81"/>
  <c r="E79"/>
  <c r="E80"/>
  <c r="E87"/>
  <c r="F87"/>
  <c r="E91"/>
  <c r="E92"/>
  <c r="E93"/>
  <c r="E90"/>
  <c r="F93" s="1"/>
  <c r="E97"/>
  <c r="E96"/>
  <c r="F97"/>
  <c r="E6"/>
  <c r="E7"/>
  <c r="F7" s="1"/>
  <c r="E10"/>
  <c r="F12" s="1"/>
  <c r="E11"/>
  <c r="E12"/>
  <c r="E15"/>
  <c r="F15" s="1"/>
  <c r="E18"/>
  <c r="F18" s="1"/>
  <c r="E21"/>
  <c r="F21" s="1"/>
  <c r="E24"/>
  <c r="F24" s="1"/>
  <c r="E27"/>
  <c r="F27" s="1"/>
  <c r="E30"/>
  <c r="F30" s="1"/>
  <c r="E100"/>
  <c r="F101" s="1"/>
  <c r="K13"/>
  <c r="K16"/>
  <c r="K20"/>
  <c r="J54" s="1"/>
  <c r="G11" i="1"/>
  <c r="G15" s="1"/>
  <c r="I66" i="2"/>
  <c r="I64"/>
  <c r="N10" i="7"/>
  <c r="E5" i="3"/>
  <c r="E10"/>
  <c r="E8"/>
  <c r="E15"/>
  <c r="E16"/>
  <c r="E25" i="8"/>
  <c r="F38"/>
  <c r="F39"/>
  <c r="E7" i="6"/>
  <c r="C20" i="10" s="1"/>
  <c r="D20" s="1"/>
  <c r="E20" s="1"/>
  <c r="F20" s="1"/>
  <c r="G20" s="1"/>
  <c r="H20" s="1"/>
  <c r="I20" s="1"/>
  <c r="J20" s="1"/>
  <c r="K20" s="1"/>
  <c r="L20" s="1"/>
  <c r="C8" i="6"/>
  <c r="E8"/>
  <c r="C9"/>
  <c r="E9"/>
  <c r="C22" i="10" s="1"/>
  <c r="D22" s="1"/>
  <c r="E22" s="1"/>
  <c r="F22" s="1"/>
  <c r="G22" s="1"/>
  <c r="H22" s="1"/>
  <c r="I22" s="1"/>
  <c r="J22" s="1"/>
  <c r="K22" s="1"/>
  <c r="L22" s="1"/>
  <c r="C10" i="6"/>
  <c r="E10"/>
  <c r="C11"/>
  <c r="E11"/>
  <c r="C24" i="10" s="1"/>
  <c r="D24" s="1"/>
  <c r="E24" s="1"/>
  <c r="F24" s="1"/>
  <c r="G24" s="1"/>
  <c r="H24" s="1"/>
  <c r="I24" s="1"/>
  <c r="J24" s="1"/>
  <c r="K24" s="1"/>
  <c r="L24" s="1"/>
  <c r="C12" i="6"/>
  <c r="E12"/>
  <c r="C13"/>
  <c r="E13"/>
  <c r="C26" i="10" s="1"/>
  <c r="D26" s="1"/>
  <c r="E26" s="1"/>
  <c r="F26" s="1"/>
  <c r="G26" s="1"/>
  <c r="H26" s="1"/>
  <c r="I26" s="1"/>
  <c r="J26" s="1"/>
  <c r="K26" s="1"/>
  <c r="L26" s="1"/>
  <c r="C14" i="6"/>
  <c r="E14"/>
  <c r="C15"/>
  <c r="E15"/>
  <c r="C28" i="10" s="1"/>
  <c r="D28" s="1"/>
  <c r="E28" s="1"/>
  <c r="F28" s="1"/>
  <c r="G28" s="1"/>
  <c r="H28" s="1"/>
  <c r="I28" s="1"/>
  <c r="J28" s="1"/>
  <c r="K28" s="1"/>
  <c r="L28" s="1"/>
  <c r="C16" i="6"/>
  <c r="E16"/>
  <c r="C9" i="9"/>
  <c r="E9" s="1"/>
  <c r="G9" s="1"/>
  <c r="C10"/>
  <c r="E10" s="1"/>
  <c r="G10" s="1"/>
  <c r="C11"/>
  <c r="E11" s="1"/>
  <c r="G11" s="1"/>
  <c r="C12"/>
  <c r="E12" s="1"/>
  <c r="G12" s="1"/>
  <c r="C13"/>
  <c r="E13" s="1"/>
  <c r="G13" s="1"/>
  <c r="C14"/>
  <c r="E14" s="1"/>
  <c r="G14" s="1"/>
  <c r="C15"/>
  <c r="E15" s="1"/>
  <c r="G15" s="1"/>
  <c r="C16"/>
  <c r="E16" s="1"/>
  <c r="G16" s="1"/>
  <c r="C17"/>
  <c r="E17" s="1"/>
  <c r="G17" s="1"/>
  <c r="C18"/>
  <c r="E18" s="1"/>
  <c r="G18" s="1"/>
  <c r="C27" i="4"/>
  <c r="C13" i="13"/>
  <c r="J41" i="8"/>
  <c r="J30"/>
  <c r="J31"/>
  <c r="J32"/>
  <c r="J33"/>
  <c r="J34"/>
  <c r="E12"/>
  <c r="J36"/>
  <c r="E22"/>
  <c r="J37"/>
  <c r="E16"/>
  <c r="J38"/>
  <c r="E19"/>
  <c r="J39"/>
  <c r="J40"/>
  <c r="E29"/>
  <c r="J42" s="1"/>
  <c r="J43"/>
  <c r="J44"/>
  <c r="F34"/>
  <c r="J19" s="1"/>
  <c r="J20"/>
  <c r="J21"/>
  <c r="G34" i="3"/>
  <c r="G36"/>
  <c r="G35"/>
  <c r="G38"/>
  <c r="G39"/>
  <c r="C20" i="5"/>
  <c r="I72" i="2"/>
  <c r="I74"/>
  <c r="I75"/>
  <c r="I76"/>
  <c r="I77"/>
  <c r="I78"/>
  <c r="I79"/>
  <c r="C29" i="10"/>
  <c r="D29" s="1"/>
  <c r="E29" s="1"/>
  <c r="F29" s="1"/>
  <c r="G29" s="1"/>
  <c r="H29" s="1"/>
  <c r="I29" s="1"/>
  <c r="J29" s="1"/>
  <c r="K29" s="1"/>
  <c r="L29" s="1"/>
  <c r="C21"/>
  <c r="D21" s="1"/>
  <c r="E21" s="1"/>
  <c r="F21" s="1"/>
  <c r="G21" s="1"/>
  <c r="H21" s="1"/>
  <c r="I21" s="1"/>
  <c r="J21" s="1"/>
  <c r="K21" s="1"/>
  <c r="L21" s="1"/>
  <c r="C23"/>
  <c r="D23" s="1"/>
  <c r="E23" s="1"/>
  <c r="F23" s="1"/>
  <c r="G23" s="1"/>
  <c r="H23" s="1"/>
  <c r="I23" s="1"/>
  <c r="J23" s="1"/>
  <c r="K23" s="1"/>
  <c r="L23" s="1"/>
  <c r="C25"/>
  <c r="D25" s="1"/>
  <c r="E25" s="1"/>
  <c r="C27"/>
  <c r="D27" s="1"/>
  <c r="E27" s="1"/>
  <c r="F27" s="1"/>
  <c r="G27" s="1"/>
  <c r="H27" s="1"/>
  <c r="I27" s="1"/>
  <c r="J27" s="1"/>
  <c r="K27" s="1"/>
  <c r="L27" s="1"/>
  <c r="C7"/>
  <c r="D7" s="1"/>
  <c r="E7" s="1"/>
  <c r="F7" s="1"/>
  <c r="G7" s="1"/>
  <c r="H7" s="1"/>
  <c r="I7" s="1"/>
  <c r="J7" s="1"/>
  <c r="K7" s="1"/>
  <c r="L7" s="1"/>
  <c r="C8"/>
  <c r="D8" s="1"/>
  <c r="E8" s="1"/>
  <c r="F8" s="1"/>
  <c r="G8" s="1"/>
  <c r="H8" s="1"/>
  <c r="I8" s="1"/>
  <c r="J8" s="1"/>
  <c r="K8" s="1"/>
  <c r="L8" s="1"/>
  <c r="C9"/>
  <c r="D9" s="1"/>
  <c r="E9" s="1"/>
  <c r="F9" s="1"/>
  <c r="G9" s="1"/>
  <c r="H9" s="1"/>
  <c r="I9" s="1"/>
  <c r="J9" s="1"/>
  <c r="K9" s="1"/>
  <c r="L9" s="1"/>
  <c r="C11"/>
  <c r="D11" s="1"/>
  <c r="E11" s="1"/>
  <c r="F11" s="1"/>
  <c r="G11" s="1"/>
  <c r="H11" s="1"/>
  <c r="I11" s="1"/>
  <c r="J11" s="1"/>
  <c r="K11" s="1"/>
  <c r="L11" s="1"/>
  <c r="C12"/>
  <c r="D12" s="1"/>
  <c r="E12" s="1"/>
  <c r="F12" s="1"/>
  <c r="G12" s="1"/>
  <c r="H12" s="1"/>
  <c r="I12" s="1"/>
  <c r="J12" s="1"/>
  <c r="K12" s="1"/>
  <c r="L12" s="1"/>
  <c r="C16"/>
  <c r="D16" s="1"/>
  <c r="E16" s="1"/>
  <c r="F16" s="1"/>
  <c r="G16" s="1"/>
  <c r="H16" s="1"/>
  <c r="I16" s="1"/>
  <c r="J16" s="1"/>
  <c r="K16" s="1"/>
  <c r="L16" s="1"/>
  <c r="C17"/>
  <c r="D17" s="1"/>
  <c r="E17" s="1"/>
  <c r="F17" s="1"/>
  <c r="G17" s="1"/>
  <c r="H17" s="1"/>
  <c r="I17" s="1"/>
  <c r="J17" s="1"/>
  <c r="K17" s="1"/>
  <c r="L17" s="1"/>
  <c r="C18"/>
  <c r="D18" s="1"/>
  <c r="E18" s="1"/>
  <c r="F18" s="1"/>
  <c r="G18" s="1"/>
  <c r="H18" s="1"/>
  <c r="I18" s="1"/>
  <c r="J18" s="1"/>
  <c r="K18" s="1"/>
  <c r="L18" s="1"/>
  <c r="C11" i="1"/>
  <c r="C14" s="1"/>
  <c r="D52"/>
  <c r="E52" s="1"/>
  <c r="D53"/>
  <c r="E53" s="1"/>
  <c r="D54"/>
  <c r="E54" s="1"/>
  <c r="D55"/>
  <c r="E55" s="1"/>
  <c r="D51"/>
  <c r="E51" s="1"/>
  <c r="C14" i="3" l="1"/>
  <c r="E13" s="1"/>
  <c r="C8" i="9"/>
  <c r="E8" s="1"/>
  <c r="G8" s="1"/>
  <c r="E6" i="6"/>
  <c r="C19" i="10" s="1"/>
  <c r="D19" s="1"/>
  <c r="E19" s="1"/>
  <c r="F19" s="1"/>
  <c r="G19" s="1"/>
  <c r="H19" s="1"/>
  <c r="I19" s="1"/>
  <c r="J19" s="1"/>
  <c r="K19" s="1"/>
  <c r="L19" s="1"/>
  <c r="F6" i="8"/>
  <c r="J35"/>
  <c r="J45" s="1"/>
  <c r="C84" i="1"/>
  <c r="D6" i="4" s="1"/>
  <c r="C86" i="1"/>
  <c r="F6" i="4" s="1"/>
  <c r="G19" i="1"/>
  <c r="G21" s="1"/>
  <c r="G23" s="1"/>
  <c r="G24" s="1"/>
  <c r="C7" i="12" s="1"/>
  <c r="D7" s="1"/>
  <c r="E7" s="1"/>
  <c r="F7" s="1"/>
  <c r="G7" s="1"/>
  <c r="H7" s="1"/>
  <c r="I7" s="1"/>
  <c r="J7" s="1"/>
  <c r="K7" s="1"/>
  <c r="L7" s="1"/>
  <c r="C85" i="1"/>
  <c r="E6" i="4" s="1"/>
  <c r="C87" i="1"/>
  <c r="G6" i="4" s="1"/>
  <c r="B84" i="1"/>
  <c r="C19"/>
  <c r="C21" s="1"/>
  <c r="B85"/>
  <c r="F110" i="2"/>
  <c r="H18" i="9"/>
  <c r="H17"/>
  <c r="H16"/>
  <c r="H15"/>
  <c r="H14"/>
  <c r="H13"/>
  <c r="H12"/>
  <c r="H11"/>
  <c r="H10"/>
  <c r="H9"/>
  <c r="H8"/>
  <c r="G37" i="3" l="1"/>
  <c r="C10" i="10"/>
  <c r="D10" s="1"/>
  <c r="E10" s="1"/>
  <c r="F10" s="1"/>
  <c r="G10" s="1"/>
  <c r="H10" s="1"/>
  <c r="I10" s="1"/>
  <c r="J10" s="1"/>
  <c r="K10" s="1"/>
  <c r="L10" s="1"/>
  <c r="C34" i="3"/>
  <c r="C35" s="1"/>
  <c r="D85" i="1"/>
  <c r="E5" i="4"/>
  <c r="E85" i="1"/>
  <c r="E84"/>
  <c r="D5" i="4"/>
  <c r="D84" i="1"/>
  <c r="J53" i="2"/>
  <c r="C17" i="6"/>
  <c r="C26" i="1"/>
  <c r="C27" s="1"/>
  <c r="C61"/>
  <c r="C36" i="3"/>
  <c r="F41" i="8"/>
  <c r="D10" i="4" s="1"/>
  <c r="E10" s="1"/>
  <c r="F10" s="1"/>
  <c r="G10" s="1"/>
  <c r="H10" s="1"/>
  <c r="I10" s="1"/>
  <c r="J10" s="1"/>
  <c r="K10" s="1"/>
  <c r="L10" s="1"/>
  <c r="M10" s="1"/>
  <c r="J18" i="8"/>
  <c r="J22" s="1"/>
  <c r="B5" i="7"/>
  <c r="C5" s="1"/>
  <c r="D5" s="1"/>
  <c r="E5" s="1"/>
  <c r="F5" s="1"/>
  <c r="G5" s="1"/>
  <c r="H5" s="1"/>
  <c r="I5" s="1"/>
  <c r="J5" s="1"/>
  <c r="K5" s="1"/>
  <c r="L5" s="1"/>
  <c r="M5" s="1"/>
  <c r="C15" i="10"/>
  <c r="D15" s="1"/>
  <c r="E15" s="1"/>
  <c r="F15" s="1"/>
  <c r="G15" s="1"/>
  <c r="H15" s="1"/>
  <c r="I15" s="1"/>
  <c r="J15" s="1"/>
  <c r="K15" s="1"/>
  <c r="L15" s="1"/>
  <c r="B86" i="1"/>
  <c r="C88"/>
  <c r="H6" i="4" l="1"/>
  <c r="C89" i="1"/>
  <c r="C37" i="3"/>
  <c r="C6" i="12"/>
  <c r="I63" i="2"/>
  <c r="K57"/>
  <c r="I73"/>
  <c r="I80" s="1"/>
  <c r="E86" i="1"/>
  <c r="F5" i="4"/>
  <c r="F4" s="1"/>
  <c r="D86" i="1"/>
  <c r="F7" i="4" s="1"/>
  <c r="B87" i="1"/>
  <c r="C63"/>
  <c r="C62"/>
  <c r="C64" s="1"/>
  <c r="C8" i="12" s="1"/>
  <c r="D8" s="1"/>
  <c r="E8" s="1"/>
  <c r="F8" s="1"/>
  <c r="G8" s="1"/>
  <c r="H8" s="1"/>
  <c r="I8" s="1"/>
  <c r="J8" s="1"/>
  <c r="K8" s="1"/>
  <c r="L8" s="1"/>
  <c r="C21" i="3"/>
  <c r="E17" i="6"/>
  <c r="C19" i="9"/>
  <c r="D7" i="4"/>
  <c r="D4" s="1"/>
  <c r="D34" i="3"/>
  <c r="C13" i="10" s="1"/>
  <c r="E7" i="4"/>
  <c r="D35" i="3"/>
  <c r="E4" i="4"/>
  <c r="D13" i="10" l="1"/>
  <c r="E9" i="4"/>
  <c r="C4" i="10"/>
  <c r="C30"/>
  <c r="D30" s="1"/>
  <c r="E30" s="1"/>
  <c r="F30" s="1"/>
  <c r="G30" s="1"/>
  <c r="H30" s="1"/>
  <c r="I30" s="1"/>
  <c r="J30" s="1"/>
  <c r="K30" s="1"/>
  <c r="L30" s="1"/>
  <c r="E18" i="6"/>
  <c r="D87" i="1"/>
  <c r="G5" i="4"/>
  <c r="E87" i="1"/>
  <c r="B88"/>
  <c r="E4" i="10"/>
  <c r="D6" i="12"/>
  <c r="C9"/>
  <c r="C38" i="3"/>
  <c r="D4" i="10"/>
  <c r="E19" i="9"/>
  <c r="G19" s="1"/>
  <c r="H19" s="1"/>
  <c r="H20" s="1"/>
  <c r="M23" i="4" s="1"/>
  <c r="C23" i="3"/>
  <c r="D19" s="1"/>
  <c r="E19" s="1"/>
  <c r="C19" i="4"/>
  <c r="I6"/>
  <c r="C90" i="1"/>
  <c r="N8" i="7"/>
  <c r="D36" i="3"/>
  <c r="G40" l="1"/>
  <c r="G41" s="1"/>
  <c r="E25"/>
  <c r="E13" i="10"/>
  <c r="F9" i="4"/>
  <c r="C39" i="3"/>
  <c r="E6" i="12"/>
  <c r="D9"/>
  <c r="B8" i="7"/>
  <c r="E8"/>
  <c r="G8"/>
  <c r="I8"/>
  <c r="K8"/>
  <c r="M8"/>
  <c r="C8"/>
  <c r="D8"/>
  <c r="F8"/>
  <c r="H8"/>
  <c r="J8"/>
  <c r="L8"/>
  <c r="J6" i="4"/>
  <c r="C91" i="1"/>
  <c r="E88"/>
  <c r="H5" i="4"/>
  <c r="D88" i="1"/>
  <c r="H7" i="4" s="1"/>
  <c r="B89" i="1"/>
  <c r="D12" i="4"/>
  <c r="G12"/>
  <c r="G7"/>
  <c r="G4" s="1"/>
  <c r="D37" i="3"/>
  <c r="F4" i="10" l="1"/>
  <c r="D18" i="4"/>
  <c r="E12"/>
  <c r="F6" i="12"/>
  <c r="E9"/>
  <c r="C40" i="3"/>
  <c r="F13" i="10"/>
  <c r="G9" i="4"/>
  <c r="G18"/>
  <c r="H12"/>
  <c r="D89" i="1"/>
  <c r="I5" i="4"/>
  <c r="E89" i="1"/>
  <c r="B90"/>
  <c r="K6" i="4"/>
  <c r="C92" i="1"/>
  <c r="B4" i="7"/>
  <c r="D9" i="4"/>
  <c r="H4"/>
  <c r="D38" i="3"/>
  <c r="G13" i="10" l="1"/>
  <c r="H9" i="4"/>
  <c r="G4" i="10"/>
  <c r="B6" i="7"/>
  <c r="C7" s="1"/>
  <c r="C4"/>
  <c r="C41" i="3"/>
  <c r="G6" i="12"/>
  <c r="F9"/>
  <c r="L6" i="4"/>
  <c r="C93" i="1"/>
  <c r="M6" i="4" s="1"/>
  <c r="E90" i="1"/>
  <c r="J5" i="4"/>
  <c r="D90" i="1"/>
  <c r="J7" i="4" s="1"/>
  <c r="B91" i="1"/>
  <c r="H18" i="4"/>
  <c r="I12"/>
  <c r="E18"/>
  <c r="F12"/>
  <c r="F18" s="1"/>
  <c r="I7"/>
  <c r="I4" s="1"/>
  <c r="D39" i="3"/>
  <c r="H13" i="10" l="1"/>
  <c r="I9" i="4"/>
  <c r="H4" i="10"/>
  <c r="G9" i="12"/>
  <c r="H6"/>
  <c r="C42" i="3"/>
  <c r="I65" i="2"/>
  <c r="I67" s="1"/>
  <c r="C20" i="4"/>
  <c r="C5" i="5"/>
  <c r="I18" i="4"/>
  <c r="J12"/>
  <c r="D91" i="1"/>
  <c r="K5" i="4"/>
  <c r="E91" i="1"/>
  <c r="B92"/>
  <c r="C6" i="7"/>
  <c r="D7" s="1"/>
  <c r="D4"/>
  <c r="J4" i="4"/>
  <c r="D40" i="3"/>
  <c r="I13" i="10" l="1"/>
  <c r="J9" i="4"/>
  <c r="E4" i="7"/>
  <c r="D6"/>
  <c r="E7" s="1"/>
  <c r="E92" i="1"/>
  <c r="L5" i="4"/>
  <c r="D92" i="1"/>
  <c r="L7" i="4" s="1"/>
  <c r="B93" i="1"/>
  <c r="J18" i="4"/>
  <c r="K12"/>
  <c r="C7" i="5"/>
  <c r="C6"/>
  <c r="C43" i="3"/>
  <c r="I4" i="10"/>
  <c r="M20" i="4"/>
  <c r="I6" i="12"/>
  <c r="H9"/>
  <c r="K7" i="4"/>
  <c r="K4" s="1"/>
  <c r="D41" i="3"/>
  <c r="J13" i="10" l="1"/>
  <c r="K9" i="4"/>
  <c r="J4" i="10"/>
  <c r="J6" i="12"/>
  <c r="I9"/>
  <c r="C21" i="4"/>
  <c r="C24" s="1"/>
  <c r="C10" i="5"/>
  <c r="F7" s="1"/>
  <c r="I6"/>
  <c r="C19"/>
  <c r="F4" i="7"/>
  <c r="E6"/>
  <c r="F7" s="1"/>
  <c r="K18" i="4"/>
  <c r="L12"/>
  <c r="D93" i="1"/>
  <c r="M5" i="4"/>
  <c r="E93" i="1"/>
  <c r="D42" i="3"/>
  <c r="L4" i="4"/>
  <c r="K4" i="10" l="1"/>
  <c r="G4" i="7"/>
  <c r="F6"/>
  <c r="G7" s="1"/>
  <c r="G7" i="5"/>
  <c r="B6" i="11"/>
  <c r="K6" i="12"/>
  <c r="J9"/>
  <c r="K13" i="10"/>
  <c r="L9" i="4"/>
  <c r="L18"/>
  <c r="M12"/>
  <c r="M18" s="1"/>
  <c r="F8" i="5"/>
  <c r="H7"/>
  <c r="D22" i="4" s="1"/>
  <c r="M7"/>
  <c r="D43" i="3"/>
  <c r="M4" i="4"/>
  <c r="L13" i="10" l="1"/>
  <c r="M9" i="4"/>
  <c r="D11"/>
  <c r="D8" s="1"/>
  <c r="D13" s="1"/>
  <c r="C31" i="10"/>
  <c r="C32" s="1"/>
  <c r="H4" i="7"/>
  <c r="G6"/>
  <c r="H7" s="1"/>
  <c r="L4" i="10"/>
  <c r="F9" i="5"/>
  <c r="K9" i="12"/>
  <c r="L6"/>
  <c r="L9" s="1"/>
  <c r="I7" i="5"/>
  <c r="G8" l="1"/>
  <c r="F10"/>
  <c r="I4" i="7"/>
  <c r="H6"/>
  <c r="I7" s="1"/>
  <c r="D14" i="4"/>
  <c r="D15" s="1"/>
  <c r="C33" i="10"/>
  <c r="C34" s="1"/>
  <c r="D16" i="4" l="1"/>
  <c r="D17" s="1"/>
  <c r="D24" s="1"/>
  <c r="C35" i="10"/>
  <c r="C36" s="1"/>
  <c r="J4" i="7"/>
  <c r="I6"/>
  <c r="J7" s="1"/>
  <c r="F11" i="5"/>
  <c r="E11" i="4"/>
  <c r="E8" s="1"/>
  <c r="E13" s="1"/>
  <c r="D31" i="10"/>
  <c r="D32" s="1"/>
  <c r="H8" i="5"/>
  <c r="C6" i="11" l="1"/>
  <c r="E22" i="4"/>
  <c r="I8" i="5"/>
  <c r="E14" i="4"/>
  <c r="E15"/>
  <c r="F12" i="5"/>
  <c r="K4" i="7"/>
  <c r="J6"/>
  <c r="K7" s="1"/>
  <c r="D33" i="10"/>
  <c r="D34" s="1"/>
  <c r="D35" l="1"/>
  <c r="D36" s="1"/>
  <c r="E16" i="4"/>
  <c r="E17" s="1"/>
  <c r="E24" s="1"/>
  <c r="G9" i="5"/>
  <c r="D6" i="11"/>
  <c r="E6" s="1"/>
  <c r="B7" s="1"/>
  <c r="L4" i="7"/>
  <c r="K6"/>
  <c r="L7" s="1"/>
  <c r="F13" i="5"/>
  <c r="C7" i="11" l="1"/>
  <c r="F14" i="5"/>
  <c r="M4" i="7"/>
  <c r="M6" s="1"/>
  <c r="L6"/>
  <c r="M7" s="1"/>
  <c r="F11" i="4"/>
  <c r="F8" s="1"/>
  <c r="F13" s="1"/>
  <c r="E31" i="10"/>
  <c r="E32" s="1"/>
  <c r="H9" i="5"/>
  <c r="F22" i="4" l="1"/>
  <c r="I9" i="5"/>
  <c r="F14" i="4"/>
  <c r="F15" s="1"/>
  <c r="F15" i="5"/>
  <c r="D7" i="11"/>
  <c r="E7" s="1"/>
  <c r="B8" s="1"/>
  <c r="E33" i="10"/>
  <c r="E34" s="1"/>
  <c r="E35" l="1"/>
  <c r="E36" s="1"/>
  <c r="F16" i="4"/>
  <c r="F17" s="1"/>
  <c r="F24" s="1"/>
  <c r="F16" i="5"/>
  <c r="G10"/>
  <c r="C8" i="11" l="1"/>
  <c r="G11" i="4"/>
  <c r="G8" s="1"/>
  <c r="G13" s="1"/>
  <c r="F31" i="10"/>
  <c r="F32" s="1"/>
  <c r="H10" i="5"/>
  <c r="D8" i="11" l="1"/>
  <c r="E8" s="1"/>
  <c r="B9" s="1"/>
  <c r="F33" i="10"/>
  <c r="F34" s="1"/>
  <c r="G22" i="4"/>
  <c r="I10" i="5"/>
  <c r="G14" i="4"/>
  <c r="G15" s="1"/>
  <c r="G16" l="1"/>
  <c r="G17" s="1"/>
  <c r="G24" s="1"/>
  <c r="F35" i="10"/>
  <c r="F36" s="1"/>
  <c r="G11" i="5"/>
  <c r="C9" i="11" l="1"/>
  <c r="H11" i="4"/>
  <c r="H8" s="1"/>
  <c r="H13" s="1"/>
  <c r="G31" i="10"/>
  <c r="G32" s="1"/>
  <c r="H11" i="5"/>
  <c r="D9" i="11" l="1"/>
  <c r="E9" s="1"/>
  <c r="B10" s="1"/>
  <c r="G33" i="10"/>
  <c r="G34" s="1"/>
  <c r="H22" i="4"/>
  <c r="I11" i="5"/>
  <c r="H14" i="4"/>
  <c r="H15" s="1"/>
  <c r="G35" i="10" l="1"/>
  <c r="G36" s="1"/>
  <c r="H16" i="4"/>
  <c r="H17" s="1"/>
  <c r="H24" s="1"/>
  <c r="C10" i="11" s="1"/>
  <c r="G12" i="5"/>
  <c r="D10" i="11" l="1"/>
  <c r="E10" s="1"/>
  <c r="B11" s="1"/>
  <c r="I11" i="4"/>
  <c r="I8" s="1"/>
  <c r="I13" s="1"/>
  <c r="H31" i="10"/>
  <c r="H32" s="1"/>
  <c r="H12" i="5"/>
  <c r="I22" i="4" l="1"/>
  <c r="I12" i="5"/>
  <c r="I14" i="4"/>
  <c r="I15"/>
  <c r="H33" i="10"/>
  <c r="H34" s="1"/>
  <c r="H36" l="1"/>
  <c r="H35"/>
  <c r="I16" i="4"/>
  <c r="I17" s="1"/>
  <c r="I24" s="1"/>
  <c r="C11" i="11" s="1"/>
  <c r="G13" i="5"/>
  <c r="D11" i="11" l="1"/>
  <c r="E11" s="1"/>
  <c r="B12" s="1"/>
  <c r="J11" i="4"/>
  <c r="J8" s="1"/>
  <c r="J13" s="1"/>
  <c r="I31" i="10"/>
  <c r="I32" s="1"/>
  <c r="H13" i="5"/>
  <c r="J22" i="4" l="1"/>
  <c r="I13" i="5"/>
  <c r="J14" i="4"/>
  <c r="J15"/>
  <c r="I33" i="10"/>
  <c r="I34"/>
  <c r="I35" l="1"/>
  <c r="I36" s="1"/>
  <c r="J16" i="4"/>
  <c r="J17" s="1"/>
  <c r="J24" s="1"/>
  <c r="C12" i="11" s="1"/>
  <c r="G14" i="5"/>
  <c r="D12" i="11" l="1"/>
  <c r="E12" s="1"/>
  <c r="B13" s="1"/>
  <c r="K11" i="4"/>
  <c r="K8" s="1"/>
  <c r="K13" s="1"/>
  <c r="J31" i="10"/>
  <c r="J32" s="1"/>
  <c r="H14" i="5"/>
  <c r="K22" i="4" l="1"/>
  <c r="I14" i="5"/>
  <c r="K14" i="4"/>
  <c r="K15"/>
  <c r="J33" i="10"/>
  <c r="J34" s="1"/>
  <c r="J35" l="1"/>
  <c r="J36" s="1"/>
  <c r="K16" i="4"/>
  <c r="K17" s="1"/>
  <c r="K24" s="1"/>
  <c r="C13" i="11" s="1"/>
  <c r="G15" i="5"/>
  <c r="D13" i="11" l="1"/>
  <c r="E13" s="1"/>
  <c r="B14" s="1"/>
  <c r="L11" i="4"/>
  <c r="L8" s="1"/>
  <c r="L13" s="1"/>
  <c r="K31" i="10"/>
  <c r="K32" s="1"/>
  <c r="H15" i="5"/>
  <c r="L22" i="4" l="1"/>
  <c r="I15" i="5"/>
  <c r="L14" i="4"/>
  <c r="L15"/>
  <c r="K33" i="10"/>
  <c r="K34"/>
  <c r="K35" l="1"/>
  <c r="K36" s="1"/>
  <c r="L16" i="4"/>
  <c r="L17" s="1"/>
  <c r="L24" s="1"/>
  <c r="C14" i="11" s="1"/>
  <c r="G16" i="5"/>
  <c r="D14" i="11" l="1"/>
  <c r="E14" s="1"/>
  <c r="B15" s="1"/>
  <c r="M11" i="4"/>
  <c r="M8" s="1"/>
  <c r="M13" s="1"/>
  <c r="L31" i="10"/>
  <c r="L32" s="1"/>
  <c r="H16" i="5"/>
  <c r="M22" i="4" l="1"/>
  <c r="I16" i="5"/>
  <c r="M14" i="4"/>
  <c r="M15" s="1"/>
  <c r="L33" i="10"/>
  <c r="L34" s="1"/>
  <c r="M16" i="4" l="1"/>
  <c r="M17" s="1"/>
  <c r="M24" s="1"/>
  <c r="L35" i="10"/>
  <c r="L36" s="1"/>
  <c r="C15" i="11" l="1"/>
  <c r="C29" i="4"/>
  <c r="C28"/>
  <c r="D15" i="11" l="1"/>
  <c r="E15" s="1"/>
</calcChain>
</file>

<file path=xl/sharedStrings.xml><?xml version="1.0" encoding="utf-8"?>
<sst xmlns="http://schemas.openxmlformats.org/spreadsheetml/2006/main" count="725" uniqueCount="516">
  <si>
    <t>COSTOS PARQUE ACUATICO 2.5 HECTAREAS</t>
  </si>
  <si>
    <t>CONCEPTO</t>
  </si>
  <si>
    <t>UNIDAD</t>
  </si>
  <si>
    <t>CANT</t>
  </si>
  <si>
    <t>PRECIOS UNIT USD</t>
  </si>
  <si>
    <t>MONTO</t>
  </si>
  <si>
    <t>TOTAL USD</t>
  </si>
  <si>
    <t>REJA PERIMETRAL</t>
  </si>
  <si>
    <t>REJA DE ACERO (h= 2.50 m)</t>
  </si>
  <si>
    <t>ml</t>
  </si>
  <si>
    <t>DALA DE DESPLANTE</t>
  </si>
  <si>
    <t>ESTACIONAMIENTO</t>
  </si>
  <si>
    <t>GRAVA</t>
  </si>
  <si>
    <t>m2</t>
  </si>
  <si>
    <t>ACARREO Y MANO DE OBRA</t>
  </si>
  <si>
    <t>TOPES DE 0.50 X 0.50 X 0.15</t>
  </si>
  <si>
    <t>INGRESO</t>
  </si>
  <si>
    <t>TAQUILLAS</t>
  </si>
  <si>
    <t>3 LOCALES</t>
  </si>
  <si>
    <t>EDIFICIO MANTENIMIENTO</t>
  </si>
  <si>
    <t>LOCALES</t>
  </si>
  <si>
    <t>RESTAURANT</t>
  </si>
  <si>
    <t>TERRAZA RESTAURANT EQUIPADO</t>
  </si>
  <si>
    <t>BAÑOS Y VESTIDORES</t>
  </si>
  <si>
    <t>BAÑOS Y VESTIDORES H Y M</t>
  </si>
  <si>
    <t>PISCINA SOCIAL</t>
  </si>
  <si>
    <t>EQUIPO DE BOMBAS Y FILTROS</t>
  </si>
  <si>
    <t xml:space="preserve"> lote</t>
  </si>
  <si>
    <t>INSTALACIÓN HIDRAULICA</t>
  </si>
  <si>
    <t>INSTALACIÓN ELECTRICA</t>
  </si>
  <si>
    <t>pza</t>
  </si>
  <si>
    <t>ÁREA INFANTIL 1</t>
  </si>
  <si>
    <t>FIBRA DE VIDRIO</t>
  </si>
  <si>
    <t>INSTALACIÓN</t>
  </si>
  <si>
    <t>CONCRETO EN LOSA</t>
  </si>
  <si>
    <t>ESCALERAS Y PLATAFORMAS</t>
  </si>
  <si>
    <t>INSTALACIÓN BOMBAS</t>
  </si>
  <si>
    <t>ÁREA INFANTIL 2</t>
  </si>
  <si>
    <t>RIO LENTO</t>
  </si>
  <si>
    <t>OBRA CIVIL RIO</t>
  </si>
  <si>
    <t>EQUIPO DE BOMBEO DE 20HP</t>
  </si>
  <si>
    <t>EQUIPO DE FILTROS</t>
  </si>
  <si>
    <t>lote</t>
  </si>
  <si>
    <t>TOBOGANES</t>
  </si>
  <si>
    <t>ACERO EN PLATAFORMA</t>
  </si>
  <si>
    <t>ACERO EN SOPORTERIA</t>
  </si>
  <si>
    <t>INSTALACIÓN DE ESTRUCTURAS</t>
  </si>
  <si>
    <t>CIMENTACIÓN EN ESTRUCTURAS</t>
  </si>
  <si>
    <t>PISCINAS DE LLEGADA</t>
  </si>
  <si>
    <t>INSTALACIÓN ELÉCTRICA</t>
  </si>
  <si>
    <t>INSTALACIÓN BOMBA</t>
  </si>
  <si>
    <t>AQUARACER 4 CARRILES</t>
  </si>
  <si>
    <t>kgs.</t>
  </si>
  <si>
    <t>ACERO EN SOPORTERÍA</t>
  </si>
  <si>
    <t>EQUIPO DE BOMBAS</t>
  </si>
  <si>
    <t>INSTALACIÓN DE BOMBAS</t>
  </si>
  <si>
    <t>OBRA CIVIL PISCINA</t>
  </si>
  <si>
    <t>INSTALACIÓN HIDRÁULICA</t>
  </si>
  <si>
    <t>AREAS VERDES</t>
  </si>
  <si>
    <t>JARDIN</t>
  </si>
  <si>
    <t>ARBOLES</t>
  </si>
  <si>
    <t>pza.</t>
  </si>
  <si>
    <t>ANDADORES</t>
  </si>
  <si>
    <t>CONCRETO ESTAMPADO</t>
  </si>
  <si>
    <t>OTROS</t>
  </si>
  <si>
    <t>HIDRAULICO</t>
  </si>
  <si>
    <t>PROYECTO CONSTRUCTIVO</t>
  </si>
  <si>
    <t>T O T A L  USD</t>
  </si>
  <si>
    <t>OFICINAS</t>
  </si>
  <si>
    <t>ENFERMERIA</t>
  </si>
  <si>
    <t>SERVICIO DE ENFERMERIA</t>
  </si>
  <si>
    <t>PISCINA GRANDE</t>
  </si>
  <si>
    <t>OBRA FÍSICA</t>
  </si>
  <si>
    <t>reconformación del terreno</t>
  </si>
  <si>
    <t>relleno y compactado</t>
  </si>
  <si>
    <t>asfaltado</t>
  </si>
  <si>
    <t>canales de drenaje</t>
  </si>
  <si>
    <t>LUMINARIAS</t>
  </si>
  <si>
    <t>costo (juego de 4)</t>
  </si>
  <si>
    <t>numero</t>
  </si>
  <si>
    <t>CESPED SINTETICO (+IVA)</t>
  </si>
  <si>
    <t>cantidad (metros)</t>
  </si>
  <si>
    <t>precio/mt2</t>
  </si>
  <si>
    <t>COMPUTADORAS</t>
  </si>
  <si>
    <t xml:space="preserve">cantidad  </t>
  </si>
  <si>
    <t>costo</t>
  </si>
  <si>
    <t>MUEBLES Y ENSERES</t>
  </si>
  <si>
    <t>PUBLICIDAD</t>
  </si>
  <si>
    <t>cantidad</t>
  </si>
  <si>
    <t>GASTOS DE INSTALACIÓN</t>
  </si>
  <si>
    <t>GASTOS DE CONSTITUCIÓN</t>
  </si>
  <si>
    <t>TOTAL</t>
  </si>
  <si>
    <t>COSTOS CANCHA SINTETICA</t>
  </si>
  <si>
    <t>CAJAS REGISTRADORAS</t>
  </si>
  <si>
    <t>EQUIPO DE COCINA</t>
  </si>
  <si>
    <t>TERRENO</t>
  </si>
  <si>
    <t>7 Escritorios</t>
  </si>
  <si>
    <t>6 Sillones</t>
  </si>
  <si>
    <t>6 Archivadores</t>
  </si>
  <si>
    <t>10 Sillas</t>
  </si>
  <si>
    <t>TERRENO, OFICINA Y RESTAURANTE</t>
  </si>
  <si>
    <t>AIRES ACONDICIONADOS</t>
  </si>
  <si>
    <t>INVERSION INICIAL TOTAL</t>
  </si>
  <si>
    <t>PARQUE ACUATICO</t>
  </si>
  <si>
    <t>CANCHA SINTETICA</t>
  </si>
  <si>
    <t>Toboganes</t>
  </si>
  <si>
    <t>Aquaracer</t>
  </si>
  <si>
    <t>Área Infantil 1</t>
  </si>
  <si>
    <t>Área Infantil 2</t>
  </si>
  <si>
    <t>Equipo de Bombas</t>
  </si>
  <si>
    <t>Césped sintético</t>
  </si>
  <si>
    <t>Equipo de Computación</t>
  </si>
  <si>
    <t>Muebles y Enseres</t>
  </si>
  <si>
    <t>Aires Acondicionados</t>
  </si>
  <si>
    <t>Equipo de Cocina</t>
  </si>
  <si>
    <t>DEPRECIACIONES</t>
  </si>
  <si>
    <t>COSTOS OPERACIONALES</t>
  </si>
  <si>
    <t>Agua para piscinas</t>
  </si>
  <si>
    <t>cantidad m3</t>
  </si>
  <si>
    <t>Energía Eléctrica</t>
  </si>
  <si>
    <t>MENSUAL</t>
  </si>
  <si>
    <t>ANUAL</t>
  </si>
  <si>
    <t>cambios al año</t>
  </si>
  <si>
    <t>Mantenimiento</t>
  </si>
  <si>
    <t>Piscinas</t>
  </si>
  <si>
    <t>veces al año</t>
  </si>
  <si>
    <t>Juegos Infantiles</t>
  </si>
  <si>
    <t>Cancha sintética</t>
  </si>
  <si>
    <t>COSTOS NO OPERACIONALES</t>
  </si>
  <si>
    <t>Teléfono</t>
  </si>
  <si>
    <t>Publicidad</t>
  </si>
  <si>
    <t>Gastos Administrativos</t>
  </si>
  <si>
    <t>Sueldo Gerente</t>
  </si>
  <si>
    <t>Servicios Básicos</t>
  </si>
  <si>
    <t>Sueldo Jefe Financiero</t>
  </si>
  <si>
    <t>Sueldo Jefe de Mantenimiento</t>
  </si>
  <si>
    <t>Sueldo Jefe de Marketing</t>
  </si>
  <si>
    <t>Sueldo Jefe de Personal</t>
  </si>
  <si>
    <t>Cajeros</t>
  </si>
  <si>
    <t>sueldo</t>
  </si>
  <si>
    <t>numero de personas</t>
  </si>
  <si>
    <t>Asistente de Mantenimiento</t>
  </si>
  <si>
    <t>Personal de Asistencia</t>
  </si>
  <si>
    <t>número de personas</t>
  </si>
  <si>
    <t>Personal de Cocina</t>
  </si>
  <si>
    <t>Personal de Limpieza</t>
  </si>
  <si>
    <t>Salvavidas</t>
  </si>
  <si>
    <t>Enfermera</t>
  </si>
  <si>
    <t>Seguridad</t>
  </si>
  <si>
    <t>Servicio de Internet</t>
  </si>
  <si>
    <t>Suministros de Oficina</t>
  </si>
  <si>
    <t>Agua</t>
  </si>
  <si>
    <t>Insumos de Limpieza</t>
  </si>
  <si>
    <t>CAPITAL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</si>
  <si>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</si>
  <si>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</si>
  <si>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</si>
  <si>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</si>
  <si>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</si>
  <si>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</si>
  <si>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</si>
  <si>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</si>
  <si>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</si>
  <si>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</si>
  <si>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</si>
  <si>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</si>
  <si>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</si>
  <si>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COSTO ACUMULADO</t>
  </si>
  <si>
    <t>INGRESO MENSUAL</t>
  </si>
  <si>
    <t>Inversión &amp; CT</t>
  </si>
  <si>
    <t>Capital propio</t>
  </si>
  <si>
    <t>Capital prestado</t>
  </si>
  <si>
    <t>Años</t>
  </si>
  <si>
    <t>GASTOS FINANCIEROS</t>
  </si>
  <si>
    <t>PRESTAMO</t>
  </si>
  <si>
    <t>NPER</t>
  </si>
  <si>
    <t>PAGO</t>
  </si>
  <si>
    <t>INTERES</t>
  </si>
  <si>
    <t>SALDO FINAL</t>
  </si>
  <si>
    <t>AMORTIZACION</t>
  </si>
  <si>
    <t>AÑOS</t>
  </si>
  <si>
    <t>INGRESOS</t>
  </si>
  <si>
    <t>COSTOS</t>
  </si>
  <si>
    <t>UTILIDAD NETA</t>
  </si>
  <si>
    <t>Parque acuático</t>
  </si>
  <si>
    <t>Canchas sintéticas</t>
  </si>
  <si>
    <t>Restaurante</t>
  </si>
  <si>
    <t>Costos Operacionales</t>
  </si>
  <si>
    <t>Costos no Operacionales</t>
  </si>
  <si>
    <t>Gastos Financieros</t>
  </si>
  <si>
    <t>Depreciación</t>
  </si>
  <si>
    <t>Capital de Trabajo</t>
  </si>
  <si>
    <t>Amortización</t>
  </si>
  <si>
    <t>Préstamo</t>
  </si>
  <si>
    <t>Inversión Inicial</t>
  </si>
  <si>
    <t>Utilidad antes de Impuestos</t>
  </si>
  <si>
    <t>Utilidad a Trabajadores (15%)</t>
  </si>
  <si>
    <t>Utilidad despues de Participación a Empleados</t>
  </si>
  <si>
    <t>Impuesto a la Renta (25%)</t>
  </si>
  <si>
    <t>FLUJO DE EFECTIVO NETO</t>
  </si>
  <si>
    <t>FLUJO DE EFECTIVO</t>
  </si>
  <si>
    <t>costo (costo*3.5%)</t>
  </si>
  <si>
    <t>PLANTA DE TRATAMIENTO DE AGUAS</t>
  </si>
  <si>
    <t>% de aceptación</t>
  </si>
  <si>
    <t>Población objetivo</t>
  </si>
  <si>
    <t>Factor conservador</t>
  </si>
  <si>
    <t>DETERMINACION DE LA DEMANDA PARQUE ACUATICO</t>
  </si>
  <si>
    <t>DEMANDA</t>
  </si>
  <si>
    <t>FRECUENCIA MENSUAL</t>
  </si>
  <si>
    <t>DEMANDA MENSUAL</t>
  </si>
  <si>
    <t>PRECIO</t>
  </si>
  <si>
    <t>INGRESO ANUAL</t>
  </si>
  <si>
    <t xml:space="preserve">INCREMENTO </t>
  </si>
  <si>
    <t>% Población media, media-alta</t>
  </si>
  <si>
    <t>% Población alta</t>
  </si>
  <si>
    <t>PRECIO NIÑOS</t>
  </si>
  <si>
    <t>PRECIO ADULTOS</t>
  </si>
  <si>
    <t>% NIÑOS</t>
  </si>
  <si>
    <t>% ADULTOS</t>
  </si>
  <si>
    <t>Clientes TEMPORADA ALTA</t>
  </si>
  <si>
    <t>Clientes TEMPORADA BAJA</t>
  </si>
  <si>
    <t>TOTAL CLIENTES AÑO</t>
  </si>
  <si>
    <t xml:space="preserve">Temporada Alta (Enero – Abril) </t>
  </si>
  <si>
    <t>Temporada Baja (Mayo – Diciembre)</t>
  </si>
  <si>
    <t>Infraestructura</t>
  </si>
  <si>
    <t>Población neta</t>
  </si>
  <si>
    <t>Turistas al año</t>
  </si>
  <si>
    <t xml:space="preserve">Habitantes de Playas </t>
  </si>
  <si>
    <t>% personas 15-50 años</t>
  </si>
  <si>
    <t># personas por equipo</t>
  </si>
  <si>
    <t>Factor Conservador</t>
  </si>
  <si>
    <t>DEMANDA POR GRUPOS</t>
  </si>
  <si>
    <t>DETERMINACION DE LA DEMANDA DE SERVICIO DE RESTAURANTE</t>
  </si>
  <si>
    <t>Arroz con Pescado Frito</t>
  </si>
  <si>
    <t>Ceviches</t>
  </si>
  <si>
    <t>Arroz Marinero</t>
  </si>
  <si>
    <t xml:space="preserve">Cazuela </t>
  </si>
  <si>
    <t>Arroz, menestra y (pollo o carne) a la plancha</t>
  </si>
  <si>
    <t>Valor Promedio por plato</t>
  </si>
  <si>
    <t>Menú</t>
  </si>
  <si>
    <t>Bebidas</t>
  </si>
  <si>
    <t>Costo de Bebidas</t>
  </si>
  <si>
    <t>Porcentaje</t>
  </si>
  <si>
    <t xml:space="preserve">Preferencias </t>
  </si>
  <si>
    <t>INGRESO MENSUAL COMIDA</t>
  </si>
  <si>
    <t>INGRESO MENSUAL BEBIDAS</t>
  </si>
  <si>
    <t>INGRESO ANUAL RESTAURANTE</t>
  </si>
  <si>
    <t>Precio de Venta</t>
  </si>
  <si>
    <t>Costo Promedio</t>
  </si>
  <si>
    <t>Ganancia</t>
  </si>
  <si>
    <t>Costo promedio por plato</t>
  </si>
  <si>
    <t># platos</t>
  </si>
  <si>
    <t>costo de bebidas</t>
  </si>
  <si>
    <t># bebidas</t>
  </si>
  <si>
    <t>Tasa anual</t>
  </si>
  <si>
    <t>Activo</t>
  </si>
  <si>
    <t>Valor de Compra</t>
  </si>
  <si>
    <t>Depreciación Anual</t>
  </si>
  <si>
    <t>Depreciación Acumulada</t>
  </si>
  <si>
    <t>Valor en Libros</t>
  </si>
  <si>
    <t>VALOR DE DESECHO DEL PROYECTO</t>
  </si>
  <si>
    <t>VALOR DE DESECHO</t>
  </si>
  <si>
    <t>Valor de desecho del proyecto</t>
  </si>
  <si>
    <t>Detalle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</si>
  <si>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</si>
  <si>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</si>
  <si>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</si>
  <si>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</si>
  <si>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</si>
  <si>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</si>
  <si>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</si>
  <si>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</si>
  <si>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</si>
  <si>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</si>
  <si>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ESTADO DE PERDIDAS Y GANANCIAS</t>
  </si>
  <si>
    <t>Ingresos</t>
  </si>
  <si>
    <t>Costos</t>
  </si>
  <si>
    <t>Agua para Piscinas</t>
  </si>
  <si>
    <t>Mantenimiento de Piscinas</t>
  </si>
  <si>
    <t>Mantenimiento de Toboganes</t>
  </si>
  <si>
    <t>Mantenimiento de Juegos Infantiles</t>
  </si>
  <si>
    <t>Mantenimiento de Cancha Sintética</t>
  </si>
  <si>
    <t>Costos de venta de restaurante</t>
  </si>
  <si>
    <t>Gastos de Servicios Básicos</t>
  </si>
  <si>
    <t>Gastos de Insumos de Limpieza</t>
  </si>
  <si>
    <t>Gastos de Publicidad</t>
  </si>
  <si>
    <t>Depreciación de Toboganes</t>
  </si>
  <si>
    <t>Depreciación de Aquaracer</t>
  </si>
  <si>
    <t>Depreciación de Área Infantil 1</t>
  </si>
  <si>
    <t>Depreciación de Área Infantil 2</t>
  </si>
  <si>
    <t>Depreciación de Equipo de Bombas</t>
  </si>
  <si>
    <t>Depreciación de Césped sintético</t>
  </si>
  <si>
    <t>Depreciación de Equipo de Computación</t>
  </si>
  <si>
    <t>Depreciación de Muebles y Enseres</t>
  </si>
  <si>
    <t>Depreciación de Aires Acondicionados</t>
  </si>
  <si>
    <t>Depreciación de Equipo de Cocina</t>
  </si>
  <si>
    <t>Depreciación de Infraestructura</t>
  </si>
  <si>
    <t>Utilidad antes de Beneficios a Trabajadores</t>
  </si>
  <si>
    <t>15% de Utilidad a Empleados</t>
  </si>
  <si>
    <t>Utilidad antes de Impuesto a la Renta</t>
  </si>
  <si>
    <t>25% de Impuesto a la Renta</t>
  </si>
  <si>
    <t>Utilidad Neta</t>
  </si>
  <si>
    <t>-</t>
  </si>
  <si>
    <t>PAYBACK</t>
  </si>
  <si>
    <t>Activos Fijos</t>
  </si>
  <si>
    <t>Activos Diferidos</t>
  </si>
  <si>
    <t>Total Inversión Inicial</t>
  </si>
  <si>
    <t>Monto</t>
  </si>
  <si>
    <t>INVERSION INICIAL</t>
  </si>
  <si>
    <t xml:space="preserve">Publicidad </t>
  </si>
  <si>
    <t>Cuadro No. 5.1 Inversión Inicial</t>
  </si>
  <si>
    <t>Elaborado por: los autores</t>
  </si>
  <si>
    <t>INVERSION INICIAL ACTIVOS FIJOS</t>
  </si>
  <si>
    <t>Terreno</t>
  </si>
  <si>
    <t>Parque Acuático</t>
  </si>
  <si>
    <t>Cancha Sintética</t>
  </si>
  <si>
    <t>Muebles de Restaurante</t>
  </si>
  <si>
    <t>Depreciación de Muebles de Restaurante</t>
  </si>
  <si>
    <t>MUEBLES DE RESTAURANTE</t>
  </si>
  <si>
    <t>Total Inversión Inicial en Activos Fijos</t>
  </si>
  <si>
    <t>Cuadro No. 5.2 Inversión Inicial en Activos Fijos</t>
  </si>
  <si>
    <t>FINANCIAMIENTO</t>
  </si>
  <si>
    <t>Interés Anual</t>
  </si>
  <si>
    <t>10 años</t>
  </si>
  <si>
    <t>Plazo</t>
  </si>
  <si>
    <t>TOTAL INGRESOS</t>
  </si>
  <si>
    <t>DETERMINACION DE LA DEMANDA CANCHA SINTETICA</t>
  </si>
  <si>
    <t>Agua para las piscinas</t>
  </si>
  <si>
    <t>Valor Anual</t>
  </si>
  <si>
    <t>Mantenimiento de piscinas</t>
  </si>
  <si>
    <t>Mantenimiento de toboganes</t>
  </si>
  <si>
    <t>Mantenimiento de juegos infantiles</t>
  </si>
  <si>
    <t>Mantenimiento de cancha sintética</t>
  </si>
  <si>
    <t>Costos de Restaurante</t>
  </si>
  <si>
    <t>Total Costos Operacionales</t>
  </si>
  <si>
    <t>Gastos en Insumos de Limpieza</t>
  </si>
  <si>
    <t>Total Costos no Operacionales</t>
  </si>
  <si>
    <t>Sueldo Cajeros (2)</t>
  </si>
  <si>
    <t>Sueldo Asistente de Mantenimiento</t>
  </si>
  <si>
    <t>Sueldo Personal de Limpieza (3)</t>
  </si>
  <si>
    <t>Sueldo Personal de Asistencia (3)</t>
  </si>
  <si>
    <t>Sueldo Personal de Cocina (3)</t>
  </si>
  <si>
    <t>Sueldo Salvavidas (3)</t>
  </si>
  <si>
    <t>Sueldo Enfermera</t>
  </si>
  <si>
    <t>Sueldo Seguridad (2)</t>
  </si>
  <si>
    <t>Total Gastos Administrativos</t>
  </si>
  <si>
    <t>GASTOS ADMINISTRATIVOS</t>
  </si>
  <si>
    <t>Total Depreciaciones</t>
  </si>
  <si>
    <t>Vida Util</t>
  </si>
  <si>
    <t>Años Depreciados</t>
  </si>
  <si>
    <t>Costo</t>
  </si>
  <si>
    <t>Descripción</t>
  </si>
  <si>
    <t>Industry Name</t>
  </si>
  <si>
    <t>Number of Firms</t>
  </si>
  <si>
    <t>Average Beta</t>
  </si>
  <si>
    <t>Market D/E Ratio</t>
  </si>
  <si>
    <t>Tax Rate</t>
  </si>
  <si>
    <t>Unlevered Beta</t>
  </si>
  <si>
    <t>Cash/Firm Value</t>
  </si>
  <si>
    <t>Unlevered Beta corrected for cash</t>
  </si>
  <si>
    <t>Advertising</t>
  </si>
  <si>
    <t>Aerospace/Defense</t>
  </si>
  <si>
    <t>Air Transport</t>
  </si>
  <si>
    <t>Apparel</t>
  </si>
  <si>
    <t>Auto &amp; Truck</t>
  </si>
  <si>
    <t>Auto Parts</t>
  </si>
  <si>
    <t>Bank</t>
  </si>
  <si>
    <t>Bank (Canadian)</t>
  </si>
  <si>
    <t>Bank (Midwest)</t>
  </si>
  <si>
    <t>Beverage</t>
  </si>
  <si>
    <t>Biotechnology</t>
  </si>
  <si>
    <t>Building Materials</t>
  </si>
  <si>
    <t>Cable TV</t>
  </si>
  <si>
    <t>Canadian Energy</t>
  </si>
  <si>
    <t>Chemical (Basic)</t>
  </si>
  <si>
    <t>Chemical (Diversified)</t>
  </si>
  <si>
    <t>Chemical (Specialty)</t>
  </si>
  <si>
    <t>Coal</t>
  </si>
  <si>
    <t>Computer Software/Svcs</t>
  </si>
  <si>
    <t>Computers/Peripherals</t>
  </si>
  <si>
    <t>Diversified Co.</t>
  </si>
  <si>
    <t>Drug</t>
  </si>
  <si>
    <t>E-Commerce</t>
  </si>
  <si>
    <t>Educational Services</t>
  </si>
  <si>
    <t>Electric Util. (Central)</t>
  </si>
  <si>
    <t>Electric Utility (East)</t>
  </si>
  <si>
    <t>Electric Utility (West)</t>
  </si>
  <si>
    <t>Electrical Equipment</t>
  </si>
  <si>
    <t>Electronics</t>
  </si>
  <si>
    <t>Entertainment</t>
  </si>
  <si>
    <t>Entertainment Tech</t>
  </si>
  <si>
    <t>Environmental</t>
  </si>
  <si>
    <t>Financial Svcs. (Div.)</t>
  </si>
  <si>
    <t>Food Processing</t>
  </si>
  <si>
    <t>Foreign Electronics</t>
  </si>
  <si>
    <t>Funeral Services</t>
  </si>
  <si>
    <t>Furn/Home Furnishings</t>
  </si>
  <si>
    <t>Healthcare Information</t>
  </si>
  <si>
    <t>Heavy Construction</t>
  </si>
  <si>
    <t>Homebuilding</t>
  </si>
  <si>
    <t>Hotel/Gaming</t>
  </si>
  <si>
    <t>Household Products</t>
  </si>
  <si>
    <t>Human Resources</t>
  </si>
  <si>
    <t>Industrial Services</t>
  </si>
  <si>
    <t>Information Services</t>
  </si>
  <si>
    <t>Insurance (Life)</t>
  </si>
  <si>
    <t>Insurance (Prop/Cas.)</t>
  </si>
  <si>
    <t>Internet</t>
  </si>
  <si>
    <t>Investment Co.</t>
  </si>
  <si>
    <t>Investment Co.(Foreign)</t>
  </si>
  <si>
    <t>Machinery</t>
  </si>
  <si>
    <t>Manuf. Housing/RV</t>
  </si>
  <si>
    <t>Maritime</t>
  </si>
  <si>
    <t>Medical Services</t>
  </si>
  <si>
    <t>Medical Supplies</t>
  </si>
  <si>
    <t>Metal Fabricating</t>
  </si>
  <si>
    <t>Metals &amp; Mining (Div.)</t>
  </si>
  <si>
    <t>Natural Gas (Div.)</t>
  </si>
  <si>
    <t>Natural Gas Utility</t>
  </si>
  <si>
    <t>Newspaper</t>
  </si>
  <si>
    <t>Office Equip/Supplies</t>
  </si>
  <si>
    <t>Oil/Gas Distribution</t>
  </si>
  <si>
    <t>Oilfield Svcs/Equip.</t>
  </si>
  <si>
    <t>Packaging &amp; Container</t>
  </si>
  <si>
    <t>Paper/Forest Products</t>
  </si>
  <si>
    <t>Petroleum (Integrated)</t>
  </si>
  <si>
    <t>Petroleum (Producing)</t>
  </si>
  <si>
    <t>Pharmacy Services</t>
  </si>
  <si>
    <t>Power</t>
  </si>
  <si>
    <t>Precious Metals</t>
  </si>
  <si>
    <t>Precision Instrument</t>
  </si>
  <si>
    <t>Property Management</t>
  </si>
  <si>
    <t>Public/Private Equity</t>
  </si>
  <si>
    <t>Publishing</t>
  </si>
  <si>
    <t>R.E.I.T.</t>
  </si>
  <si>
    <t>Railroad</t>
  </si>
  <si>
    <t>Recreation</t>
  </si>
  <si>
    <t>Reinsurance</t>
  </si>
  <si>
    <t>Restaurant</t>
  </si>
  <si>
    <t>Retail (Special Lines)</t>
  </si>
  <si>
    <t>Retail Automotive</t>
  </si>
  <si>
    <t>Retail Building Supply</t>
  </si>
  <si>
    <t>Retail Store</t>
  </si>
  <si>
    <t>Retail/Wholesale Food</t>
  </si>
  <si>
    <t>Securities Brokerage</t>
  </si>
  <si>
    <t>Semiconductor</t>
  </si>
  <si>
    <t>Semiconductor Equip</t>
  </si>
  <si>
    <t>Shoe</t>
  </si>
  <si>
    <t>Steel (General)</t>
  </si>
  <si>
    <t>Steel (Integrated)</t>
  </si>
  <si>
    <t>Telecom. Equipment</t>
  </si>
  <si>
    <t>Telecom. Services</t>
  </si>
  <si>
    <t>Thrift</t>
  </si>
  <si>
    <t>Tobacco</t>
  </si>
  <si>
    <t>Toiletries/Cosmetics</t>
  </si>
  <si>
    <t>Trucking</t>
  </si>
  <si>
    <t>Utility (Foreign)</t>
  </si>
  <si>
    <t>Water Utility</t>
  </si>
  <si>
    <t>Wireless Networking</t>
  </si>
  <si>
    <t>Total Market</t>
  </si>
  <si>
    <t>Fuentes:</t>
  </si>
  <si>
    <t>http://pages.stern.nyu.edu/~adamodar/New_Home_Page/datafile/Betas.html</t>
  </si>
  <si>
    <t>http://www.ingdirect.es/html/planes/sp500/planes_sp500.asp?seccion=3&amp;subseccion=3&amp;opcion1=1&amp;Association=3&amp;SelectPlan=8</t>
  </si>
  <si>
    <t>http://www.bce.fin.ec/resumen_ticker.php?ticker_value=riesgo_pais</t>
  </si>
  <si>
    <t>http://finance.yahoo.com/</t>
  </si>
  <si>
    <t xml:space="preserve">Donde </t>
  </si>
  <si>
    <t xml:space="preserve">Ke: </t>
  </si>
  <si>
    <t>Tasa de costo de capital (TMAR)</t>
  </si>
  <si>
    <t xml:space="preserve">Rf: </t>
  </si>
  <si>
    <t>Tasa libre de riesgo</t>
  </si>
  <si>
    <t xml:space="preserve">Rm: </t>
  </si>
  <si>
    <t>Retorno del mercado</t>
  </si>
  <si>
    <t xml:space="preserve">β: </t>
  </si>
  <si>
    <t>Riesgo sistemático</t>
  </si>
  <si>
    <t xml:space="preserve">(Rm-Rf): </t>
  </si>
  <si>
    <t>Prima por riesgo</t>
  </si>
  <si>
    <t xml:space="preserve">Rf </t>
  </si>
  <si>
    <t>VAN</t>
  </si>
  <si>
    <t>TIR</t>
  </si>
  <si>
    <t>TMAR</t>
  </si>
  <si>
    <t>Tasa de Descuento</t>
  </si>
  <si>
    <t>Cuadro No. 5.9 Tasa de Descuento-Método CAPM</t>
  </si>
  <si>
    <t xml:space="preserve">Rm </t>
  </si>
  <si>
    <t xml:space="preserve">B </t>
  </si>
  <si>
    <t>(Rm - Rf)</t>
  </si>
  <si>
    <t xml:space="preserve">CAPM        </t>
  </si>
  <si>
    <t xml:space="preserve">Riesgo pais </t>
  </si>
  <si>
    <t>Recuperación de Inversión</t>
  </si>
  <si>
    <t>Rentabilidad Exigida</t>
  </si>
  <si>
    <t>Flujo de Caja</t>
  </si>
  <si>
    <t>Saldo Inversión</t>
  </si>
  <si>
    <t>Periodo (años)</t>
  </si>
  <si>
    <t>Payback</t>
  </si>
  <si>
    <t>% captación de mercado</t>
  </si>
  <si>
    <t>Proyección de % Captación de Mercado</t>
  </si>
  <si>
    <t>Periodo</t>
  </si>
  <si>
    <t>Demanda Anual de Servicios</t>
  </si>
  <si>
    <t>Restaurante (comida)</t>
  </si>
  <si>
    <t>Restaurante (bebidas)</t>
  </si>
  <si>
    <t>Costo Operacional</t>
  </si>
  <si>
    <t>Costo Operacional (sin restaurante)</t>
  </si>
  <si>
    <t>Costo Operacional (con restaurante)</t>
  </si>
  <si>
    <t>Cuadro No. 5.3 Financiamiento</t>
  </si>
  <si>
    <t>Cuadro No. 5.4 Amortización del Préstamo</t>
  </si>
  <si>
    <t>Cuadro No. 5.5 Costos Operacionales</t>
  </si>
  <si>
    <t>Cuadro No. 5.7 Gastos Administrativos</t>
  </si>
  <si>
    <t>Cuadro No. 5.6 Costos no Operacionales</t>
  </si>
  <si>
    <t>Cuadro No. 5.8 Tabla de Depreciación de Equipos y Mobiliarios</t>
  </si>
  <si>
    <t>Cuadro No. 5.9 Valor de Desecho del Proyecto</t>
  </si>
  <si>
    <t>Cuadro No. 5.11 Periodo de Recuperación</t>
  </si>
  <si>
    <t>Cerramiento de malla metálica</t>
  </si>
  <si>
    <t>Instalaciones eléctricas</t>
  </si>
  <si>
    <t>Construcción de baños y vestidores</t>
  </si>
  <si>
    <t>Arcos y graderios</t>
  </si>
  <si>
    <t>Valor</t>
  </si>
  <si>
    <t>Demanda Mensual</t>
  </si>
</sst>
</file>

<file path=xl/styles.xml><?xml version="1.0" encoding="utf-8"?>
<styleSheet xmlns="http://schemas.openxmlformats.org/spreadsheetml/2006/main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[$$-300A]\ #,##0.00"/>
    <numFmt numFmtId="173" formatCode="0.0%"/>
    <numFmt numFmtId="178" formatCode="[$$-300A]\ #,##0.00;[Red][$$-300A]\ \-#,##0.00"/>
  </numFmts>
  <fonts count="37">
    <font>
      <sz val="10"/>
      <name val="Arial"/>
    </font>
    <font>
      <sz val="10"/>
      <name val="Arial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Candara"/>
      <family val="2"/>
    </font>
    <font>
      <i/>
      <sz val="9"/>
      <name val="Arial"/>
      <family val="2"/>
    </font>
    <font>
      <sz val="9"/>
      <name val="Arial"/>
    </font>
    <font>
      <i/>
      <sz val="10"/>
      <name val="Arial"/>
      <family val="2"/>
    </font>
    <font>
      <b/>
      <sz val="8"/>
      <name val="Geneva"/>
    </font>
    <font>
      <sz val="8"/>
      <name val="Verdana"/>
      <family val="2"/>
    </font>
    <font>
      <b/>
      <sz val="8"/>
      <name val="Verdana"/>
      <family val="2"/>
    </font>
    <font>
      <b/>
      <sz val="11"/>
      <color indexed="62"/>
      <name val="Calibri"/>
      <family val="2"/>
    </font>
    <font>
      <b/>
      <sz val="10"/>
      <name val="Arial"/>
    </font>
    <font>
      <b/>
      <i/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name val="Arial"/>
    </font>
    <font>
      <b/>
      <sz val="9"/>
      <name val="Calibri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0" applyNumberFormat="1"/>
    <xf numFmtId="0" fontId="3" fillId="0" borderId="0" xfId="0" applyFont="1" applyAlignment="1">
      <alignment horizontal="center"/>
    </xf>
    <xf numFmtId="166" fontId="0" fillId="0" borderId="0" xfId="0" applyNumberFormat="1"/>
    <xf numFmtId="0" fontId="2" fillId="0" borderId="0" xfId="0" applyFont="1" applyFill="1" applyBorder="1" applyAlignment="1"/>
    <xf numFmtId="166" fontId="3" fillId="0" borderId="0" xfId="0" applyNumberFormat="1" applyFont="1"/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center"/>
    </xf>
    <xf numFmtId="0" fontId="0" fillId="0" borderId="0" xfId="0" applyFill="1" applyBorder="1"/>
    <xf numFmtId="9" fontId="0" fillId="0" borderId="0" xfId="3" applyFont="1"/>
    <xf numFmtId="1" fontId="0" fillId="0" borderId="0" xfId="0" applyNumberFormat="1"/>
    <xf numFmtId="3" fontId="0" fillId="0" borderId="0" xfId="0" applyNumberFormat="1"/>
    <xf numFmtId="9" fontId="0" fillId="0" borderId="0" xfId="0" applyNumberFormat="1"/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6" fontId="0" fillId="0" borderId="5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9" fontId="0" fillId="0" borderId="5" xfId="3" applyNumberFormat="1" applyFont="1" applyBorder="1"/>
    <xf numFmtId="166" fontId="0" fillId="0" borderId="0" xfId="0" applyNumberFormat="1" applyFill="1" applyBorder="1" applyAlignment="1">
      <alignment horizontal="right"/>
    </xf>
    <xf numFmtId="166" fontId="9" fillId="0" borderId="0" xfId="0" applyNumberFormat="1" applyFont="1" applyAlignment="1">
      <alignment horizontal="center"/>
    </xf>
    <xf numFmtId="8" fontId="0" fillId="0" borderId="0" xfId="0" applyNumberFormat="1"/>
    <xf numFmtId="178" fontId="0" fillId="0" borderId="0" xfId="0" applyNumberFormat="1"/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166" fontId="0" fillId="0" borderId="5" xfId="0" applyNumberFormat="1" applyBorder="1"/>
    <xf numFmtId="0" fontId="0" fillId="0" borderId="5" xfId="0" applyBorder="1" applyAlignment="1">
      <alignment horizontal="center"/>
    </xf>
    <xf numFmtId="0" fontId="3" fillId="0" borderId="5" xfId="0" applyFont="1" applyBorder="1"/>
    <xf numFmtId="166" fontId="0" fillId="0" borderId="5" xfId="0" applyNumberFormat="1" applyBorder="1" applyAlignment="1">
      <alignment horizontal="right"/>
    </xf>
    <xf numFmtId="0" fontId="14" fillId="0" borderId="6" xfId="0" applyFont="1" applyBorder="1" applyAlignment="1">
      <alignment wrapText="1"/>
    </xf>
    <xf numFmtId="9" fontId="0" fillId="0" borderId="5" xfId="0" applyNumberFormat="1" applyBorder="1"/>
    <xf numFmtId="0" fontId="0" fillId="0" borderId="5" xfId="0" applyBorder="1" applyAlignment="1">
      <alignment horizontal="right"/>
    </xf>
    <xf numFmtId="0" fontId="19" fillId="0" borderId="5" xfId="0" applyFont="1" applyBorder="1" applyAlignment="1">
      <alignment horizontal="center"/>
    </xf>
    <xf numFmtId="166" fontId="19" fillId="0" borderId="5" xfId="0" applyNumberFormat="1" applyFont="1" applyBorder="1" applyAlignment="1">
      <alignment horizontal="center"/>
    </xf>
    <xf numFmtId="178" fontId="19" fillId="0" borderId="5" xfId="0" applyNumberFormat="1" applyFont="1" applyBorder="1" applyAlignment="1">
      <alignment horizontal="center"/>
    </xf>
    <xf numFmtId="166" fontId="0" fillId="0" borderId="0" xfId="0" applyNumberFormat="1" applyFill="1" applyBorder="1"/>
    <xf numFmtId="166" fontId="3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10" fontId="22" fillId="0" borderId="8" xfId="0" applyNumberFormat="1" applyFont="1" applyBorder="1" applyAlignment="1">
      <alignment horizontal="center"/>
    </xf>
    <xf numFmtId="10" fontId="21" fillId="0" borderId="8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10" fontId="22" fillId="0" borderId="5" xfId="0" applyNumberFormat="1" applyFont="1" applyBorder="1" applyAlignment="1">
      <alignment horizontal="center"/>
    </xf>
    <xf numFmtId="10" fontId="21" fillId="0" borderId="5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10" fontId="22" fillId="0" borderId="5" xfId="0" applyNumberFormat="1" applyFont="1" applyFill="1" applyBorder="1" applyAlignment="1">
      <alignment horizontal="center"/>
    </xf>
    <xf numFmtId="10" fontId="21" fillId="0" borderId="5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10" fontId="22" fillId="0" borderId="13" xfId="0" applyNumberFormat="1" applyFont="1" applyBorder="1" applyAlignment="1">
      <alignment horizontal="center"/>
    </xf>
    <xf numFmtId="10" fontId="21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10" fontId="4" fillId="0" borderId="5" xfId="0" applyNumberFormat="1" applyFont="1" applyFill="1" applyBorder="1"/>
    <xf numFmtId="2" fontId="4" fillId="0" borderId="5" xfId="0" applyNumberFormat="1" applyFont="1" applyFill="1" applyBorder="1"/>
    <xf numFmtId="0" fontId="29" fillId="0" borderId="5" xfId="0" applyFont="1" applyFill="1" applyBorder="1" applyAlignment="1">
      <alignment horizontal="left"/>
    </xf>
    <xf numFmtId="0" fontId="20" fillId="0" borderId="0" xfId="0" applyFont="1" applyAlignment="1"/>
    <xf numFmtId="0" fontId="15" fillId="0" borderId="5" xfId="0" applyFont="1" applyFill="1" applyBorder="1" applyAlignment="1">
      <alignment horizontal="left"/>
    </xf>
    <xf numFmtId="9" fontId="3" fillId="0" borderId="0" xfId="0" applyNumberFormat="1" applyFont="1"/>
    <xf numFmtId="8" fontId="3" fillId="0" borderId="0" xfId="0" applyNumberFormat="1" applyFont="1"/>
    <xf numFmtId="10" fontId="0" fillId="0" borderId="0" xfId="0" applyNumberFormat="1" applyBorder="1"/>
    <xf numFmtId="166" fontId="0" fillId="0" borderId="0" xfId="0" applyNumberFormat="1" applyBorder="1"/>
    <xf numFmtId="178" fontId="0" fillId="0" borderId="5" xfId="0" applyNumberFormat="1" applyBorder="1"/>
    <xf numFmtId="4" fontId="11" fillId="0" borderId="0" xfId="0" applyNumberFormat="1" applyFont="1" applyFill="1" applyBorder="1" applyAlignment="1">
      <alignment horizontal="right"/>
    </xf>
    <xf numFmtId="178" fontId="0" fillId="0" borderId="0" xfId="0" applyNumberFormat="1" applyBorder="1"/>
    <xf numFmtId="178" fontId="0" fillId="0" borderId="0" xfId="0" applyNumberFormat="1" applyFill="1" applyBorder="1"/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8" fontId="0" fillId="0" borderId="0" xfId="0" applyNumberFormat="1" applyBorder="1"/>
    <xf numFmtId="4" fontId="11" fillId="0" borderId="0" xfId="0" applyNumberFormat="1" applyFont="1" applyFill="1" applyBorder="1" applyAlignment="1"/>
    <xf numFmtId="0" fontId="5" fillId="0" borderId="0" xfId="0" applyFont="1" applyFill="1" applyBorder="1" applyAlignment="1"/>
    <xf numFmtId="9" fontId="4" fillId="0" borderId="5" xfId="3" applyFont="1" applyFill="1" applyBorder="1" applyAlignment="1">
      <alignment horizontal="center"/>
    </xf>
    <xf numFmtId="9" fontId="4" fillId="0" borderId="5" xfId="3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178" fontId="0" fillId="0" borderId="5" xfId="0" applyNumberFormat="1" applyFill="1" applyBorder="1"/>
    <xf numFmtId="0" fontId="11" fillId="0" borderId="5" xfId="0" applyFont="1" applyBorder="1" applyAlignment="1">
      <alignment horizontal="center"/>
    </xf>
    <xf numFmtId="0" fontId="3" fillId="2" borderId="5" xfId="0" applyFont="1" applyFill="1" applyBorder="1"/>
    <xf numFmtId="166" fontId="3" fillId="2" borderId="5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19" fillId="0" borderId="0" xfId="0" applyFont="1" applyBorder="1" applyAlignment="1"/>
    <xf numFmtId="0" fontId="3" fillId="2" borderId="5" xfId="0" applyFont="1" applyFill="1" applyBorder="1" applyAlignment="1"/>
    <xf numFmtId="0" fontId="11" fillId="2" borderId="5" xfId="0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29" fillId="2" borderId="5" xfId="0" applyFont="1" applyFill="1" applyBorder="1"/>
    <xf numFmtId="10" fontId="4" fillId="2" borderId="5" xfId="0" applyNumberFormat="1" applyFont="1" applyFill="1" applyBorder="1"/>
    <xf numFmtId="0" fontId="0" fillId="2" borderId="5" xfId="0" applyFill="1" applyBorder="1" applyAlignment="1">
      <alignment horizontal="center"/>
    </xf>
    <xf numFmtId="178" fontId="0" fillId="2" borderId="5" xfId="0" applyNumberFormat="1" applyFill="1" applyBorder="1"/>
    <xf numFmtId="43" fontId="31" fillId="0" borderId="5" xfId="2" applyFont="1" applyFill="1" applyBorder="1" applyAlignment="1">
      <alignment horizontal="center"/>
    </xf>
    <xf numFmtId="0" fontId="31" fillId="0" borderId="5" xfId="0" applyFont="1" applyBorder="1"/>
    <xf numFmtId="0" fontId="30" fillId="0" borderId="5" xfId="0" applyFont="1" applyBorder="1"/>
    <xf numFmtId="0" fontId="31" fillId="0" borderId="5" xfId="0" applyFont="1" applyFill="1" applyBorder="1"/>
    <xf numFmtId="0" fontId="30" fillId="0" borderId="5" xfId="0" applyFont="1" applyFill="1" applyBorder="1" applyAlignment="1"/>
    <xf numFmtId="0" fontId="30" fillId="0" borderId="5" xfId="0" applyFont="1" applyFill="1" applyBorder="1"/>
    <xf numFmtId="43" fontId="31" fillId="0" borderId="5" xfId="2" applyFont="1" applyFill="1" applyBorder="1"/>
    <xf numFmtId="165" fontId="31" fillId="0" borderId="5" xfId="2" applyNumberFormat="1" applyFont="1" applyFill="1" applyBorder="1" applyAlignment="1">
      <alignment horizontal="center"/>
    </xf>
    <xf numFmtId="165" fontId="31" fillId="0" borderId="5" xfId="2" applyNumberFormat="1" applyFont="1" applyFill="1" applyBorder="1"/>
    <xf numFmtId="165" fontId="31" fillId="0" borderId="5" xfId="0" applyNumberFormat="1" applyFont="1" applyFill="1" applyBorder="1"/>
    <xf numFmtId="164" fontId="31" fillId="0" borderId="5" xfId="2" applyNumberFormat="1" applyFont="1" applyFill="1" applyBorder="1"/>
    <xf numFmtId="165" fontId="30" fillId="0" borderId="5" xfId="0" applyNumberFormat="1" applyFont="1" applyFill="1" applyBorder="1" applyAlignment="1"/>
    <xf numFmtId="165" fontId="31" fillId="0" borderId="5" xfId="2" applyNumberFormat="1" applyFont="1" applyFill="1" applyBorder="1" applyAlignment="1"/>
    <xf numFmtId="0" fontId="31" fillId="0" borderId="5" xfId="0" applyFont="1" applyFill="1" applyBorder="1" applyAlignment="1">
      <alignment horizontal="center"/>
    </xf>
    <xf numFmtId="0" fontId="30" fillId="2" borderId="5" xfId="0" applyFont="1" applyFill="1" applyBorder="1"/>
    <xf numFmtId="0" fontId="30" fillId="2" borderId="5" xfId="0" applyFont="1" applyFill="1" applyBorder="1" applyAlignment="1">
      <alignment horizontal="center"/>
    </xf>
    <xf numFmtId="165" fontId="30" fillId="2" borderId="5" xfId="0" applyNumberFormat="1" applyFont="1" applyFill="1" applyBorder="1" applyAlignment="1">
      <alignment horizontal="center"/>
    </xf>
    <xf numFmtId="165" fontId="30" fillId="2" borderId="5" xfId="0" applyNumberFormat="1" applyFont="1" applyFill="1" applyBorder="1"/>
    <xf numFmtId="166" fontId="7" fillId="0" borderId="5" xfId="0" applyNumberFormat="1" applyFont="1" applyBorder="1"/>
    <xf numFmtId="166" fontId="30" fillId="2" borderId="5" xfId="0" applyNumberFormat="1" applyFont="1" applyFill="1" applyBorder="1"/>
    <xf numFmtId="0" fontId="32" fillId="0" borderId="5" xfId="0" applyFont="1" applyFill="1" applyBorder="1" applyAlignment="1"/>
    <xf numFmtId="0" fontId="33" fillId="0" borderId="5" xfId="0" applyFont="1" applyBorder="1"/>
    <xf numFmtId="43" fontId="33" fillId="0" borderId="5" xfId="2" applyFont="1" applyBorder="1" applyAlignment="1">
      <alignment horizontal="center"/>
    </xf>
    <xf numFmtId="165" fontId="33" fillId="0" borderId="5" xfId="2" applyNumberFormat="1" applyFont="1" applyBorder="1" applyAlignment="1">
      <alignment horizontal="center"/>
    </xf>
    <xf numFmtId="165" fontId="33" fillId="0" borderId="5" xfId="2" applyNumberFormat="1" applyFont="1" applyBorder="1"/>
    <xf numFmtId="165" fontId="33" fillId="0" borderId="5" xfId="0" applyNumberFormat="1" applyFont="1" applyBorder="1"/>
    <xf numFmtId="165" fontId="32" fillId="0" borderId="5" xfId="0" applyNumberFormat="1" applyFont="1" applyBorder="1"/>
    <xf numFmtId="166" fontId="33" fillId="0" borderId="5" xfId="0" applyNumberFormat="1" applyFont="1" applyBorder="1"/>
    <xf numFmtId="0" fontId="32" fillId="0" borderId="5" xfId="0" applyFont="1" applyFill="1" applyBorder="1"/>
    <xf numFmtId="43" fontId="33" fillId="0" borderId="5" xfId="2" applyFont="1" applyFill="1" applyBorder="1"/>
    <xf numFmtId="165" fontId="33" fillId="0" borderId="5" xfId="2" applyNumberFormat="1" applyFont="1" applyFill="1" applyBorder="1" applyAlignment="1">
      <alignment horizontal="center"/>
    </xf>
    <xf numFmtId="165" fontId="33" fillId="0" borderId="5" xfId="2" applyNumberFormat="1" applyFont="1" applyFill="1" applyBorder="1"/>
    <xf numFmtId="165" fontId="33" fillId="0" borderId="5" xfId="0" applyNumberFormat="1" applyFont="1" applyFill="1" applyBorder="1"/>
    <xf numFmtId="0" fontId="33" fillId="0" borderId="5" xfId="0" applyFont="1" applyFill="1" applyBorder="1"/>
    <xf numFmtId="43" fontId="33" fillId="0" borderId="5" xfId="2" applyFont="1" applyFill="1" applyBorder="1" applyAlignment="1">
      <alignment horizontal="center"/>
    </xf>
    <xf numFmtId="164" fontId="33" fillId="0" borderId="5" xfId="2" applyNumberFormat="1" applyFont="1" applyFill="1" applyBorder="1"/>
    <xf numFmtId="165" fontId="32" fillId="0" borderId="5" xfId="0" applyNumberFormat="1" applyFont="1" applyFill="1" applyBorder="1" applyAlignment="1"/>
    <xf numFmtId="0" fontId="32" fillId="0" borderId="5" xfId="0" applyFont="1" applyFill="1" applyBorder="1" applyAlignment="1">
      <alignment horizontal="center"/>
    </xf>
    <xf numFmtId="165" fontId="32" fillId="0" borderId="5" xfId="0" applyNumberFormat="1" applyFont="1" applyFill="1" applyBorder="1" applyAlignment="1">
      <alignment horizontal="center"/>
    </xf>
    <xf numFmtId="165" fontId="33" fillId="0" borderId="5" xfId="2" applyNumberFormat="1" applyFont="1" applyFill="1" applyBorder="1" applyAlignment="1"/>
    <xf numFmtId="164" fontId="33" fillId="0" borderId="5" xfId="0" applyNumberFormat="1" applyFont="1" applyFill="1" applyBorder="1"/>
    <xf numFmtId="0" fontId="4" fillId="0" borderId="5" xfId="0" applyFont="1" applyBorder="1"/>
    <xf numFmtId="166" fontId="3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34" fillId="0" borderId="5" xfId="0" applyFont="1" applyBorder="1" applyAlignment="1">
      <alignment horizontal="center"/>
    </xf>
    <xf numFmtId="0" fontId="19" fillId="2" borderId="5" xfId="0" applyFont="1" applyFill="1" applyBorder="1"/>
    <xf numFmtId="166" fontId="19" fillId="2" borderId="5" xfId="0" applyNumberFormat="1" applyFont="1" applyFill="1" applyBorder="1" applyAlignment="1">
      <alignment horizontal="center"/>
    </xf>
    <xf numFmtId="166" fontId="34" fillId="0" borderId="5" xfId="0" applyNumberFormat="1" applyFont="1" applyBorder="1" applyAlignment="1">
      <alignment horizontal="center"/>
    </xf>
    <xf numFmtId="9" fontId="19" fillId="0" borderId="5" xfId="0" applyNumberFormat="1" applyFont="1" applyBorder="1" applyAlignment="1">
      <alignment horizontal="center"/>
    </xf>
    <xf numFmtId="166" fontId="19" fillId="0" borderId="5" xfId="0" applyNumberFormat="1" applyFont="1" applyBorder="1"/>
    <xf numFmtId="0" fontId="34" fillId="2" borderId="5" xfId="0" applyFont="1" applyFill="1" applyBorder="1"/>
    <xf numFmtId="166" fontId="34" fillId="2" borderId="5" xfId="0" applyNumberFormat="1" applyFont="1" applyFill="1" applyBorder="1"/>
    <xf numFmtId="1" fontId="0" fillId="0" borderId="5" xfId="3" applyNumberFormat="1" applyFont="1" applyBorder="1"/>
    <xf numFmtId="9" fontId="0" fillId="0" borderId="5" xfId="3" applyFont="1" applyBorder="1"/>
    <xf numFmtId="173" fontId="0" fillId="0" borderId="5" xfId="3" applyNumberFormat="1" applyFont="1" applyBorder="1" applyAlignment="1">
      <alignment horizontal="right"/>
    </xf>
    <xf numFmtId="1" fontId="0" fillId="0" borderId="5" xfId="0" applyNumberFormat="1" applyBorder="1"/>
    <xf numFmtId="9" fontId="0" fillId="0" borderId="5" xfId="3" applyFont="1" applyBorder="1" applyAlignment="1">
      <alignment horizontal="right"/>
    </xf>
    <xf numFmtId="166" fontId="3" fillId="2" borderId="5" xfId="0" applyNumberFormat="1" applyFont="1" applyFill="1" applyBorder="1" applyAlignment="1">
      <alignment horizontal="center"/>
    </xf>
    <xf numFmtId="0" fontId="19" fillId="0" borderId="5" xfId="1" applyNumberFormat="1" applyFont="1" applyBorder="1"/>
    <xf numFmtId="0" fontId="34" fillId="0" borderId="5" xfId="0" applyFont="1" applyBorder="1"/>
    <xf numFmtId="1" fontId="19" fillId="0" borderId="5" xfId="0" applyNumberFormat="1" applyFont="1" applyBorder="1"/>
    <xf numFmtId="166" fontId="34" fillId="0" borderId="5" xfId="0" applyNumberFormat="1" applyFont="1" applyBorder="1"/>
    <xf numFmtId="0" fontId="11" fillId="0" borderId="5" xfId="0" applyFont="1" applyBorder="1" applyAlignment="1">
      <alignment horizontal="center" wrapText="1"/>
    </xf>
    <xf numFmtId="0" fontId="11" fillId="0" borderId="5" xfId="0" applyFont="1" applyBorder="1"/>
    <xf numFmtId="166" fontId="12" fillId="0" borderId="5" xfId="0" applyNumberFormat="1" applyFont="1" applyBorder="1"/>
    <xf numFmtId="166" fontId="11" fillId="0" borderId="5" xfId="0" applyNumberFormat="1" applyFont="1" applyBorder="1"/>
    <xf numFmtId="0" fontId="12" fillId="0" borderId="5" xfId="0" applyFont="1" applyBorder="1"/>
    <xf numFmtId="0" fontId="30" fillId="0" borderId="5" xfId="0" applyFont="1" applyBorder="1" applyAlignment="1">
      <alignment horizontal="center"/>
    </xf>
    <xf numFmtId="166" fontId="31" fillId="0" borderId="5" xfId="0" applyNumberFormat="1" applyFont="1" applyBorder="1"/>
    <xf numFmtId="166" fontId="30" fillId="0" borderId="5" xfId="0" applyNumberFormat="1" applyFont="1" applyBorder="1"/>
    <xf numFmtId="0" fontId="21" fillId="2" borderId="15" xfId="0" applyFont="1" applyFill="1" applyBorder="1" applyAlignment="1">
      <alignment horizontal="left" wrapText="1" shrinkToFit="1"/>
    </xf>
    <xf numFmtId="0" fontId="21" fillId="2" borderId="16" xfId="0" applyFont="1" applyFill="1" applyBorder="1" applyAlignment="1">
      <alignment horizontal="center" wrapText="1" shrinkToFit="1"/>
    </xf>
    <xf numFmtId="0" fontId="21" fillId="2" borderId="17" xfId="0" applyFont="1" applyFill="1" applyBorder="1" applyAlignment="1">
      <alignment horizontal="center" wrapText="1" shrinkToFit="1"/>
    </xf>
    <xf numFmtId="0" fontId="22" fillId="2" borderId="8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left"/>
    </xf>
    <xf numFmtId="10" fontId="22" fillId="2" borderId="5" xfId="0" applyNumberFormat="1" applyFont="1" applyFill="1" applyBorder="1" applyAlignment="1">
      <alignment horizontal="center"/>
    </xf>
    <xf numFmtId="10" fontId="21" fillId="2" borderId="5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left"/>
    </xf>
    <xf numFmtId="10" fontId="23" fillId="2" borderId="16" xfId="0" applyNumberFormat="1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8" fillId="2" borderId="18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</cellXfs>
  <cellStyles count="4">
    <cellStyle name="Euro" xfId="1"/>
    <cellStyle name="Millares" xfId="2" builtinId="3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38</xdr:row>
      <xdr:rowOff>0</xdr:rowOff>
    </xdr:from>
    <xdr:to>
      <xdr:col>7</xdr:col>
      <xdr:colOff>762000</xdr:colOff>
      <xdr:row>54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6372225"/>
          <a:ext cx="3590925" cy="2924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25</xdr:row>
      <xdr:rowOff>104775</xdr:rowOff>
    </xdr:from>
    <xdr:to>
      <xdr:col>5</xdr:col>
      <xdr:colOff>38100</xdr:colOff>
      <xdr:row>39</xdr:row>
      <xdr:rowOff>114300</xdr:rowOff>
    </xdr:to>
    <xdr:pic>
      <xdr:nvPicPr>
        <xdr:cNvPr id="3073" name="5 Imagen" descr="riesgo pais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4895850"/>
          <a:ext cx="375285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42</xdr:row>
      <xdr:rowOff>28575</xdr:rowOff>
    </xdr:from>
    <xdr:to>
      <xdr:col>4</xdr:col>
      <xdr:colOff>257175</xdr:colOff>
      <xdr:row>59</xdr:row>
      <xdr:rowOff>66675</xdr:rowOff>
    </xdr:to>
    <xdr:pic>
      <xdr:nvPicPr>
        <xdr:cNvPr id="3074" name="7 Imagen" descr="syear.bm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8175" y="7572375"/>
          <a:ext cx="2609850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4"/>
  <sheetViews>
    <sheetView workbookViewId="0">
      <selection activeCell="D61" sqref="D61"/>
    </sheetView>
  </sheetViews>
  <sheetFormatPr baseColWidth="10" defaultRowHeight="12.75"/>
  <cols>
    <col min="2" max="2" width="30.7109375" customWidth="1"/>
    <col min="3" max="3" width="27.42578125" customWidth="1"/>
    <col min="4" max="4" width="20.42578125" bestFit="1" customWidth="1"/>
    <col min="5" max="5" width="20.85546875" bestFit="1" customWidth="1"/>
    <col min="6" max="6" width="30.5703125" customWidth="1"/>
    <col min="7" max="7" width="17.42578125" customWidth="1"/>
    <col min="8" max="8" width="12.85546875" customWidth="1"/>
    <col min="9" max="9" width="13.140625" customWidth="1"/>
    <col min="10" max="10" width="13.7109375" customWidth="1"/>
    <col min="11" max="11" width="14" customWidth="1"/>
    <col min="12" max="12" width="13.28515625" customWidth="1"/>
  </cols>
  <sheetData>
    <row r="3" spans="2:7">
      <c r="B3" s="218" t="s">
        <v>206</v>
      </c>
      <c r="C3" s="218"/>
      <c r="F3" s="218" t="s">
        <v>326</v>
      </c>
      <c r="G3" s="218"/>
    </row>
    <row r="4" spans="2:7">
      <c r="B4" s="36"/>
      <c r="C4" s="36"/>
      <c r="F4" s="36"/>
      <c r="G4" s="36"/>
    </row>
    <row r="5" spans="2:7">
      <c r="B5" s="36" t="s">
        <v>226</v>
      </c>
      <c r="C5" s="184">
        <v>197698</v>
      </c>
      <c r="F5" s="36" t="s">
        <v>226</v>
      </c>
      <c r="G5" s="184">
        <v>197698</v>
      </c>
    </row>
    <row r="6" spans="2:7">
      <c r="B6" s="36" t="s">
        <v>227</v>
      </c>
      <c r="C6" s="184">
        <v>30045</v>
      </c>
      <c r="F6" s="36" t="s">
        <v>227</v>
      </c>
      <c r="G6" s="184">
        <v>30045</v>
      </c>
    </row>
    <row r="7" spans="2:7">
      <c r="B7" s="36" t="s">
        <v>203</v>
      </c>
      <c r="C7" s="185">
        <v>0.98</v>
      </c>
      <c r="F7" s="36" t="s">
        <v>203</v>
      </c>
      <c r="G7" s="185">
        <v>0.77</v>
      </c>
    </row>
    <row r="8" spans="2:7">
      <c r="B8" s="36"/>
      <c r="C8" s="185"/>
      <c r="F8" s="36" t="s">
        <v>228</v>
      </c>
      <c r="G8" s="185">
        <v>0.56000000000000005</v>
      </c>
    </row>
    <row r="9" spans="2:7">
      <c r="B9" s="36" t="s">
        <v>213</v>
      </c>
      <c r="C9" s="185">
        <v>0.17</v>
      </c>
      <c r="F9" s="36" t="s">
        <v>213</v>
      </c>
      <c r="G9" s="185">
        <v>0.17</v>
      </c>
    </row>
    <row r="10" spans="2:7">
      <c r="B10" s="36" t="s">
        <v>214</v>
      </c>
      <c r="C10" s="186">
        <v>2.8000000000000001E-2</v>
      </c>
      <c r="F10" s="36" t="s">
        <v>214</v>
      </c>
      <c r="G10" s="186">
        <v>2.8000000000000001E-2</v>
      </c>
    </row>
    <row r="11" spans="2:7">
      <c r="B11" s="36" t="s">
        <v>204</v>
      </c>
      <c r="C11" s="187">
        <f>((C5+C6)*C7)*(C9+C10)</f>
        <v>44191.25172</v>
      </c>
      <c r="F11" s="36" t="s">
        <v>204</v>
      </c>
      <c r="G11" s="187">
        <f>(((G5+G6)*G7)*G8)*(G9+G10)</f>
        <v>19444.150756800005</v>
      </c>
    </row>
    <row r="12" spans="2:7">
      <c r="B12" s="36"/>
      <c r="C12" s="36"/>
      <c r="F12" s="36" t="s">
        <v>229</v>
      </c>
      <c r="G12" s="184">
        <v>14</v>
      </c>
    </row>
    <row r="13" spans="2:7">
      <c r="B13" s="36" t="s">
        <v>205</v>
      </c>
      <c r="C13" s="185">
        <v>0.7</v>
      </c>
      <c r="F13" s="36"/>
      <c r="G13" s="186"/>
    </row>
    <row r="14" spans="2:7">
      <c r="B14" s="36" t="s">
        <v>225</v>
      </c>
      <c r="C14" s="187">
        <f>C11*C13</f>
        <v>30933.876203999997</v>
      </c>
      <c r="F14" s="36" t="s">
        <v>230</v>
      </c>
      <c r="G14" s="185">
        <v>0.7</v>
      </c>
    </row>
    <row r="15" spans="2:7">
      <c r="B15" s="36" t="s">
        <v>493</v>
      </c>
      <c r="C15" s="56">
        <v>0.4</v>
      </c>
      <c r="F15" s="36" t="s">
        <v>225</v>
      </c>
      <c r="G15" s="187">
        <f>(G11/G12)*G14</f>
        <v>972.20753784000021</v>
      </c>
    </row>
    <row r="16" spans="2:7">
      <c r="B16" s="36"/>
      <c r="C16" s="36"/>
      <c r="F16" s="36" t="s">
        <v>493</v>
      </c>
      <c r="G16" s="56">
        <v>0.5</v>
      </c>
    </row>
    <row r="17" spans="2:7">
      <c r="B17" s="36"/>
      <c r="C17" s="36"/>
      <c r="F17" s="36"/>
      <c r="G17" s="36"/>
    </row>
    <row r="18" spans="2:7">
      <c r="B18" s="36"/>
      <c r="C18" s="36"/>
      <c r="F18" s="36"/>
      <c r="G18" s="36"/>
    </row>
    <row r="19" spans="2:7">
      <c r="B19" s="36" t="s">
        <v>207</v>
      </c>
      <c r="C19" s="187">
        <f>(C14/12)*C15</f>
        <v>1031.1292068</v>
      </c>
      <c r="F19" s="36" t="s">
        <v>231</v>
      </c>
      <c r="G19" s="187">
        <f>(G15/12)*G16</f>
        <v>40.508647410000009</v>
      </c>
    </row>
    <row r="20" spans="2:7">
      <c r="B20" s="36" t="s">
        <v>208</v>
      </c>
      <c r="C20" s="184">
        <v>3</v>
      </c>
      <c r="F20" s="36" t="s">
        <v>208</v>
      </c>
      <c r="G20" s="184">
        <v>3</v>
      </c>
    </row>
    <row r="21" spans="2:7">
      <c r="B21" s="36" t="s">
        <v>209</v>
      </c>
      <c r="C21" s="187">
        <f>C19*C20</f>
        <v>3093.3876203999998</v>
      </c>
      <c r="F21" s="36" t="s">
        <v>209</v>
      </c>
      <c r="G21" s="187">
        <f>G19*G20</f>
        <v>121.52594223000003</v>
      </c>
    </row>
    <row r="22" spans="2:7">
      <c r="B22" s="36" t="s">
        <v>215</v>
      </c>
      <c r="C22" s="51">
        <v>4</v>
      </c>
      <c r="F22" s="36" t="s">
        <v>210</v>
      </c>
      <c r="G22" s="51">
        <v>25</v>
      </c>
    </row>
    <row r="23" spans="2:7">
      <c r="B23" s="36" t="s">
        <v>216</v>
      </c>
      <c r="C23" s="51">
        <v>8</v>
      </c>
      <c r="F23" s="36" t="s">
        <v>168</v>
      </c>
      <c r="G23" s="51">
        <f>G21*G22</f>
        <v>3038.1485557500005</v>
      </c>
    </row>
    <row r="24" spans="2:7">
      <c r="B24" s="36" t="s">
        <v>217</v>
      </c>
      <c r="C24" s="185">
        <v>0.4</v>
      </c>
      <c r="F24" s="36" t="s">
        <v>211</v>
      </c>
      <c r="G24" s="51">
        <f>G23*12</f>
        <v>36457.782669000007</v>
      </c>
    </row>
    <row r="25" spans="2:7">
      <c r="B25" s="36" t="s">
        <v>218</v>
      </c>
      <c r="C25" s="185">
        <v>0.6</v>
      </c>
      <c r="F25" s="36" t="s">
        <v>212</v>
      </c>
      <c r="G25" s="188">
        <v>0.03</v>
      </c>
    </row>
    <row r="26" spans="2:7">
      <c r="B26" s="36" t="s">
        <v>168</v>
      </c>
      <c r="C26" s="51">
        <f>((C21*C24*C22)+(C21*C25*C23))</f>
        <v>19797.68077056</v>
      </c>
    </row>
    <row r="27" spans="2:7">
      <c r="B27" s="36" t="s">
        <v>211</v>
      </c>
      <c r="C27" s="51">
        <f>C26*12</f>
        <v>237572.16924672</v>
      </c>
    </row>
    <row r="28" spans="2:7">
      <c r="B28" s="36" t="s">
        <v>212</v>
      </c>
      <c r="C28" s="188">
        <v>0.03</v>
      </c>
    </row>
    <row r="30" spans="2:7" ht="13.5" thickBot="1"/>
    <row r="31" spans="2:7" ht="13.5" thickBot="1">
      <c r="F31" s="29" t="s">
        <v>222</v>
      </c>
      <c r="G31" s="33">
        <v>4</v>
      </c>
    </row>
    <row r="32" spans="2:7" ht="26.25" thickBot="1">
      <c r="F32" s="31" t="s">
        <v>223</v>
      </c>
      <c r="G32" s="34">
        <v>8</v>
      </c>
    </row>
    <row r="33" spans="2:7" ht="13.5" thickBot="1">
      <c r="F33" s="29" t="s">
        <v>219</v>
      </c>
      <c r="G33" s="30">
        <v>89863</v>
      </c>
    </row>
    <row r="34" spans="2:7" ht="13.5" thickBot="1">
      <c r="C34" s="27"/>
      <c r="F34" s="31" t="s">
        <v>220</v>
      </c>
      <c r="G34" s="32">
        <v>107835</v>
      </c>
    </row>
    <row r="35" spans="2:7" ht="13.5" thickBot="1">
      <c r="F35" s="31" t="s">
        <v>221</v>
      </c>
      <c r="G35" s="32">
        <v>197698</v>
      </c>
    </row>
    <row r="38" spans="2:7">
      <c r="B38" s="218" t="s">
        <v>232</v>
      </c>
      <c r="C38" s="218"/>
    </row>
    <row r="39" spans="2:7" ht="15.75">
      <c r="B39" s="35" t="s">
        <v>243</v>
      </c>
      <c r="C39" s="35" t="s">
        <v>242</v>
      </c>
    </row>
    <row r="40" spans="2:7">
      <c r="B40" s="36" t="s">
        <v>233</v>
      </c>
      <c r="C40" s="39">
        <v>0.32</v>
      </c>
    </row>
    <row r="41" spans="2:7">
      <c r="B41" s="36" t="s">
        <v>234</v>
      </c>
      <c r="C41" s="39">
        <v>0.27</v>
      </c>
    </row>
    <row r="42" spans="2:7">
      <c r="B42" s="36" t="s">
        <v>235</v>
      </c>
      <c r="C42" s="39">
        <v>0.21</v>
      </c>
    </row>
    <row r="43" spans="2:7">
      <c r="B43" s="36" t="s">
        <v>236</v>
      </c>
      <c r="C43" s="39">
        <v>0.15</v>
      </c>
    </row>
    <row r="44" spans="2:7" ht="26.25" customHeight="1">
      <c r="B44" s="216" t="s">
        <v>237</v>
      </c>
      <c r="C44" s="39">
        <v>0.05</v>
      </c>
    </row>
    <row r="45" spans="2:7">
      <c r="C45" s="28"/>
    </row>
    <row r="48" spans="2:7">
      <c r="B48" t="s">
        <v>238</v>
      </c>
      <c r="C48" s="6">
        <v>2.5</v>
      </c>
    </row>
    <row r="50" spans="2:5">
      <c r="B50" s="117" t="s">
        <v>239</v>
      </c>
      <c r="C50" s="189" t="s">
        <v>247</v>
      </c>
      <c r="D50" s="117" t="s">
        <v>248</v>
      </c>
      <c r="E50" s="117" t="s">
        <v>249</v>
      </c>
    </row>
    <row r="51" spans="2:5">
      <c r="B51" s="175" t="s">
        <v>233</v>
      </c>
      <c r="C51" s="59">
        <v>4</v>
      </c>
      <c r="D51" s="59">
        <f>$C$48</f>
        <v>2.5</v>
      </c>
      <c r="E51" s="59">
        <f>C51-D51</f>
        <v>1.5</v>
      </c>
    </row>
    <row r="52" spans="2:5">
      <c r="B52" s="175" t="s">
        <v>234</v>
      </c>
      <c r="C52" s="59">
        <v>6</v>
      </c>
      <c r="D52" s="59">
        <f>$C$48</f>
        <v>2.5</v>
      </c>
      <c r="E52" s="59">
        <f>C52-D52</f>
        <v>3.5</v>
      </c>
    </row>
    <row r="53" spans="2:5">
      <c r="B53" s="175" t="s">
        <v>235</v>
      </c>
      <c r="C53" s="59">
        <v>6</v>
      </c>
      <c r="D53" s="59">
        <f>$C$48</f>
        <v>2.5</v>
      </c>
      <c r="E53" s="59">
        <f>C53-D53</f>
        <v>3.5</v>
      </c>
    </row>
    <row r="54" spans="2:5">
      <c r="B54" s="175" t="s">
        <v>236</v>
      </c>
      <c r="C54" s="59">
        <v>4</v>
      </c>
      <c r="D54" s="59">
        <f>$C$48</f>
        <v>2.5</v>
      </c>
      <c r="E54" s="59">
        <f>C54-D54</f>
        <v>1.5</v>
      </c>
    </row>
    <row r="55" spans="2:5">
      <c r="B55" s="175" t="s">
        <v>237</v>
      </c>
      <c r="C55" s="59">
        <v>4</v>
      </c>
      <c r="D55" s="59">
        <f>$C$48</f>
        <v>2.5</v>
      </c>
      <c r="E55" s="59">
        <f>C55-D55</f>
        <v>1.5</v>
      </c>
    </row>
    <row r="57" spans="2:5">
      <c r="B57" t="s">
        <v>240</v>
      </c>
      <c r="C57" s="38">
        <v>0.5</v>
      </c>
    </row>
    <row r="58" spans="2:5">
      <c r="B58" t="s">
        <v>241</v>
      </c>
      <c r="C58" s="38">
        <v>0.25</v>
      </c>
    </row>
    <row r="61" spans="2:5">
      <c r="B61" t="s">
        <v>209</v>
      </c>
      <c r="C61" s="26">
        <f>C21</f>
        <v>3093.3876203999998</v>
      </c>
    </row>
    <row r="62" spans="2:5">
      <c r="B62" t="s">
        <v>244</v>
      </c>
      <c r="C62" s="40">
        <f>(C61*C40*C51)+(C61*C41*C52)+(C61*C42*C53)+(C61*C43*C54)+(C61*C44*C55)</f>
        <v>15343.202597183998</v>
      </c>
      <c r="D62" s="6"/>
    </row>
    <row r="63" spans="2:5">
      <c r="B63" t="s">
        <v>245</v>
      </c>
      <c r="C63" s="40">
        <f>(C61*2)*C57</f>
        <v>3093.3876203999998</v>
      </c>
      <c r="D63" s="6"/>
    </row>
    <row r="64" spans="2:5">
      <c r="B64" t="s">
        <v>246</v>
      </c>
      <c r="C64" s="40">
        <f>(C62+C63)*12</f>
        <v>221239.08261100797</v>
      </c>
    </row>
    <row r="69" spans="1:12">
      <c r="A69" s="219" t="s">
        <v>494</v>
      </c>
      <c r="B69" s="219"/>
      <c r="C69" s="219"/>
    </row>
    <row r="70" spans="1:12">
      <c r="A70" s="50" t="s">
        <v>495</v>
      </c>
      <c r="B70" s="50" t="s">
        <v>314</v>
      </c>
      <c r="C70" s="50" t="s">
        <v>315</v>
      </c>
    </row>
    <row r="71" spans="1:12" ht="15.75">
      <c r="A71" s="52">
        <v>1</v>
      </c>
      <c r="B71" s="109">
        <v>0.4</v>
      </c>
      <c r="C71" s="109">
        <v>0.5</v>
      </c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>
      <c r="A72" s="52">
        <v>2</v>
      </c>
      <c r="B72" s="109">
        <v>0.5</v>
      </c>
      <c r="C72" s="109">
        <v>0.6</v>
      </c>
      <c r="D72" s="19"/>
      <c r="E72" s="19"/>
      <c r="F72" s="19"/>
      <c r="G72" s="19"/>
      <c r="H72" s="19"/>
      <c r="I72" s="19"/>
      <c r="J72" s="19"/>
      <c r="K72" s="19"/>
      <c r="L72" s="19"/>
    </row>
    <row r="73" spans="1:12">
      <c r="A73" s="52">
        <v>3</v>
      </c>
      <c r="B73" s="109">
        <v>0.55000000000000004</v>
      </c>
      <c r="C73" s="109">
        <v>0.65</v>
      </c>
      <c r="D73" s="61"/>
      <c r="E73" s="61"/>
      <c r="F73" s="61"/>
      <c r="G73" s="61"/>
      <c r="H73" s="61"/>
      <c r="I73" s="61"/>
      <c r="J73" s="61"/>
      <c r="K73" s="61"/>
      <c r="L73" s="61"/>
    </row>
    <row r="74" spans="1:12">
      <c r="A74" s="52">
        <v>4</v>
      </c>
      <c r="B74" s="109">
        <v>0.6</v>
      </c>
      <c r="C74" s="109">
        <v>0.68</v>
      </c>
      <c r="D74" s="61"/>
      <c r="E74" s="61"/>
      <c r="F74" s="61"/>
      <c r="G74" s="61"/>
      <c r="H74" s="61"/>
      <c r="I74" s="61"/>
      <c r="J74" s="61"/>
      <c r="K74" s="61"/>
      <c r="L74" s="61"/>
    </row>
    <row r="75" spans="1:12">
      <c r="A75" s="52">
        <v>5</v>
      </c>
      <c r="B75" s="109">
        <v>0.65</v>
      </c>
      <c r="C75" s="109">
        <v>0.72</v>
      </c>
      <c r="D75" s="61"/>
      <c r="E75" s="61"/>
      <c r="F75" s="61"/>
      <c r="G75" s="61"/>
      <c r="H75" s="61"/>
      <c r="I75" s="61"/>
      <c r="J75" s="61"/>
      <c r="K75" s="61"/>
      <c r="L75" s="61"/>
    </row>
    <row r="76" spans="1:12">
      <c r="A76" s="52">
        <v>6</v>
      </c>
      <c r="B76" s="109">
        <v>0.7</v>
      </c>
      <c r="C76" s="109">
        <v>0.75</v>
      </c>
      <c r="D76" s="62"/>
      <c r="E76" s="62"/>
      <c r="F76" s="62"/>
      <c r="G76" s="62"/>
      <c r="H76" s="62"/>
      <c r="I76" s="62"/>
      <c r="J76" s="62"/>
      <c r="K76" s="62"/>
      <c r="L76" s="62"/>
    </row>
    <row r="77" spans="1:12">
      <c r="A77" s="52">
        <v>7</v>
      </c>
      <c r="B77" s="109">
        <v>0.75</v>
      </c>
      <c r="C77" s="109">
        <v>0.78</v>
      </c>
      <c r="D77" s="24"/>
      <c r="E77" s="24"/>
      <c r="F77" s="24"/>
      <c r="G77" s="24"/>
      <c r="H77" s="24"/>
      <c r="I77" s="24"/>
      <c r="J77" s="24"/>
      <c r="K77" s="24"/>
      <c r="L77" s="24"/>
    </row>
    <row r="78" spans="1:12">
      <c r="A78" s="52">
        <v>8</v>
      </c>
      <c r="B78" s="110">
        <v>0.8</v>
      </c>
      <c r="C78" s="110">
        <v>0.81</v>
      </c>
    </row>
    <row r="79" spans="1:12">
      <c r="A79" s="52">
        <v>9</v>
      </c>
      <c r="B79" s="110">
        <v>0.85</v>
      </c>
      <c r="C79" s="110">
        <v>0.83</v>
      </c>
    </row>
    <row r="80" spans="1:12">
      <c r="A80" s="52">
        <v>10</v>
      </c>
      <c r="B80" s="110">
        <v>0.9</v>
      </c>
      <c r="C80" s="110">
        <v>0.85</v>
      </c>
    </row>
    <row r="82" spans="1:5" ht="15">
      <c r="A82" s="217" t="s">
        <v>496</v>
      </c>
      <c r="B82" s="217"/>
      <c r="C82" s="217"/>
      <c r="D82" s="217"/>
      <c r="E82" s="217"/>
    </row>
    <row r="83" spans="1:5">
      <c r="A83" s="50" t="s">
        <v>495</v>
      </c>
      <c r="B83" s="50" t="s">
        <v>314</v>
      </c>
      <c r="C83" s="50" t="s">
        <v>315</v>
      </c>
      <c r="D83" s="50" t="s">
        <v>497</v>
      </c>
      <c r="E83" s="50" t="s">
        <v>498</v>
      </c>
    </row>
    <row r="84" spans="1:5">
      <c r="A84" s="52">
        <v>1</v>
      </c>
      <c r="B84" s="111">
        <f>((($C$14*B71)/12)*$C$20)*12</f>
        <v>37120.651444799994</v>
      </c>
      <c r="C84" s="111">
        <f>(((($G$15/12)*C71)*$G$20))*12</f>
        <v>1458.3113067600002</v>
      </c>
      <c r="D84" s="111">
        <f>(B84)</f>
        <v>37120.651444799994</v>
      </c>
      <c r="E84" s="111">
        <f>B84*2</f>
        <v>74241.302889599989</v>
      </c>
    </row>
    <row r="85" spans="1:5">
      <c r="A85" s="52">
        <v>2</v>
      </c>
      <c r="B85" s="111">
        <f>(((($C$14*B72)/12)*$C$20)*12)+($C$28*B84)</f>
        <v>47514.433849343994</v>
      </c>
      <c r="C85" s="111">
        <f>((((($G$15/12)*C72)*$G$20))*12)+($G$25*C84)</f>
        <v>1793.7229073148005</v>
      </c>
      <c r="D85" s="111">
        <f t="shared" ref="D85:D93" si="0">(B85)</f>
        <v>47514.433849343994</v>
      </c>
      <c r="E85" s="111">
        <f t="shared" ref="E85:E93" si="1">B85*2</f>
        <v>95028.867698687987</v>
      </c>
    </row>
    <row r="86" spans="1:5">
      <c r="A86" s="52">
        <v>3</v>
      </c>
      <c r="B86" s="111">
        <f t="shared" ref="B86:B93" si="2">(((($C$14*B73)/12)*$C$20)*12)+($C$28*B85)</f>
        <v>52466.328752080313</v>
      </c>
      <c r="C86" s="111">
        <f t="shared" ref="C86:C93" si="3">((((($G$15/12)*C73)*$G$20))*12)+($G$25*C85)</f>
        <v>1949.6163860074444</v>
      </c>
      <c r="D86" s="111">
        <f t="shared" si="0"/>
        <v>52466.328752080313</v>
      </c>
      <c r="E86" s="111">
        <f t="shared" si="1"/>
        <v>104932.65750416063</v>
      </c>
    </row>
    <row r="87" spans="1:5">
      <c r="A87" s="52">
        <v>4</v>
      </c>
      <c r="B87" s="111">
        <f t="shared" si="2"/>
        <v>57254.967029762403</v>
      </c>
      <c r="C87" s="111">
        <f t="shared" si="3"/>
        <v>2041.791868773824</v>
      </c>
      <c r="D87" s="111">
        <f t="shared" si="0"/>
        <v>57254.967029762403</v>
      </c>
      <c r="E87" s="111">
        <f t="shared" si="1"/>
        <v>114509.93405952481</v>
      </c>
    </row>
    <row r="88" spans="1:5">
      <c r="A88" s="52">
        <v>5</v>
      </c>
      <c r="B88" s="111">
        <f t="shared" si="2"/>
        <v>62038.707608692872</v>
      </c>
      <c r="C88" s="111">
        <f t="shared" si="3"/>
        <v>2161.222037797615</v>
      </c>
      <c r="D88" s="111">
        <f t="shared" si="0"/>
        <v>62038.707608692872</v>
      </c>
      <c r="E88" s="111">
        <f t="shared" si="1"/>
        <v>124077.41521738574</v>
      </c>
    </row>
    <row r="89" spans="1:5">
      <c r="A89" s="52">
        <v>6</v>
      </c>
      <c r="B89" s="111">
        <f t="shared" si="2"/>
        <v>66822.301256660779</v>
      </c>
      <c r="C89" s="111">
        <f t="shared" si="3"/>
        <v>2252.3036212739285</v>
      </c>
      <c r="D89" s="111">
        <f t="shared" si="0"/>
        <v>66822.301256660779</v>
      </c>
      <c r="E89" s="111">
        <f t="shared" si="1"/>
        <v>133644.60251332156</v>
      </c>
    </row>
    <row r="90" spans="1:5">
      <c r="A90" s="52">
        <v>7</v>
      </c>
      <c r="B90" s="111">
        <f t="shared" si="2"/>
        <v>71605.890496699823</v>
      </c>
      <c r="C90" s="111">
        <f t="shared" si="3"/>
        <v>2342.5347471838186</v>
      </c>
      <c r="D90" s="111">
        <f t="shared" si="0"/>
        <v>71605.890496699823</v>
      </c>
      <c r="E90" s="111">
        <f t="shared" si="1"/>
        <v>143211.78099339965</v>
      </c>
    </row>
    <row r="91" spans="1:5">
      <c r="A91" s="52">
        <v>8</v>
      </c>
      <c r="B91" s="111">
        <f t="shared" si="2"/>
        <v>76389.479604500986</v>
      </c>
      <c r="C91" s="111">
        <f t="shared" si="3"/>
        <v>2432.7403593667154</v>
      </c>
      <c r="D91" s="111">
        <f t="shared" si="0"/>
        <v>76389.479604500986</v>
      </c>
      <c r="E91" s="111">
        <f t="shared" si="1"/>
        <v>152778.95920900197</v>
      </c>
    </row>
    <row r="92" spans="1:5">
      <c r="A92" s="52">
        <v>9</v>
      </c>
      <c r="B92" s="111">
        <f t="shared" si="2"/>
        <v>81173.06870833502</v>
      </c>
      <c r="C92" s="111">
        <f t="shared" si="3"/>
        <v>2493.7789800026021</v>
      </c>
      <c r="D92" s="111">
        <f t="shared" si="0"/>
        <v>81173.06870833502</v>
      </c>
      <c r="E92" s="111">
        <f t="shared" si="1"/>
        <v>162346.13741667004</v>
      </c>
    </row>
    <row r="93" spans="1:5">
      <c r="A93" s="52">
        <v>10</v>
      </c>
      <c r="B93" s="111">
        <f t="shared" si="2"/>
        <v>85956.657812050034</v>
      </c>
      <c r="C93" s="111">
        <f t="shared" si="3"/>
        <v>2553.9425908920784</v>
      </c>
      <c r="D93" s="111">
        <f t="shared" si="0"/>
        <v>85956.657812050034</v>
      </c>
      <c r="E93" s="111">
        <f t="shared" si="1"/>
        <v>171913.31562410007</v>
      </c>
    </row>
    <row r="94" spans="1:5">
      <c r="A94" s="2"/>
      <c r="B94" s="9"/>
      <c r="C94" s="2"/>
    </row>
  </sheetData>
  <mergeCells count="5">
    <mergeCell ref="A82:E82"/>
    <mergeCell ref="B3:C3"/>
    <mergeCell ref="F3:G3"/>
    <mergeCell ref="B38:C38"/>
    <mergeCell ref="A69:C69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0"/>
  <sheetViews>
    <sheetView workbookViewId="0">
      <selection activeCell="E23" sqref="E23"/>
    </sheetView>
  </sheetViews>
  <sheetFormatPr baseColWidth="10" defaultRowHeight="12.75"/>
  <cols>
    <col min="2" max="2" width="22.28515625" bestFit="1" customWidth="1"/>
    <col min="3" max="3" width="14.5703125" customWidth="1"/>
    <col min="6" max="6" width="12.28515625" bestFit="1" customWidth="1"/>
    <col min="7" max="7" width="11.7109375" bestFit="1" customWidth="1"/>
    <col min="8" max="8" width="15.140625" bestFit="1" customWidth="1"/>
    <col min="9" max="9" width="14" customWidth="1"/>
  </cols>
  <sheetData>
    <row r="2" spans="2:9" ht="18">
      <c r="B2" s="239" t="s">
        <v>174</v>
      </c>
      <c r="C2" s="240"/>
      <c r="D2" s="240"/>
      <c r="E2" s="240"/>
      <c r="F2" s="240"/>
      <c r="G2" s="240"/>
      <c r="H2" s="240"/>
      <c r="I2" s="241"/>
    </row>
    <row r="3" spans="2:9" ht="12" customHeight="1"/>
    <row r="4" spans="2:9" ht="15" customHeight="1">
      <c r="E4" s="229" t="s">
        <v>503</v>
      </c>
      <c r="F4" s="229"/>
      <c r="G4" s="229"/>
      <c r="H4" s="229"/>
      <c r="I4" s="229"/>
    </row>
    <row r="5" spans="2:9" ht="14.25">
      <c r="B5" t="s">
        <v>169</v>
      </c>
      <c r="C5" s="41">
        <f>'INVERSION INICIAL'!K57-'CAPITAL DE TRABAJO'!C7</f>
        <v>1835553.1376587313</v>
      </c>
      <c r="E5" s="117" t="s">
        <v>175</v>
      </c>
      <c r="F5" s="117" t="s">
        <v>176</v>
      </c>
      <c r="G5" s="117" t="s">
        <v>177</v>
      </c>
      <c r="H5" s="117" t="s">
        <v>179</v>
      </c>
      <c r="I5" s="117" t="s">
        <v>178</v>
      </c>
    </row>
    <row r="6" spans="2:9">
      <c r="B6" t="s">
        <v>170</v>
      </c>
      <c r="C6" s="6">
        <f>C5*0.3</f>
        <v>550665.94129761937</v>
      </c>
      <c r="E6" s="58">
        <v>0</v>
      </c>
      <c r="F6" s="58" t="s">
        <v>302</v>
      </c>
      <c r="G6" s="58" t="s">
        <v>302</v>
      </c>
      <c r="H6" s="58" t="s">
        <v>302</v>
      </c>
      <c r="I6" s="59">
        <f>C7</f>
        <v>1284887.1963611119</v>
      </c>
    </row>
    <row r="7" spans="2:9">
      <c r="B7" t="s">
        <v>171</v>
      </c>
      <c r="C7" s="6">
        <f>C5*0.7</f>
        <v>1284887.1963611119</v>
      </c>
      <c r="E7" s="58">
        <v>1</v>
      </c>
      <c r="F7" s="60">
        <f>C10</f>
        <v>218175.67960141</v>
      </c>
      <c r="G7" s="59">
        <f>I6*$C$9</f>
        <v>141337.59159972231</v>
      </c>
      <c r="H7" s="60">
        <f>F7-G7</f>
        <v>76838.088001687691</v>
      </c>
      <c r="I7" s="59">
        <f>I6-H7</f>
        <v>1208049.1083594242</v>
      </c>
    </row>
    <row r="8" spans="2:9">
      <c r="B8" t="s">
        <v>172</v>
      </c>
      <c r="C8">
        <v>10</v>
      </c>
      <c r="E8" s="58">
        <v>2</v>
      </c>
      <c r="F8" s="60">
        <f>F7</f>
        <v>218175.67960141</v>
      </c>
      <c r="G8" s="59">
        <f t="shared" ref="G8:G16" si="0">I7*$C$9</f>
        <v>132885.40191953667</v>
      </c>
      <c r="H8" s="60">
        <f t="shared" ref="H8:H16" si="1">F8-G8</f>
        <v>85290.277681873325</v>
      </c>
      <c r="I8" s="59">
        <f t="shared" ref="I8:I16" si="2">I7-H8</f>
        <v>1122758.8306775508</v>
      </c>
    </row>
    <row r="9" spans="2:9">
      <c r="B9" t="s">
        <v>254</v>
      </c>
      <c r="C9" s="25">
        <v>0.11</v>
      </c>
      <c r="E9" s="58">
        <v>3</v>
      </c>
      <c r="F9" s="60">
        <f t="shared" ref="F9:F16" si="3">F8</f>
        <v>218175.67960141</v>
      </c>
      <c r="G9" s="59">
        <f t="shared" si="0"/>
        <v>123503.47137453058</v>
      </c>
      <c r="H9" s="60">
        <f t="shared" si="1"/>
        <v>94672.208226879418</v>
      </c>
      <c r="I9" s="59">
        <f t="shared" si="2"/>
        <v>1028086.6224506714</v>
      </c>
    </row>
    <row r="10" spans="2:9">
      <c r="B10" s="3" t="s">
        <v>173</v>
      </c>
      <c r="C10" s="43">
        <f>PMT(C9,C8,-C7)</f>
        <v>218175.67960141</v>
      </c>
      <c r="E10" s="58">
        <v>4</v>
      </c>
      <c r="F10" s="60">
        <f t="shared" si="3"/>
        <v>218175.67960141</v>
      </c>
      <c r="G10" s="59">
        <f t="shared" si="0"/>
        <v>113089.52846957385</v>
      </c>
      <c r="H10" s="60">
        <f t="shared" si="1"/>
        <v>105086.15113183614</v>
      </c>
      <c r="I10" s="59">
        <f t="shared" si="2"/>
        <v>923000.47131883528</v>
      </c>
    </row>
    <row r="11" spans="2:9">
      <c r="E11" s="58">
        <v>5</v>
      </c>
      <c r="F11" s="60">
        <f t="shared" si="3"/>
        <v>218175.67960141</v>
      </c>
      <c r="G11" s="59">
        <f t="shared" si="0"/>
        <v>101530.05184507188</v>
      </c>
      <c r="H11" s="60">
        <f t="shared" si="1"/>
        <v>116645.62775633812</v>
      </c>
      <c r="I11" s="59">
        <f t="shared" si="2"/>
        <v>806354.84356249718</v>
      </c>
    </row>
    <row r="12" spans="2:9">
      <c r="E12" s="58">
        <v>6</v>
      </c>
      <c r="F12" s="60">
        <f t="shared" si="3"/>
        <v>218175.67960141</v>
      </c>
      <c r="G12" s="59">
        <f t="shared" si="0"/>
        <v>88699.032791874692</v>
      </c>
      <c r="H12" s="60">
        <f t="shared" si="1"/>
        <v>129476.6468095353</v>
      </c>
      <c r="I12" s="59">
        <f t="shared" si="2"/>
        <v>676878.19675296184</v>
      </c>
    </row>
    <row r="13" spans="2:9">
      <c r="E13" s="58">
        <v>7</v>
      </c>
      <c r="F13" s="60">
        <f t="shared" si="3"/>
        <v>218175.67960141</v>
      </c>
      <c r="G13" s="59">
        <f t="shared" si="0"/>
        <v>74456.601642825801</v>
      </c>
      <c r="H13" s="60">
        <f t="shared" si="1"/>
        <v>143719.07795858418</v>
      </c>
      <c r="I13" s="59">
        <f t="shared" si="2"/>
        <v>533159.11879437766</v>
      </c>
    </row>
    <row r="14" spans="2:9">
      <c r="E14" s="58">
        <v>8</v>
      </c>
      <c r="F14" s="60">
        <f t="shared" si="3"/>
        <v>218175.67960141</v>
      </c>
      <c r="G14" s="59">
        <f t="shared" si="0"/>
        <v>58647.503067381542</v>
      </c>
      <c r="H14" s="60">
        <f t="shared" si="1"/>
        <v>159528.17653402846</v>
      </c>
      <c r="I14" s="59">
        <f t="shared" si="2"/>
        <v>373630.94226034917</v>
      </c>
    </row>
    <row r="15" spans="2:9">
      <c r="E15" s="58">
        <v>9</v>
      </c>
      <c r="F15" s="60">
        <f t="shared" si="3"/>
        <v>218175.67960141</v>
      </c>
      <c r="G15" s="59">
        <f t="shared" si="0"/>
        <v>41099.403648638407</v>
      </c>
      <c r="H15" s="60">
        <f t="shared" si="1"/>
        <v>177076.2759527716</v>
      </c>
      <c r="I15" s="59">
        <f t="shared" si="2"/>
        <v>196554.66630757757</v>
      </c>
    </row>
    <row r="16" spans="2:9">
      <c r="E16" s="58">
        <v>10</v>
      </c>
      <c r="F16" s="60">
        <f t="shared" si="3"/>
        <v>218175.67960141</v>
      </c>
      <c r="G16" s="59">
        <f t="shared" si="0"/>
        <v>21621.013293833534</v>
      </c>
      <c r="H16" s="60">
        <f t="shared" si="1"/>
        <v>196554.66630757647</v>
      </c>
      <c r="I16" s="59">
        <f t="shared" si="2"/>
        <v>1.1059455573558807E-9</v>
      </c>
    </row>
    <row r="17" spans="2:12">
      <c r="B17" s="223" t="s">
        <v>502</v>
      </c>
      <c r="C17" s="223"/>
      <c r="E17" s="238" t="s">
        <v>311</v>
      </c>
      <c r="F17" s="238"/>
      <c r="G17" s="238"/>
      <c r="H17" s="238"/>
      <c r="I17" s="238"/>
    </row>
    <row r="18" spans="2:12">
      <c r="B18" s="219" t="s">
        <v>321</v>
      </c>
      <c r="C18" s="219"/>
      <c r="F18" s="244"/>
      <c r="G18" s="244"/>
      <c r="H18" s="244"/>
      <c r="I18" s="24"/>
      <c r="J18" s="24"/>
      <c r="K18" s="24"/>
      <c r="L18" s="24"/>
    </row>
    <row r="19" spans="2:12">
      <c r="B19" s="36" t="s">
        <v>307</v>
      </c>
      <c r="C19" s="51">
        <f>C7</f>
        <v>1284887.1963611119</v>
      </c>
      <c r="F19" s="17"/>
      <c r="G19" s="44"/>
      <c r="H19" s="17"/>
      <c r="I19" s="24"/>
      <c r="J19" s="24"/>
      <c r="K19" s="24"/>
      <c r="L19" s="24"/>
    </row>
    <row r="20" spans="2:12">
      <c r="B20" s="36" t="s">
        <v>322</v>
      </c>
      <c r="C20" s="56">
        <f>C9</f>
        <v>0.11</v>
      </c>
      <c r="F20" s="17"/>
      <c r="G20" s="45"/>
      <c r="H20" s="19"/>
      <c r="I20" s="24"/>
      <c r="J20" s="24"/>
      <c r="K20" s="24"/>
      <c r="L20" s="24"/>
    </row>
    <row r="21" spans="2:12">
      <c r="B21" s="36" t="s">
        <v>324</v>
      </c>
      <c r="C21" s="57" t="s">
        <v>323</v>
      </c>
      <c r="F21" s="17"/>
      <c r="G21" s="46"/>
      <c r="H21" s="19"/>
      <c r="I21" s="24"/>
      <c r="J21" s="24"/>
      <c r="K21" s="24"/>
      <c r="L21" s="24"/>
    </row>
    <row r="22" spans="2:12">
      <c r="B22" s="222" t="s">
        <v>311</v>
      </c>
      <c r="C22" s="222"/>
      <c r="F22" s="24"/>
      <c r="G22" s="24"/>
      <c r="H22" s="24"/>
      <c r="I22" s="24"/>
      <c r="J22" s="24"/>
      <c r="K22" s="24"/>
      <c r="L22" s="24"/>
    </row>
    <row r="23" spans="2:12">
      <c r="F23" s="24"/>
      <c r="G23" s="24"/>
      <c r="H23" s="24"/>
      <c r="I23" s="24"/>
      <c r="J23" s="24"/>
      <c r="K23" s="24"/>
      <c r="L23" s="24"/>
    </row>
    <row r="24" spans="2:12" ht="13.5">
      <c r="F24" s="242"/>
      <c r="G24" s="242"/>
      <c r="H24" s="242"/>
      <c r="I24" s="242"/>
      <c r="J24" s="242"/>
      <c r="K24" s="242"/>
      <c r="L24" s="242"/>
    </row>
    <row r="25" spans="2:12">
      <c r="C25" s="42"/>
      <c r="F25" s="47"/>
      <c r="G25" s="47"/>
      <c r="H25" s="47"/>
      <c r="I25" s="47"/>
      <c r="J25" s="47"/>
      <c r="K25" s="47"/>
      <c r="L25" s="47"/>
    </row>
    <row r="26" spans="2:12">
      <c r="F26" s="48"/>
      <c r="G26" s="49"/>
      <c r="H26" s="49"/>
      <c r="I26" s="49"/>
      <c r="J26" s="49"/>
      <c r="K26" s="49"/>
      <c r="L26" s="49"/>
    </row>
    <row r="27" spans="2:12">
      <c r="F27" s="48"/>
      <c r="G27" s="49"/>
      <c r="H27" s="49"/>
      <c r="I27" s="49"/>
      <c r="J27" s="49"/>
      <c r="K27" s="49"/>
      <c r="L27" s="49"/>
    </row>
    <row r="28" spans="2:12">
      <c r="F28" s="48"/>
      <c r="G28" s="49"/>
      <c r="H28" s="49"/>
      <c r="I28" s="49"/>
      <c r="J28" s="49"/>
      <c r="K28" s="49"/>
      <c r="L28" s="49"/>
    </row>
    <row r="29" spans="2:12">
      <c r="F29" s="48"/>
      <c r="G29" s="49"/>
      <c r="H29" s="49"/>
      <c r="I29" s="49"/>
      <c r="J29" s="49"/>
      <c r="K29" s="49"/>
      <c r="L29" s="49"/>
    </row>
    <row r="30" spans="2:12" ht="12.75" customHeight="1">
      <c r="F30" s="243"/>
      <c r="G30" s="243"/>
      <c r="H30" s="243"/>
      <c r="I30" s="243"/>
      <c r="J30" s="243"/>
      <c r="K30" s="243"/>
      <c r="L30" s="243"/>
    </row>
  </sheetData>
  <mergeCells count="9">
    <mergeCell ref="E4:I4"/>
    <mergeCell ref="E17:I17"/>
    <mergeCell ref="B2:I2"/>
    <mergeCell ref="F24:L24"/>
    <mergeCell ref="F30:L30"/>
    <mergeCell ref="F18:H18"/>
    <mergeCell ref="B18:C18"/>
    <mergeCell ref="B17:C17"/>
    <mergeCell ref="B22:C22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21"/>
  <sheetViews>
    <sheetView workbookViewId="0">
      <selection activeCell="G25" sqref="G25"/>
    </sheetView>
  </sheetViews>
  <sheetFormatPr baseColWidth="10" defaultRowHeight="12.75"/>
  <cols>
    <col min="2" max="2" width="20.85546875" customWidth="1"/>
    <col min="3" max="3" width="13.5703125" customWidth="1"/>
    <col min="4" max="4" width="10" customWidth="1"/>
    <col min="5" max="5" width="12.85546875" customWidth="1"/>
    <col min="6" max="6" width="12.5703125" customWidth="1"/>
    <col min="7" max="7" width="13.42578125" customWidth="1"/>
    <col min="8" max="8" width="12.85546875" customWidth="1"/>
  </cols>
  <sheetData>
    <row r="3" spans="2:8" ht="24" customHeight="1">
      <c r="B3" s="245" t="s">
        <v>260</v>
      </c>
      <c r="C3" s="246"/>
      <c r="D3" s="246"/>
      <c r="E3" s="246"/>
      <c r="F3" s="246"/>
      <c r="G3" s="246"/>
      <c r="H3" s="247"/>
    </row>
    <row r="6" spans="2:8" ht="16.5" customHeight="1">
      <c r="B6" s="229" t="s">
        <v>508</v>
      </c>
      <c r="C6" s="229"/>
      <c r="D6" s="229"/>
      <c r="E6" s="229"/>
      <c r="F6" s="229"/>
      <c r="G6" s="229"/>
      <c r="H6" s="229"/>
    </row>
    <row r="7" spans="2:8" ht="27" customHeight="1">
      <c r="B7" s="122" t="s">
        <v>255</v>
      </c>
      <c r="C7" s="123" t="s">
        <v>256</v>
      </c>
      <c r="D7" s="124" t="s">
        <v>348</v>
      </c>
      <c r="E7" s="123" t="s">
        <v>257</v>
      </c>
      <c r="F7" s="123" t="s">
        <v>349</v>
      </c>
      <c r="G7" s="123" t="s">
        <v>258</v>
      </c>
      <c r="H7" s="123" t="s">
        <v>259</v>
      </c>
    </row>
    <row r="8" spans="2:8">
      <c r="B8" s="36" t="s">
        <v>105</v>
      </c>
      <c r="C8" s="51">
        <f>DEPRECIACIONES!C6</f>
        <v>168150</v>
      </c>
      <c r="D8" s="52">
        <v>25</v>
      </c>
      <c r="E8" s="51">
        <f>C8/D8</f>
        <v>6726</v>
      </c>
      <c r="F8" s="52">
        <v>10</v>
      </c>
      <c r="G8" s="51">
        <f>E8*F8</f>
        <v>67260</v>
      </c>
      <c r="H8" s="51">
        <f>C8-G8</f>
        <v>100890</v>
      </c>
    </row>
    <row r="9" spans="2:8">
      <c r="B9" s="36" t="s">
        <v>106</v>
      </c>
      <c r="C9" s="51">
        <f>DEPRECIACIONES!C7</f>
        <v>102500</v>
      </c>
      <c r="D9" s="52">
        <v>25</v>
      </c>
      <c r="E9" s="51">
        <f t="shared" ref="E9:E19" si="0">C9/D9</f>
        <v>4100</v>
      </c>
      <c r="F9" s="52">
        <v>10</v>
      </c>
      <c r="G9" s="51">
        <f t="shared" ref="G9:G19" si="1">E9*F9</f>
        <v>41000</v>
      </c>
      <c r="H9" s="51">
        <f t="shared" ref="H9:H19" si="2">C9-G9</f>
        <v>61500</v>
      </c>
    </row>
    <row r="10" spans="2:8">
      <c r="B10" s="36" t="s">
        <v>107</v>
      </c>
      <c r="C10" s="51">
        <f>DEPRECIACIONES!C8</f>
        <v>60000</v>
      </c>
      <c r="D10" s="52">
        <v>25</v>
      </c>
      <c r="E10" s="51">
        <f t="shared" si="0"/>
        <v>2400</v>
      </c>
      <c r="F10" s="52">
        <v>10</v>
      </c>
      <c r="G10" s="51">
        <f t="shared" si="1"/>
        <v>24000</v>
      </c>
      <c r="H10" s="51">
        <f t="shared" si="2"/>
        <v>36000</v>
      </c>
    </row>
    <row r="11" spans="2:8">
      <c r="B11" s="36" t="s">
        <v>108</v>
      </c>
      <c r="C11" s="51">
        <f>DEPRECIACIONES!C9</f>
        <v>30000</v>
      </c>
      <c r="D11" s="52">
        <v>25</v>
      </c>
      <c r="E11" s="51">
        <f t="shared" si="0"/>
        <v>1200</v>
      </c>
      <c r="F11" s="52">
        <v>10</v>
      </c>
      <c r="G11" s="51">
        <f t="shared" si="1"/>
        <v>12000</v>
      </c>
      <c r="H11" s="51">
        <f t="shared" si="2"/>
        <v>18000</v>
      </c>
    </row>
    <row r="12" spans="2:8">
      <c r="B12" s="36" t="s">
        <v>109</v>
      </c>
      <c r="C12" s="51">
        <f>DEPRECIACIONES!C10</f>
        <v>116286.19</v>
      </c>
      <c r="D12" s="52">
        <v>10</v>
      </c>
      <c r="E12" s="51">
        <f t="shared" si="0"/>
        <v>11628.619000000001</v>
      </c>
      <c r="F12" s="52">
        <v>10</v>
      </c>
      <c r="G12" s="51">
        <f t="shared" si="1"/>
        <v>116286.19</v>
      </c>
      <c r="H12" s="51">
        <f t="shared" si="2"/>
        <v>0</v>
      </c>
    </row>
    <row r="13" spans="2:8">
      <c r="B13" s="36" t="s">
        <v>110</v>
      </c>
      <c r="C13" s="51">
        <f>DEPRECIACIONES!C11</f>
        <v>34944</v>
      </c>
      <c r="D13" s="52">
        <v>10</v>
      </c>
      <c r="E13" s="51">
        <f t="shared" si="0"/>
        <v>3494.4</v>
      </c>
      <c r="F13" s="52">
        <v>10</v>
      </c>
      <c r="G13" s="51">
        <f t="shared" si="1"/>
        <v>34944</v>
      </c>
      <c r="H13" s="51">
        <f t="shared" si="2"/>
        <v>0</v>
      </c>
    </row>
    <row r="14" spans="2:8">
      <c r="B14" s="36" t="s">
        <v>111</v>
      </c>
      <c r="C14" s="51">
        <f>DEPRECIACIONES!C12</f>
        <v>3300</v>
      </c>
      <c r="D14" s="52">
        <v>3</v>
      </c>
      <c r="E14" s="51">
        <f t="shared" si="0"/>
        <v>1100</v>
      </c>
      <c r="F14" s="52">
        <v>3</v>
      </c>
      <c r="G14" s="51">
        <f t="shared" si="1"/>
        <v>3300</v>
      </c>
      <c r="H14" s="51">
        <f t="shared" si="2"/>
        <v>0</v>
      </c>
    </row>
    <row r="15" spans="2:8">
      <c r="B15" s="36" t="s">
        <v>112</v>
      </c>
      <c r="C15" s="51">
        <f>DEPRECIACIONES!C13</f>
        <v>3070</v>
      </c>
      <c r="D15" s="52">
        <v>10</v>
      </c>
      <c r="E15" s="51">
        <f t="shared" si="0"/>
        <v>307</v>
      </c>
      <c r="F15" s="52">
        <v>10</v>
      </c>
      <c r="G15" s="51">
        <f t="shared" si="1"/>
        <v>3070</v>
      </c>
      <c r="H15" s="51">
        <f t="shared" si="2"/>
        <v>0</v>
      </c>
    </row>
    <row r="16" spans="2:8">
      <c r="B16" s="36" t="s">
        <v>113</v>
      </c>
      <c r="C16" s="51">
        <f>DEPRECIACIONES!C14</f>
        <v>1000</v>
      </c>
      <c r="D16" s="52">
        <v>10</v>
      </c>
      <c r="E16" s="51">
        <f t="shared" si="0"/>
        <v>100</v>
      </c>
      <c r="F16" s="52">
        <v>10</v>
      </c>
      <c r="G16" s="51">
        <f t="shared" si="1"/>
        <v>1000</v>
      </c>
      <c r="H16" s="51">
        <f t="shared" si="2"/>
        <v>0</v>
      </c>
    </row>
    <row r="17" spans="2:8">
      <c r="B17" s="36" t="s">
        <v>114</v>
      </c>
      <c r="C17" s="51">
        <f>DEPRECIACIONES!C15</f>
        <v>3800</v>
      </c>
      <c r="D17" s="52">
        <v>10</v>
      </c>
      <c r="E17" s="51">
        <f t="shared" si="0"/>
        <v>380</v>
      </c>
      <c r="F17" s="52">
        <v>10</v>
      </c>
      <c r="G17" s="51">
        <f t="shared" si="1"/>
        <v>3800</v>
      </c>
      <c r="H17" s="51">
        <f t="shared" si="2"/>
        <v>0</v>
      </c>
    </row>
    <row r="18" spans="2:8">
      <c r="B18" s="36" t="s">
        <v>316</v>
      </c>
      <c r="C18" s="51">
        <f>'INVERSION INICIAL'!K41</f>
        <v>1000</v>
      </c>
      <c r="D18" s="52">
        <v>10</v>
      </c>
      <c r="E18" s="51">
        <f t="shared" si="0"/>
        <v>100</v>
      </c>
      <c r="F18" s="52">
        <v>10</v>
      </c>
      <c r="G18" s="51">
        <f t="shared" si="1"/>
        <v>1000</v>
      </c>
      <c r="H18" s="51">
        <f t="shared" si="2"/>
        <v>0</v>
      </c>
    </row>
    <row r="19" spans="2:8">
      <c r="B19" s="36" t="s">
        <v>224</v>
      </c>
      <c r="C19" s="51">
        <f>DEPRECIACIONES!C17</f>
        <v>1004633.96</v>
      </c>
      <c r="D19" s="52">
        <v>20</v>
      </c>
      <c r="E19" s="51">
        <f t="shared" si="0"/>
        <v>50231.697999999997</v>
      </c>
      <c r="F19" s="52">
        <v>10</v>
      </c>
      <c r="G19" s="51">
        <f t="shared" si="1"/>
        <v>502316.98</v>
      </c>
      <c r="H19" s="51">
        <f t="shared" si="2"/>
        <v>502316.98</v>
      </c>
    </row>
    <row r="20" spans="2:8" ht="12.75" customHeight="1">
      <c r="B20" s="234" t="s">
        <v>261</v>
      </c>
      <c r="C20" s="235"/>
      <c r="D20" s="235"/>
      <c r="E20" s="235"/>
      <c r="F20" s="235"/>
      <c r="G20" s="236"/>
      <c r="H20" s="116">
        <f>SUM(H8:H19)</f>
        <v>718706.98</v>
      </c>
    </row>
    <row r="21" spans="2:8" ht="15.75" customHeight="1">
      <c r="B21" s="222" t="s">
        <v>311</v>
      </c>
      <c r="C21" s="222"/>
    </row>
  </sheetData>
  <mergeCells count="4">
    <mergeCell ref="B3:H3"/>
    <mergeCell ref="B20:G20"/>
    <mergeCell ref="B21:C21"/>
    <mergeCell ref="B6:H6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113"/>
  <sheetViews>
    <sheetView workbookViewId="0">
      <selection activeCell="F52" sqref="F52"/>
    </sheetView>
  </sheetViews>
  <sheetFormatPr baseColWidth="10" defaultRowHeight="12.75"/>
  <cols>
    <col min="1" max="1" width="5.7109375" customWidth="1"/>
    <col min="2" max="2" width="12.85546875" customWidth="1"/>
    <col min="3" max="3" width="14.85546875" customWidth="1"/>
    <col min="8" max="8" width="24.42578125" customWidth="1"/>
  </cols>
  <sheetData>
    <row r="4" spans="1:15">
      <c r="B4" s="93"/>
      <c r="C4" s="93"/>
      <c r="D4" s="93"/>
      <c r="E4" s="93"/>
      <c r="F4" s="93"/>
      <c r="G4" s="93"/>
      <c r="H4" s="93"/>
    </row>
    <row r="5" spans="1:15" ht="13.5" thickBot="1"/>
    <row r="6" spans="1:15" ht="45.75" customHeight="1" thickBot="1">
      <c r="H6" s="202" t="s">
        <v>352</v>
      </c>
      <c r="I6" s="203" t="s">
        <v>353</v>
      </c>
      <c r="J6" s="203" t="s">
        <v>354</v>
      </c>
      <c r="K6" s="203" t="s">
        <v>355</v>
      </c>
      <c r="L6" s="203" t="s">
        <v>356</v>
      </c>
      <c r="M6" s="203" t="s">
        <v>357</v>
      </c>
      <c r="N6" s="203" t="s">
        <v>358</v>
      </c>
      <c r="O6" s="204" t="s">
        <v>359</v>
      </c>
    </row>
    <row r="7" spans="1:15" ht="15" customHeight="1">
      <c r="A7" s="118" t="s">
        <v>481</v>
      </c>
      <c r="B7" s="118"/>
      <c r="C7" s="118"/>
      <c r="D7" s="118"/>
      <c r="E7" s="118"/>
      <c r="H7" s="64" t="s">
        <v>360</v>
      </c>
      <c r="I7" s="65">
        <v>36</v>
      </c>
      <c r="J7" s="65">
        <v>1.6</v>
      </c>
      <c r="K7" s="66">
        <v>0.72760000000000002</v>
      </c>
      <c r="L7" s="67">
        <v>0.13009999999999999</v>
      </c>
      <c r="M7" s="205">
        <v>0.98</v>
      </c>
      <c r="N7" s="66">
        <v>0.1192</v>
      </c>
      <c r="O7" s="68">
        <v>1.1200000000000001</v>
      </c>
    </row>
    <row r="8" spans="1:15" ht="15.75">
      <c r="B8" s="249" t="s">
        <v>480</v>
      </c>
      <c r="C8" s="250"/>
      <c r="H8" s="69" t="s">
        <v>361</v>
      </c>
      <c r="I8" s="70">
        <v>67</v>
      </c>
      <c r="J8" s="70">
        <v>1.19</v>
      </c>
      <c r="K8" s="71">
        <v>0.22939999999999999</v>
      </c>
      <c r="L8" s="72">
        <v>0.20050000000000001</v>
      </c>
      <c r="M8" s="206">
        <v>1</v>
      </c>
      <c r="N8" s="71">
        <v>7.9000000000000001E-2</v>
      </c>
      <c r="O8" s="73">
        <v>1.0900000000000001</v>
      </c>
    </row>
    <row r="9" spans="1:15">
      <c r="B9" s="94" t="s">
        <v>476</v>
      </c>
      <c r="C9" s="90">
        <v>3.6299999999999999E-2</v>
      </c>
      <c r="H9" s="69" t="s">
        <v>362</v>
      </c>
      <c r="I9" s="70">
        <v>44</v>
      </c>
      <c r="J9" s="70">
        <v>1.06</v>
      </c>
      <c r="K9" s="71">
        <v>0.70740000000000003</v>
      </c>
      <c r="L9" s="72">
        <v>0.17630000000000001</v>
      </c>
      <c r="M9" s="206">
        <v>0.67</v>
      </c>
      <c r="N9" s="71">
        <v>0.11840000000000001</v>
      </c>
      <c r="O9" s="73">
        <v>0.76</v>
      </c>
    </row>
    <row r="10" spans="1:15">
      <c r="B10" s="94" t="s">
        <v>482</v>
      </c>
      <c r="C10" s="90">
        <v>0.11650000000000001</v>
      </c>
      <c r="H10" s="69" t="s">
        <v>363</v>
      </c>
      <c r="I10" s="70">
        <v>56</v>
      </c>
      <c r="J10" s="70">
        <v>1.3</v>
      </c>
      <c r="K10" s="71">
        <v>0.2361</v>
      </c>
      <c r="L10" s="72">
        <v>0.16539999999999999</v>
      </c>
      <c r="M10" s="206">
        <v>1.0900000000000001</v>
      </c>
      <c r="N10" s="71">
        <v>6.9500000000000006E-2</v>
      </c>
      <c r="O10" s="73">
        <v>1.17</v>
      </c>
    </row>
    <row r="11" spans="1:15">
      <c r="B11" s="94" t="s">
        <v>483</v>
      </c>
      <c r="C11" s="91">
        <v>1.01</v>
      </c>
      <c r="H11" s="69" t="s">
        <v>364</v>
      </c>
      <c r="I11" s="70">
        <v>22</v>
      </c>
      <c r="J11" s="70">
        <v>1.72</v>
      </c>
      <c r="K11" s="71">
        <v>1.5447</v>
      </c>
      <c r="L11" s="72">
        <v>0.13250000000000001</v>
      </c>
      <c r="M11" s="206">
        <v>0.74</v>
      </c>
      <c r="N11" s="71">
        <v>0.11749999999999999</v>
      </c>
      <c r="O11" s="73">
        <v>0.83</v>
      </c>
    </row>
    <row r="12" spans="1:15">
      <c r="B12" s="94" t="s">
        <v>486</v>
      </c>
      <c r="C12" s="90">
        <v>8.2000000000000003E-2</v>
      </c>
      <c r="H12" s="69" t="s">
        <v>365</v>
      </c>
      <c r="I12" s="70">
        <v>54</v>
      </c>
      <c r="J12" s="70">
        <v>1.75</v>
      </c>
      <c r="K12" s="71">
        <v>0.51239999999999997</v>
      </c>
      <c r="L12" s="72">
        <v>0.12089999999999999</v>
      </c>
      <c r="M12" s="206">
        <v>1.21</v>
      </c>
      <c r="N12" s="71">
        <v>0.12379999999999999</v>
      </c>
      <c r="O12" s="73">
        <v>1.38</v>
      </c>
    </row>
    <row r="13" spans="1:15">
      <c r="B13" s="94" t="s">
        <v>484</v>
      </c>
      <c r="C13" s="90">
        <f>(C10-C9)</f>
        <v>8.0200000000000007E-2</v>
      </c>
      <c r="H13" s="69" t="s">
        <v>366</v>
      </c>
      <c r="I13" s="70">
        <v>481</v>
      </c>
      <c r="J13" s="70">
        <v>0.75</v>
      </c>
      <c r="K13" s="71">
        <v>1.9822</v>
      </c>
      <c r="L13" s="72">
        <v>0.17499999999999999</v>
      </c>
      <c r="M13" s="206">
        <v>0.28000000000000003</v>
      </c>
      <c r="N13" s="71">
        <v>0.1036</v>
      </c>
      <c r="O13" s="73">
        <v>0.32</v>
      </c>
    </row>
    <row r="14" spans="1:15" ht="14.25">
      <c r="B14" s="92"/>
      <c r="C14" s="90"/>
      <c r="H14" s="69" t="s">
        <v>367</v>
      </c>
      <c r="I14" s="70">
        <v>7</v>
      </c>
      <c r="J14" s="70">
        <v>0.86</v>
      </c>
      <c r="K14" s="71">
        <v>0.16439999999999999</v>
      </c>
      <c r="L14" s="72">
        <v>0.14940000000000001</v>
      </c>
      <c r="M14" s="206">
        <v>0.76</v>
      </c>
      <c r="N14" s="71">
        <v>7.3700000000000002E-2</v>
      </c>
      <c r="O14" s="73">
        <v>0.82</v>
      </c>
    </row>
    <row r="15" spans="1:15" ht="14.25">
      <c r="B15" s="125" t="s">
        <v>485</v>
      </c>
      <c r="C15" s="126">
        <v>0.19931000000000004</v>
      </c>
      <c r="H15" s="69" t="s">
        <v>368</v>
      </c>
      <c r="I15" s="70">
        <v>39</v>
      </c>
      <c r="J15" s="70">
        <v>0.96</v>
      </c>
      <c r="K15" s="71">
        <v>1.1053999999999999</v>
      </c>
      <c r="L15" s="72">
        <v>0.20649999999999999</v>
      </c>
      <c r="M15" s="206">
        <v>0.51</v>
      </c>
      <c r="N15" s="71">
        <v>9.6299999999999997E-2</v>
      </c>
      <c r="O15" s="73">
        <v>0.56999999999999995</v>
      </c>
    </row>
    <row r="16" spans="1:15" ht="15.75" customHeight="1">
      <c r="B16" s="222" t="s">
        <v>311</v>
      </c>
      <c r="C16" s="222"/>
      <c r="H16" s="69" t="s">
        <v>369</v>
      </c>
      <c r="I16" s="70">
        <v>41</v>
      </c>
      <c r="J16" s="70">
        <v>1.04</v>
      </c>
      <c r="K16" s="71">
        <v>0.16919999999999999</v>
      </c>
      <c r="L16" s="72">
        <v>0.1212</v>
      </c>
      <c r="M16" s="206">
        <v>0.9</v>
      </c>
      <c r="N16" s="71">
        <v>3.2000000000000001E-2</v>
      </c>
      <c r="O16" s="73">
        <v>0.93</v>
      </c>
    </row>
    <row r="17" spans="2:15">
      <c r="H17" s="69" t="s">
        <v>370</v>
      </c>
      <c r="I17" s="70">
        <v>121</v>
      </c>
      <c r="J17" s="70">
        <v>1.1000000000000001</v>
      </c>
      <c r="K17" s="71">
        <v>0.14779999999999999</v>
      </c>
      <c r="L17" s="72">
        <v>4.4600000000000001E-2</v>
      </c>
      <c r="M17" s="206">
        <v>0.96</v>
      </c>
      <c r="N17" s="71">
        <v>0.1459</v>
      </c>
      <c r="O17" s="73">
        <v>1.1200000000000001</v>
      </c>
    </row>
    <row r="18" spans="2:15">
      <c r="H18" s="69" t="s">
        <v>371</v>
      </c>
      <c r="I18" s="70">
        <v>53</v>
      </c>
      <c r="J18" s="70">
        <v>1.45</v>
      </c>
      <c r="K18" s="71">
        <v>0.83799999999999997</v>
      </c>
      <c r="L18" s="72">
        <v>0.14560000000000001</v>
      </c>
      <c r="M18" s="206">
        <v>0.84</v>
      </c>
      <c r="N18" s="71">
        <v>5.4800000000000001E-2</v>
      </c>
      <c r="O18" s="73">
        <v>0.89</v>
      </c>
    </row>
    <row r="19" spans="2:15" ht="15">
      <c r="B19" s="89" t="s">
        <v>465</v>
      </c>
      <c r="C19" s="84"/>
      <c r="D19" s="84"/>
      <c r="H19" s="69" t="s">
        <v>372</v>
      </c>
      <c r="I19" s="70">
        <v>24</v>
      </c>
      <c r="J19" s="70">
        <v>1.69</v>
      </c>
      <c r="K19" s="71">
        <v>0.85219999999999996</v>
      </c>
      <c r="L19" s="72">
        <v>0.21859999999999999</v>
      </c>
      <c r="M19" s="206">
        <v>1.02</v>
      </c>
      <c r="N19" s="71">
        <v>4.02E-2</v>
      </c>
      <c r="O19" s="73">
        <v>1.06</v>
      </c>
    </row>
    <row r="20" spans="2:15" ht="15">
      <c r="B20" s="89" t="s">
        <v>466</v>
      </c>
      <c r="C20" s="84" t="s">
        <v>467</v>
      </c>
      <c r="D20" s="84"/>
      <c r="H20" s="69" t="s">
        <v>373</v>
      </c>
      <c r="I20" s="70">
        <v>10</v>
      </c>
      <c r="J20" s="70">
        <v>1.18</v>
      </c>
      <c r="K20" s="71">
        <v>0.30859999999999999</v>
      </c>
      <c r="L20" s="72">
        <v>0.26989999999999997</v>
      </c>
      <c r="M20" s="206">
        <v>0.96</v>
      </c>
      <c r="N20" s="71">
        <v>2.3199999999999998E-2</v>
      </c>
      <c r="O20" s="73">
        <v>0.98</v>
      </c>
    </row>
    <row r="21" spans="2:15" ht="15">
      <c r="B21" s="89" t="s">
        <v>468</v>
      </c>
      <c r="C21" s="84" t="s">
        <v>469</v>
      </c>
      <c r="D21" s="84"/>
      <c r="H21" s="69" t="s">
        <v>374</v>
      </c>
      <c r="I21" s="70">
        <v>17</v>
      </c>
      <c r="J21" s="70">
        <v>1.27</v>
      </c>
      <c r="K21" s="71">
        <v>0.20369999999999999</v>
      </c>
      <c r="L21" s="72">
        <v>0.21590000000000001</v>
      </c>
      <c r="M21" s="206">
        <v>1.1000000000000001</v>
      </c>
      <c r="N21" s="71">
        <v>6.7400000000000002E-2</v>
      </c>
      <c r="O21" s="73">
        <v>1.18</v>
      </c>
    </row>
    <row r="22" spans="2:15" ht="15">
      <c r="B22" s="89" t="s">
        <v>470</v>
      </c>
      <c r="C22" s="84" t="s">
        <v>471</v>
      </c>
      <c r="D22" s="84"/>
      <c r="H22" s="69" t="s">
        <v>375</v>
      </c>
      <c r="I22" s="70">
        <v>31</v>
      </c>
      <c r="J22" s="70">
        <v>1.37</v>
      </c>
      <c r="K22" s="71">
        <v>0.19850000000000001</v>
      </c>
      <c r="L22" s="72">
        <v>0.2084</v>
      </c>
      <c r="M22" s="206">
        <v>1.19</v>
      </c>
      <c r="N22" s="71">
        <v>4.7300000000000002E-2</v>
      </c>
      <c r="O22" s="73">
        <v>1.25</v>
      </c>
    </row>
    <row r="23" spans="2:15" ht="15">
      <c r="B23" s="89" t="s">
        <v>472</v>
      </c>
      <c r="C23" s="84" t="s">
        <v>473</v>
      </c>
      <c r="D23" s="84"/>
      <c r="H23" s="69" t="s">
        <v>376</v>
      </c>
      <c r="I23" s="70">
        <v>97</v>
      </c>
      <c r="J23" s="70">
        <v>1.29</v>
      </c>
      <c r="K23" s="71">
        <v>0.29010000000000002</v>
      </c>
      <c r="L23" s="72">
        <v>0.12859999999999999</v>
      </c>
      <c r="M23" s="206">
        <v>1.03</v>
      </c>
      <c r="N23" s="71">
        <v>4.1700000000000001E-2</v>
      </c>
      <c r="O23" s="73">
        <v>1.08</v>
      </c>
    </row>
    <row r="24" spans="2:15" ht="15">
      <c r="B24" s="89" t="s">
        <v>474</v>
      </c>
      <c r="C24" s="84" t="s">
        <v>475</v>
      </c>
      <c r="D24" s="84"/>
      <c r="H24" s="69" t="s">
        <v>377</v>
      </c>
      <c r="I24" s="70">
        <v>21</v>
      </c>
      <c r="J24" s="70">
        <v>1.67</v>
      </c>
      <c r="K24" s="71">
        <v>0.23680000000000001</v>
      </c>
      <c r="L24" s="72">
        <v>0.13150000000000001</v>
      </c>
      <c r="M24" s="206">
        <v>1.39</v>
      </c>
      <c r="N24" s="71">
        <v>4.3099999999999999E-2</v>
      </c>
      <c r="O24" s="73">
        <v>1.45</v>
      </c>
    </row>
    <row r="25" spans="2:15">
      <c r="H25" s="69" t="s">
        <v>378</v>
      </c>
      <c r="I25" s="70">
        <v>333</v>
      </c>
      <c r="J25" s="70">
        <v>1.02</v>
      </c>
      <c r="K25" s="71">
        <v>5.6099999999999997E-2</v>
      </c>
      <c r="L25" s="72">
        <v>0.1012</v>
      </c>
      <c r="M25" s="206">
        <v>0.97</v>
      </c>
      <c r="N25" s="71">
        <v>0.10340000000000001</v>
      </c>
      <c r="O25" s="73">
        <v>1.08</v>
      </c>
    </row>
    <row r="26" spans="2:15">
      <c r="H26" s="69" t="s">
        <v>379</v>
      </c>
      <c r="I26" s="70">
        <v>129</v>
      </c>
      <c r="J26" s="70">
        <v>1.29</v>
      </c>
      <c r="K26" s="71">
        <v>0.10929999999999999</v>
      </c>
      <c r="L26" s="72">
        <v>8.6499999999999994E-2</v>
      </c>
      <c r="M26" s="206">
        <v>1.17</v>
      </c>
      <c r="N26" s="71">
        <v>0.122</v>
      </c>
      <c r="O26" s="73">
        <v>1.33</v>
      </c>
    </row>
    <row r="27" spans="2:15">
      <c r="H27" s="69" t="s">
        <v>380</v>
      </c>
      <c r="I27" s="70">
        <v>121</v>
      </c>
      <c r="J27" s="70">
        <v>1.2</v>
      </c>
      <c r="K27" s="71">
        <v>1.3877999999999999</v>
      </c>
      <c r="L27" s="72">
        <v>0.1893</v>
      </c>
      <c r="M27" s="206">
        <v>0.56999999999999995</v>
      </c>
      <c r="N27" s="71">
        <v>0.11119999999999999</v>
      </c>
      <c r="O27" s="73">
        <v>0.64</v>
      </c>
    </row>
    <row r="28" spans="2:15">
      <c r="H28" s="69" t="s">
        <v>381</v>
      </c>
      <c r="I28" s="70">
        <v>337</v>
      </c>
      <c r="J28" s="70">
        <v>1.1100000000000001</v>
      </c>
      <c r="K28" s="71">
        <v>0.1258</v>
      </c>
      <c r="L28" s="72">
        <v>5.62E-2</v>
      </c>
      <c r="M28" s="206">
        <v>0.99</v>
      </c>
      <c r="N28" s="71">
        <v>7.7899999999999997E-2</v>
      </c>
      <c r="O28" s="73">
        <v>1.07</v>
      </c>
    </row>
    <row r="29" spans="2:15">
      <c r="H29" s="69" t="s">
        <v>382</v>
      </c>
      <c r="I29" s="70">
        <v>56</v>
      </c>
      <c r="J29" s="70">
        <v>1.18</v>
      </c>
      <c r="K29" s="71">
        <v>8.7400000000000005E-2</v>
      </c>
      <c r="L29" s="72">
        <v>0.13500000000000001</v>
      </c>
      <c r="M29" s="206">
        <v>1.0900000000000001</v>
      </c>
      <c r="N29" s="71">
        <v>0.1163</v>
      </c>
      <c r="O29" s="73">
        <v>1.24</v>
      </c>
    </row>
    <row r="30" spans="2:15">
      <c r="H30" s="69" t="s">
        <v>383</v>
      </c>
      <c r="I30" s="70">
        <v>38</v>
      </c>
      <c r="J30" s="70">
        <v>0.75</v>
      </c>
      <c r="K30" s="71">
        <v>7.2099999999999997E-2</v>
      </c>
      <c r="L30" s="72">
        <v>0.24060000000000001</v>
      </c>
      <c r="M30" s="206">
        <v>0.71</v>
      </c>
      <c r="N30" s="71">
        <v>8.5800000000000001E-2</v>
      </c>
      <c r="O30" s="73">
        <v>0.78</v>
      </c>
    </row>
    <row r="31" spans="2:15">
      <c r="H31" s="69" t="s">
        <v>384</v>
      </c>
      <c r="I31" s="70">
        <v>23</v>
      </c>
      <c r="J31" s="70">
        <v>0.79</v>
      </c>
      <c r="K31" s="71">
        <v>1.0288999999999999</v>
      </c>
      <c r="L31" s="72">
        <v>0.32269999999999999</v>
      </c>
      <c r="M31" s="206">
        <v>0.47</v>
      </c>
      <c r="N31" s="71">
        <v>2.3099999999999999E-2</v>
      </c>
      <c r="O31" s="73">
        <v>0.48</v>
      </c>
    </row>
    <row r="32" spans="2:15">
      <c r="H32" s="69" t="s">
        <v>385</v>
      </c>
      <c r="I32" s="70">
        <v>24</v>
      </c>
      <c r="J32" s="70">
        <v>0.73</v>
      </c>
      <c r="K32" s="71">
        <v>0.75739999999999996</v>
      </c>
      <c r="L32" s="72">
        <v>0.3377</v>
      </c>
      <c r="M32" s="206">
        <v>0.49</v>
      </c>
      <c r="N32" s="71">
        <v>1.7000000000000001E-2</v>
      </c>
      <c r="O32" s="73">
        <v>0.5</v>
      </c>
    </row>
    <row r="33" spans="8:15">
      <c r="H33" s="69" t="s">
        <v>386</v>
      </c>
      <c r="I33" s="70">
        <v>14</v>
      </c>
      <c r="J33" s="70">
        <v>0.75</v>
      </c>
      <c r="K33" s="71">
        <v>0.89990000000000003</v>
      </c>
      <c r="L33" s="72">
        <v>0.32450000000000001</v>
      </c>
      <c r="M33" s="206">
        <v>0.47</v>
      </c>
      <c r="N33" s="71">
        <v>4.2500000000000003E-2</v>
      </c>
      <c r="O33" s="73">
        <v>0.49</v>
      </c>
    </row>
    <row r="34" spans="8:15">
      <c r="H34" s="69" t="s">
        <v>387</v>
      </c>
      <c r="I34" s="70">
        <v>87</v>
      </c>
      <c r="J34" s="70">
        <v>1.41</v>
      </c>
      <c r="K34" s="71">
        <v>0.1691</v>
      </c>
      <c r="L34" s="72">
        <v>0.14069999999999999</v>
      </c>
      <c r="M34" s="206">
        <v>1.23</v>
      </c>
      <c r="N34" s="71">
        <v>7.1599999999999997E-2</v>
      </c>
      <c r="O34" s="73">
        <v>1.33</v>
      </c>
    </row>
    <row r="35" spans="8:15">
      <c r="H35" s="69" t="s">
        <v>388</v>
      </c>
      <c r="I35" s="70">
        <v>183</v>
      </c>
      <c r="J35" s="70">
        <v>1.1599999999999999</v>
      </c>
      <c r="K35" s="71">
        <v>0.26369999999999999</v>
      </c>
      <c r="L35" s="72">
        <v>0.10630000000000001</v>
      </c>
      <c r="M35" s="206">
        <v>0.94</v>
      </c>
      <c r="N35" s="71">
        <v>0.14899999999999999</v>
      </c>
      <c r="O35" s="73">
        <v>1.1000000000000001</v>
      </c>
    </row>
    <row r="36" spans="8:15">
      <c r="H36" s="74" t="s">
        <v>389</v>
      </c>
      <c r="I36" s="75">
        <v>95</v>
      </c>
      <c r="J36" s="75">
        <v>1.81</v>
      </c>
      <c r="K36" s="76">
        <v>0.56830000000000003</v>
      </c>
      <c r="L36" s="77">
        <v>0.1178</v>
      </c>
      <c r="M36" s="206">
        <v>1.21</v>
      </c>
      <c r="N36" s="76">
        <v>6.5600000000000006E-2</v>
      </c>
      <c r="O36" s="78">
        <v>1.29</v>
      </c>
    </row>
    <row r="37" spans="8:15">
      <c r="H37" s="69" t="s">
        <v>390</v>
      </c>
      <c r="I37" s="70">
        <v>35</v>
      </c>
      <c r="J37" s="70">
        <v>1.32</v>
      </c>
      <c r="K37" s="71">
        <v>0.1172</v>
      </c>
      <c r="L37" s="72">
        <v>6.2799999999999995E-2</v>
      </c>
      <c r="M37" s="206">
        <v>1.19</v>
      </c>
      <c r="N37" s="71">
        <v>0.22359999999999999</v>
      </c>
      <c r="O37" s="73">
        <v>1.53</v>
      </c>
    </row>
    <row r="38" spans="8:15">
      <c r="H38" s="69" t="s">
        <v>391</v>
      </c>
      <c r="I38" s="70">
        <v>91</v>
      </c>
      <c r="J38" s="70">
        <v>0.97</v>
      </c>
      <c r="K38" s="71">
        <v>0.49419999999999997</v>
      </c>
      <c r="L38" s="72">
        <v>0.14269999999999999</v>
      </c>
      <c r="M38" s="206">
        <v>0.68</v>
      </c>
      <c r="N38" s="71">
        <v>2.4899999999999999E-2</v>
      </c>
      <c r="O38" s="73">
        <v>0.7</v>
      </c>
    </row>
    <row r="39" spans="8:15">
      <c r="H39" s="69" t="s">
        <v>392</v>
      </c>
      <c r="I39" s="70">
        <v>296</v>
      </c>
      <c r="J39" s="70">
        <v>1.39</v>
      </c>
      <c r="K39" s="71">
        <v>3.0501999999999998</v>
      </c>
      <c r="L39" s="72">
        <v>0.1653</v>
      </c>
      <c r="M39" s="206">
        <v>0.39</v>
      </c>
      <c r="N39" s="71">
        <v>0.15759999999999999</v>
      </c>
      <c r="O39" s="73">
        <v>0.47</v>
      </c>
    </row>
    <row r="40" spans="8:15">
      <c r="H40" s="69" t="s">
        <v>393</v>
      </c>
      <c r="I40" s="70">
        <v>121</v>
      </c>
      <c r="J40" s="70">
        <v>0.86</v>
      </c>
      <c r="K40" s="71">
        <v>0.29310000000000003</v>
      </c>
      <c r="L40" s="72">
        <v>0.1729</v>
      </c>
      <c r="M40" s="206">
        <v>0.69</v>
      </c>
      <c r="N40" s="71">
        <v>3.7900000000000003E-2</v>
      </c>
      <c r="O40" s="73">
        <v>0.72</v>
      </c>
    </row>
    <row r="41" spans="8:15">
      <c r="H41" s="69" t="s">
        <v>394</v>
      </c>
      <c r="I41" s="70">
        <v>9</v>
      </c>
      <c r="J41" s="70">
        <v>1.1299999999999999</v>
      </c>
      <c r="K41" s="71">
        <v>0.29120000000000001</v>
      </c>
      <c r="L41" s="72">
        <v>0.1071</v>
      </c>
      <c r="M41" s="206">
        <v>0.9</v>
      </c>
      <c r="N41" s="71">
        <v>0.22650000000000001</v>
      </c>
      <c r="O41" s="73">
        <v>1.1599999999999999</v>
      </c>
    </row>
    <row r="42" spans="8:15">
      <c r="H42" s="69" t="s">
        <v>395</v>
      </c>
      <c r="I42" s="70">
        <v>5</v>
      </c>
      <c r="J42" s="70">
        <v>1.19</v>
      </c>
      <c r="K42" s="71">
        <v>0.56520000000000004</v>
      </c>
      <c r="L42" s="72">
        <v>0.24340000000000001</v>
      </c>
      <c r="M42" s="206">
        <v>0.83</v>
      </c>
      <c r="N42" s="71">
        <v>3.5099999999999999E-2</v>
      </c>
      <c r="O42" s="73">
        <v>0.86</v>
      </c>
    </row>
    <row r="43" spans="8:15">
      <c r="H43" s="69" t="s">
        <v>396</v>
      </c>
      <c r="I43" s="70">
        <v>35</v>
      </c>
      <c r="J43" s="70">
        <v>1.52</v>
      </c>
      <c r="K43" s="71">
        <v>0.38540000000000002</v>
      </c>
      <c r="L43" s="72">
        <v>0.17480000000000001</v>
      </c>
      <c r="M43" s="206">
        <v>1.1599999999999999</v>
      </c>
      <c r="N43" s="71">
        <v>6.1199999999999997E-2</v>
      </c>
      <c r="O43" s="73">
        <v>1.23</v>
      </c>
    </row>
    <row r="44" spans="8:15">
      <c r="H44" s="69" t="s">
        <v>397</v>
      </c>
      <c r="I44" s="70">
        <v>33</v>
      </c>
      <c r="J44" s="70">
        <v>0.97</v>
      </c>
      <c r="K44" s="71">
        <v>0.13569999999999999</v>
      </c>
      <c r="L44" s="72">
        <v>0.17799999999999999</v>
      </c>
      <c r="M44" s="206">
        <v>0.87</v>
      </c>
      <c r="N44" s="71">
        <v>6.8500000000000005E-2</v>
      </c>
      <c r="O44" s="73">
        <v>0.94</v>
      </c>
    </row>
    <row r="45" spans="8:15">
      <c r="H45" s="69" t="s">
        <v>398</v>
      </c>
      <c r="I45" s="70">
        <v>14</v>
      </c>
      <c r="J45" s="70">
        <v>1.42</v>
      </c>
      <c r="K45" s="71">
        <v>7.5800000000000006E-2</v>
      </c>
      <c r="L45" s="72">
        <v>0.33760000000000001</v>
      </c>
      <c r="M45" s="206">
        <v>1.35</v>
      </c>
      <c r="N45" s="71">
        <v>0.1686</v>
      </c>
      <c r="O45" s="73">
        <v>1.63</v>
      </c>
    </row>
    <row r="46" spans="8:15">
      <c r="H46" s="69" t="s">
        <v>399</v>
      </c>
      <c r="I46" s="70">
        <v>28</v>
      </c>
      <c r="J46" s="70">
        <v>1.45</v>
      </c>
      <c r="K46" s="71">
        <v>1.0234000000000001</v>
      </c>
      <c r="L46" s="72">
        <v>1.4200000000000001E-2</v>
      </c>
      <c r="M46" s="206">
        <v>0.72</v>
      </c>
      <c r="N46" s="71">
        <v>0.2611</v>
      </c>
      <c r="O46" s="73">
        <v>0.98</v>
      </c>
    </row>
    <row r="47" spans="8:15">
      <c r="H47" s="69" t="s">
        <v>400</v>
      </c>
      <c r="I47" s="70">
        <v>74</v>
      </c>
      <c r="J47" s="70">
        <v>1.74</v>
      </c>
      <c r="K47" s="71">
        <v>0.85899999999999999</v>
      </c>
      <c r="L47" s="72">
        <v>0.1293</v>
      </c>
      <c r="M47" s="206">
        <v>1</v>
      </c>
      <c r="N47" s="71">
        <v>6.1899999999999997E-2</v>
      </c>
      <c r="O47" s="73">
        <v>1.06</v>
      </c>
    </row>
    <row r="48" spans="8:15">
      <c r="H48" s="69" t="s">
        <v>401</v>
      </c>
      <c r="I48" s="70">
        <v>23</v>
      </c>
      <c r="J48" s="70">
        <v>1.1499999999999999</v>
      </c>
      <c r="K48" s="71">
        <v>0.22359999999999999</v>
      </c>
      <c r="L48" s="72">
        <v>0.2487</v>
      </c>
      <c r="M48" s="206">
        <v>0.98</v>
      </c>
      <c r="N48" s="71">
        <v>2.23E-2</v>
      </c>
      <c r="O48" s="73">
        <v>1</v>
      </c>
    </row>
    <row r="49" spans="8:15">
      <c r="H49" s="69" t="s">
        <v>402</v>
      </c>
      <c r="I49" s="70">
        <v>30</v>
      </c>
      <c r="J49" s="70">
        <v>1.38</v>
      </c>
      <c r="K49" s="71">
        <v>0.13170000000000001</v>
      </c>
      <c r="L49" s="72">
        <v>0.23630000000000001</v>
      </c>
      <c r="M49" s="206">
        <v>1.25</v>
      </c>
      <c r="N49" s="71">
        <v>0.14810000000000001</v>
      </c>
      <c r="O49" s="73">
        <v>1.47</v>
      </c>
    </row>
    <row r="50" spans="8:15">
      <c r="H50" s="69" t="s">
        <v>403</v>
      </c>
      <c r="I50" s="70">
        <v>168</v>
      </c>
      <c r="J50" s="70">
        <v>1.07</v>
      </c>
      <c r="K50" s="71">
        <v>0.33960000000000001</v>
      </c>
      <c r="L50" s="72">
        <v>0.1789</v>
      </c>
      <c r="M50" s="206">
        <v>0.84</v>
      </c>
      <c r="N50" s="71">
        <v>8.1000000000000003E-2</v>
      </c>
      <c r="O50" s="73">
        <v>0.91</v>
      </c>
    </row>
    <row r="51" spans="8:15">
      <c r="H51" s="69" t="s">
        <v>404</v>
      </c>
      <c r="I51" s="70">
        <v>29</v>
      </c>
      <c r="J51" s="70">
        <v>1.28</v>
      </c>
      <c r="K51" s="71">
        <v>0.23680000000000001</v>
      </c>
      <c r="L51" s="72">
        <v>0.19370000000000001</v>
      </c>
      <c r="M51" s="206">
        <v>1.08</v>
      </c>
      <c r="N51" s="71">
        <v>3.9100000000000003E-2</v>
      </c>
      <c r="O51" s="73">
        <v>1.1200000000000001</v>
      </c>
    </row>
    <row r="52" spans="8:15">
      <c r="H52" s="69" t="s">
        <v>405</v>
      </c>
      <c r="I52" s="70">
        <v>31</v>
      </c>
      <c r="J52" s="70">
        <v>1.38</v>
      </c>
      <c r="K52" s="71">
        <v>0.36809999999999998</v>
      </c>
      <c r="L52" s="72">
        <v>0.22470000000000001</v>
      </c>
      <c r="M52" s="206">
        <v>1.07</v>
      </c>
      <c r="N52" s="71">
        <v>0.3896</v>
      </c>
      <c r="O52" s="73">
        <v>1.75</v>
      </c>
    </row>
    <row r="53" spans="8:15">
      <c r="H53" s="69" t="s">
        <v>406</v>
      </c>
      <c r="I53" s="70">
        <v>85</v>
      </c>
      <c r="J53" s="70">
        <v>0.92</v>
      </c>
      <c r="K53" s="71">
        <v>0.24030000000000001</v>
      </c>
      <c r="L53" s="72">
        <v>0.15679999999999999</v>
      </c>
      <c r="M53" s="206">
        <v>0.76</v>
      </c>
      <c r="N53" s="71">
        <v>0.2351</v>
      </c>
      <c r="O53" s="73">
        <v>1</v>
      </c>
    </row>
    <row r="54" spans="8:15">
      <c r="H54" s="69" t="s">
        <v>407</v>
      </c>
      <c r="I54" s="70">
        <v>239</v>
      </c>
      <c r="J54" s="70">
        <v>1.04</v>
      </c>
      <c r="K54" s="71">
        <v>2.2800000000000001E-2</v>
      </c>
      <c r="L54" s="72">
        <v>5.9400000000000001E-2</v>
      </c>
      <c r="M54" s="206">
        <v>1.02</v>
      </c>
      <c r="N54" s="71">
        <v>9.5299999999999996E-2</v>
      </c>
      <c r="O54" s="73">
        <v>1.1299999999999999</v>
      </c>
    </row>
    <row r="55" spans="8:15">
      <c r="H55" s="69" t="s">
        <v>408</v>
      </c>
      <c r="I55" s="70">
        <v>19</v>
      </c>
      <c r="J55" s="70">
        <v>0.76</v>
      </c>
      <c r="K55" s="71">
        <v>0.59260000000000002</v>
      </c>
      <c r="L55" s="72">
        <v>0</v>
      </c>
      <c r="M55" s="206">
        <v>0.48</v>
      </c>
      <c r="N55" s="71">
        <v>0.72089999999999999</v>
      </c>
      <c r="O55" s="73">
        <v>1.71</v>
      </c>
    </row>
    <row r="56" spans="8:15">
      <c r="H56" s="69" t="s">
        <v>409</v>
      </c>
      <c r="I56" s="70">
        <v>16</v>
      </c>
      <c r="J56" s="70">
        <v>1.39</v>
      </c>
      <c r="K56" s="71">
        <v>9.3799999999999994E-2</v>
      </c>
      <c r="L56" s="72">
        <v>2.1000000000000001E-2</v>
      </c>
      <c r="M56" s="206">
        <v>1.27</v>
      </c>
      <c r="N56" s="71">
        <v>6.8400000000000002E-2</v>
      </c>
      <c r="O56" s="73">
        <v>1.36</v>
      </c>
    </row>
    <row r="57" spans="8:15">
      <c r="H57" s="69" t="s">
        <v>410</v>
      </c>
      <c r="I57" s="70">
        <v>130</v>
      </c>
      <c r="J57" s="70">
        <v>1.32</v>
      </c>
      <c r="K57" s="71">
        <v>0.46800000000000003</v>
      </c>
      <c r="L57" s="72">
        <v>0.2041</v>
      </c>
      <c r="M57" s="206">
        <v>0.96</v>
      </c>
      <c r="N57" s="71">
        <v>6.7000000000000004E-2</v>
      </c>
      <c r="O57" s="73">
        <v>1.03</v>
      </c>
    </row>
    <row r="58" spans="8:15">
      <c r="H58" s="69" t="s">
        <v>411</v>
      </c>
      <c r="I58" s="70">
        <v>15</v>
      </c>
      <c r="J58" s="70">
        <v>1.21</v>
      </c>
      <c r="K58" s="71">
        <v>3.9800000000000002E-2</v>
      </c>
      <c r="L58" s="72">
        <v>0.14799999999999999</v>
      </c>
      <c r="M58" s="206">
        <v>1.17</v>
      </c>
      <c r="N58" s="71">
        <v>0.1351</v>
      </c>
      <c r="O58" s="73">
        <v>1.35</v>
      </c>
    </row>
    <row r="59" spans="8:15">
      <c r="H59" s="69" t="s">
        <v>412</v>
      </c>
      <c r="I59" s="70">
        <v>53</v>
      </c>
      <c r="J59" s="70">
        <v>1.38</v>
      </c>
      <c r="K59" s="71">
        <v>1.5956999999999999</v>
      </c>
      <c r="L59" s="72">
        <v>9.7000000000000003E-2</v>
      </c>
      <c r="M59" s="206">
        <v>0.56999999999999995</v>
      </c>
      <c r="N59" s="71">
        <v>6.93E-2</v>
      </c>
      <c r="O59" s="73">
        <v>0.61</v>
      </c>
    </row>
    <row r="60" spans="8:15">
      <c r="H60" s="69" t="s">
        <v>413</v>
      </c>
      <c r="I60" s="70">
        <v>162</v>
      </c>
      <c r="J60" s="70">
        <v>0.97</v>
      </c>
      <c r="K60" s="71">
        <v>0.43090000000000001</v>
      </c>
      <c r="L60" s="72">
        <v>0.18840000000000001</v>
      </c>
      <c r="M60" s="206">
        <v>0.72</v>
      </c>
      <c r="N60" s="71">
        <v>0.1096</v>
      </c>
      <c r="O60" s="73">
        <v>0.81</v>
      </c>
    </row>
    <row r="61" spans="8:15">
      <c r="H61" s="69" t="s">
        <v>414</v>
      </c>
      <c r="I61" s="70">
        <v>264</v>
      </c>
      <c r="J61" s="70">
        <v>1.04</v>
      </c>
      <c r="K61" s="71">
        <v>0.11360000000000001</v>
      </c>
      <c r="L61" s="72">
        <v>0.1124</v>
      </c>
      <c r="M61" s="206">
        <v>0.95</v>
      </c>
      <c r="N61" s="71">
        <v>6.5699999999999995E-2</v>
      </c>
      <c r="O61" s="73">
        <v>1.02</v>
      </c>
    </row>
    <row r="62" spans="8:15">
      <c r="H62" s="69" t="s">
        <v>415</v>
      </c>
      <c r="I62" s="70">
        <v>36</v>
      </c>
      <c r="J62" s="70">
        <v>1.54</v>
      </c>
      <c r="K62" s="71">
        <v>0.188</v>
      </c>
      <c r="L62" s="72">
        <v>0.18099999999999999</v>
      </c>
      <c r="M62" s="206">
        <v>1.33</v>
      </c>
      <c r="N62" s="71">
        <v>0.1177</v>
      </c>
      <c r="O62" s="73">
        <v>1.51</v>
      </c>
    </row>
    <row r="63" spans="8:15">
      <c r="H63" s="69" t="s">
        <v>416</v>
      </c>
      <c r="I63" s="70">
        <v>79</v>
      </c>
      <c r="J63" s="70">
        <v>1.23</v>
      </c>
      <c r="K63" s="71">
        <v>0.14779999999999999</v>
      </c>
      <c r="L63" s="72">
        <v>7.4099999999999999E-2</v>
      </c>
      <c r="M63" s="206">
        <v>1.08</v>
      </c>
      <c r="N63" s="71">
        <v>2.81E-2</v>
      </c>
      <c r="O63" s="73">
        <v>1.1100000000000001</v>
      </c>
    </row>
    <row r="64" spans="8:15">
      <c r="H64" s="69" t="s">
        <v>417</v>
      </c>
      <c r="I64" s="70">
        <v>32</v>
      </c>
      <c r="J64" s="70">
        <v>1.29</v>
      </c>
      <c r="K64" s="71">
        <v>0.47839999999999999</v>
      </c>
      <c r="L64" s="72">
        <v>0.25009999999999999</v>
      </c>
      <c r="M64" s="206">
        <v>0.95</v>
      </c>
      <c r="N64" s="71">
        <v>2.4400000000000002E-2</v>
      </c>
      <c r="O64" s="73">
        <v>0.97</v>
      </c>
    </row>
    <row r="65" spans="8:15">
      <c r="H65" s="69" t="s">
        <v>418</v>
      </c>
      <c r="I65" s="70">
        <v>24</v>
      </c>
      <c r="J65" s="70">
        <v>0.68</v>
      </c>
      <c r="K65" s="71">
        <v>0.80530000000000002</v>
      </c>
      <c r="L65" s="72">
        <v>0.2487</v>
      </c>
      <c r="M65" s="206">
        <v>0.42</v>
      </c>
      <c r="N65" s="71">
        <v>2.69E-2</v>
      </c>
      <c r="O65" s="73">
        <v>0.43</v>
      </c>
    </row>
    <row r="66" spans="8:15">
      <c r="H66" s="69" t="s">
        <v>419</v>
      </c>
      <c r="I66" s="70">
        <v>15</v>
      </c>
      <c r="J66" s="70">
        <v>1.94</v>
      </c>
      <c r="K66" s="71">
        <v>0.55649999999999999</v>
      </c>
      <c r="L66" s="72">
        <v>0.27260000000000001</v>
      </c>
      <c r="M66" s="206">
        <v>1.38</v>
      </c>
      <c r="N66" s="71">
        <v>3.6799999999999999E-2</v>
      </c>
      <c r="O66" s="73">
        <v>1.44</v>
      </c>
    </row>
    <row r="67" spans="8:15">
      <c r="H67" s="69" t="s">
        <v>420</v>
      </c>
      <c r="I67" s="70">
        <v>25</v>
      </c>
      <c r="J67" s="70">
        <v>1.19</v>
      </c>
      <c r="K67" s="71">
        <v>0.56840000000000002</v>
      </c>
      <c r="L67" s="72">
        <v>0.22620000000000001</v>
      </c>
      <c r="M67" s="206">
        <v>0.83</v>
      </c>
      <c r="N67" s="71">
        <v>6.7299999999999999E-2</v>
      </c>
      <c r="O67" s="73">
        <v>0.89</v>
      </c>
    </row>
    <row r="68" spans="8:15">
      <c r="H68" s="69" t="s">
        <v>421</v>
      </c>
      <c r="I68" s="70">
        <v>19</v>
      </c>
      <c r="J68" s="70">
        <v>0.89</v>
      </c>
      <c r="K68" s="71">
        <v>0.61460000000000004</v>
      </c>
      <c r="L68" s="72">
        <v>7.1499999999999994E-2</v>
      </c>
      <c r="M68" s="206">
        <v>0.56000000000000005</v>
      </c>
      <c r="N68" s="71">
        <v>1.83E-2</v>
      </c>
      <c r="O68" s="73">
        <v>0.57999999999999996</v>
      </c>
    </row>
    <row r="69" spans="8:15">
      <c r="H69" s="69" t="s">
        <v>422</v>
      </c>
      <c r="I69" s="70">
        <v>113</v>
      </c>
      <c r="J69" s="70">
        <v>1.45</v>
      </c>
      <c r="K69" s="71">
        <v>0.25969999999999999</v>
      </c>
      <c r="L69" s="72">
        <v>0.2205</v>
      </c>
      <c r="M69" s="206">
        <v>1.21</v>
      </c>
      <c r="N69" s="71">
        <v>4.7699999999999999E-2</v>
      </c>
      <c r="O69" s="73">
        <v>1.27</v>
      </c>
    </row>
    <row r="70" spans="8:15">
      <c r="H70" s="69" t="s">
        <v>423</v>
      </c>
      <c r="I70" s="70">
        <v>31</v>
      </c>
      <c r="J70" s="70">
        <v>1.2</v>
      </c>
      <c r="K70" s="71">
        <v>0.61309999999999998</v>
      </c>
      <c r="L70" s="72">
        <v>0.18179999999999999</v>
      </c>
      <c r="M70" s="206">
        <v>0.8</v>
      </c>
      <c r="N70" s="71">
        <v>4.2599999999999999E-2</v>
      </c>
      <c r="O70" s="73">
        <v>0.83</v>
      </c>
    </row>
    <row r="71" spans="8:15">
      <c r="H71" s="69" t="s">
        <v>424</v>
      </c>
      <c r="I71" s="70">
        <v>39</v>
      </c>
      <c r="J71" s="70">
        <v>1.63</v>
      </c>
      <c r="K71" s="71">
        <v>0.86480000000000001</v>
      </c>
      <c r="L71" s="72">
        <v>7.6999999999999999E-2</v>
      </c>
      <c r="M71" s="206">
        <v>0.91</v>
      </c>
      <c r="N71" s="71">
        <v>5.4899999999999997E-2</v>
      </c>
      <c r="O71" s="73">
        <v>0.96</v>
      </c>
    </row>
    <row r="72" spans="8:15">
      <c r="H72" s="69" t="s">
        <v>425</v>
      </c>
      <c r="I72" s="70">
        <v>24</v>
      </c>
      <c r="J72" s="70">
        <v>1.24</v>
      </c>
      <c r="K72" s="71">
        <v>0.1444</v>
      </c>
      <c r="L72" s="72">
        <v>0.33</v>
      </c>
      <c r="M72" s="206">
        <v>1.1299999999999999</v>
      </c>
      <c r="N72" s="71">
        <v>6.13E-2</v>
      </c>
      <c r="O72" s="73">
        <v>1.21</v>
      </c>
    </row>
    <row r="73" spans="8:15">
      <c r="H73" s="69" t="s">
        <v>426</v>
      </c>
      <c r="I73" s="70">
        <v>198</v>
      </c>
      <c r="J73" s="70">
        <v>1.1599999999999999</v>
      </c>
      <c r="K73" s="71">
        <v>0.27010000000000001</v>
      </c>
      <c r="L73" s="72">
        <v>0.11269999999999999</v>
      </c>
      <c r="M73" s="206">
        <v>0.94</v>
      </c>
      <c r="N73" s="71">
        <v>3.1E-2</v>
      </c>
      <c r="O73" s="73">
        <v>0.97</v>
      </c>
    </row>
    <row r="74" spans="8:15">
      <c r="H74" s="69" t="s">
        <v>427</v>
      </c>
      <c r="I74" s="70">
        <v>21</v>
      </c>
      <c r="J74" s="70">
        <v>0.88</v>
      </c>
      <c r="K74" s="71">
        <v>0.20069999999999999</v>
      </c>
      <c r="L74" s="72">
        <v>0.24360000000000001</v>
      </c>
      <c r="M74" s="206">
        <v>0.76</v>
      </c>
      <c r="N74" s="71">
        <v>3.2300000000000002E-2</v>
      </c>
      <c r="O74" s="73">
        <v>0.79</v>
      </c>
    </row>
    <row r="75" spans="8:15">
      <c r="H75" s="69" t="s">
        <v>428</v>
      </c>
      <c r="I75" s="70">
        <v>77</v>
      </c>
      <c r="J75" s="70">
        <v>1.23</v>
      </c>
      <c r="K75" s="71">
        <v>1.0358000000000001</v>
      </c>
      <c r="L75" s="72">
        <v>7.0000000000000007E-2</v>
      </c>
      <c r="M75" s="206">
        <v>0.63</v>
      </c>
      <c r="N75" s="71">
        <v>9.5600000000000004E-2</v>
      </c>
      <c r="O75" s="73">
        <v>0.69</v>
      </c>
    </row>
    <row r="76" spans="8:15">
      <c r="H76" s="69" t="s">
        <v>429</v>
      </c>
      <c r="I76" s="70">
        <v>78</v>
      </c>
      <c r="J76" s="70">
        <v>1.18</v>
      </c>
      <c r="K76" s="71">
        <v>8.4900000000000003E-2</v>
      </c>
      <c r="L76" s="72">
        <v>8.4099999999999994E-2</v>
      </c>
      <c r="M76" s="206">
        <v>1.1000000000000001</v>
      </c>
      <c r="N76" s="71">
        <v>2.9399999999999999E-2</v>
      </c>
      <c r="O76" s="73">
        <v>1.1299999999999999</v>
      </c>
    </row>
    <row r="77" spans="8:15">
      <c r="H77" s="69" t="s">
        <v>430</v>
      </c>
      <c r="I77" s="70">
        <v>98</v>
      </c>
      <c r="J77" s="70">
        <v>1.24</v>
      </c>
      <c r="K77" s="71">
        <v>0.1502</v>
      </c>
      <c r="L77" s="72">
        <v>0.105</v>
      </c>
      <c r="M77" s="206">
        <v>1.0900000000000001</v>
      </c>
      <c r="N77" s="71">
        <v>0.12529999999999999</v>
      </c>
      <c r="O77" s="73">
        <v>1.24</v>
      </c>
    </row>
    <row r="78" spans="8:15">
      <c r="H78" s="69" t="s">
        <v>431</v>
      </c>
      <c r="I78" s="70">
        <v>20</v>
      </c>
      <c r="J78" s="70">
        <v>1.63</v>
      </c>
      <c r="K78" s="71">
        <v>1.9186000000000001</v>
      </c>
      <c r="L78" s="72">
        <v>9.0300000000000005E-2</v>
      </c>
      <c r="M78" s="206">
        <v>0.59</v>
      </c>
      <c r="N78" s="71">
        <v>5.9400000000000001E-2</v>
      </c>
      <c r="O78" s="73">
        <v>0.63</v>
      </c>
    </row>
    <row r="79" spans="8:15">
      <c r="H79" s="69" t="s">
        <v>432</v>
      </c>
      <c r="I79" s="70">
        <v>9</v>
      </c>
      <c r="J79" s="70">
        <v>2.4</v>
      </c>
      <c r="K79" s="71">
        <v>1.6966000000000001</v>
      </c>
      <c r="L79" s="72">
        <v>8.0000000000000002E-3</v>
      </c>
      <c r="M79" s="206">
        <v>0.89</v>
      </c>
      <c r="N79" s="71">
        <v>0.1216</v>
      </c>
      <c r="O79" s="73">
        <v>1.02</v>
      </c>
    </row>
    <row r="80" spans="8:15">
      <c r="H80" s="69" t="s">
        <v>433</v>
      </c>
      <c r="I80" s="70">
        <v>30</v>
      </c>
      <c r="J80" s="70">
        <v>1.43</v>
      </c>
      <c r="K80" s="71">
        <v>0.70330000000000004</v>
      </c>
      <c r="L80" s="72">
        <v>0.15540000000000001</v>
      </c>
      <c r="M80" s="206">
        <v>0.9</v>
      </c>
      <c r="N80" s="71">
        <v>4.2700000000000002E-2</v>
      </c>
      <c r="O80" s="73">
        <v>0.94</v>
      </c>
    </row>
    <row r="81" spans="8:15">
      <c r="H81" s="69" t="s">
        <v>434</v>
      </c>
      <c r="I81" s="70">
        <v>143</v>
      </c>
      <c r="J81" s="70">
        <v>1.6</v>
      </c>
      <c r="K81" s="71">
        <v>0.67449999999999999</v>
      </c>
      <c r="L81" s="72">
        <v>7.1999999999999998E-3</v>
      </c>
      <c r="M81" s="206">
        <v>0.96</v>
      </c>
      <c r="N81" s="71">
        <v>5.7200000000000001E-2</v>
      </c>
      <c r="O81" s="73">
        <v>1.01</v>
      </c>
    </row>
    <row r="82" spans="8:15">
      <c r="H82" s="69" t="s">
        <v>435</v>
      </c>
      <c r="I82" s="70">
        <v>15</v>
      </c>
      <c r="J82" s="70">
        <v>1.29</v>
      </c>
      <c r="K82" s="71">
        <v>0.32950000000000002</v>
      </c>
      <c r="L82" s="72">
        <v>0.27389999999999998</v>
      </c>
      <c r="M82" s="206">
        <v>1.04</v>
      </c>
      <c r="N82" s="71">
        <v>2.3099999999999999E-2</v>
      </c>
      <c r="O82" s="73">
        <v>1.07</v>
      </c>
    </row>
    <row r="83" spans="8:15">
      <c r="H83" s="209" t="s">
        <v>436</v>
      </c>
      <c r="I83" s="206">
        <v>65</v>
      </c>
      <c r="J83" s="206">
        <v>1.43</v>
      </c>
      <c r="K83" s="210">
        <v>0.49769999999999998</v>
      </c>
      <c r="L83" s="211">
        <v>0.1686</v>
      </c>
      <c r="M83" s="206">
        <v>1.01</v>
      </c>
      <c r="N83" s="210">
        <v>5.0500000000000003E-2</v>
      </c>
      <c r="O83" s="212">
        <v>1.06</v>
      </c>
    </row>
    <row r="84" spans="8:15">
      <c r="H84" s="69" t="s">
        <v>437</v>
      </c>
      <c r="I84" s="70">
        <v>8</v>
      </c>
      <c r="J84" s="70">
        <v>1.07</v>
      </c>
      <c r="K84" s="71">
        <v>0.1769</v>
      </c>
      <c r="L84" s="72">
        <v>4.1700000000000001E-2</v>
      </c>
      <c r="M84" s="206">
        <v>0.91</v>
      </c>
      <c r="N84" s="71">
        <v>0.28410000000000002</v>
      </c>
      <c r="O84" s="73">
        <v>1.28</v>
      </c>
    </row>
    <row r="85" spans="8:15">
      <c r="H85" s="69" t="s">
        <v>438</v>
      </c>
      <c r="I85" s="70">
        <v>68</v>
      </c>
      <c r="J85" s="70">
        <v>1.34</v>
      </c>
      <c r="K85" s="71">
        <v>0.2248</v>
      </c>
      <c r="L85" s="72">
        <v>0.1986</v>
      </c>
      <c r="M85" s="206">
        <v>1.1399999999999999</v>
      </c>
      <c r="N85" s="71">
        <v>2.52E-2</v>
      </c>
      <c r="O85" s="73">
        <v>1.17</v>
      </c>
    </row>
    <row r="86" spans="8:15">
      <c r="H86" s="69" t="s">
        <v>439</v>
      </c>
      <c r="I86" s="70">
        <v>157</v>
      </c>
      <c r="J86" s="70">
        <v>1.43</v>
      </c>
      <c r="K86" s="71">
        <v>0.1608</v>
      </c>
      <c r="L86" s="72">
        <v>0.18490000000000001</v>
      </c>
      <c r="M86" s="206">
        <v>1.27</v>
      </c>
      <c r="N86" s="71">
        <v>8.5199999999999998E-2</v>
      </c>
      <c r="O86" s="73">
        <v>1.38</v>
      </c>
    </row>
    <row r="87" spans="8:15">
      <c r="H87" s="69" t="s">
        <v>440</v>
      </c>
      <c r="I87" s="70">
        <v>15</v>
      </c>
      <c r="J87" s="70">
        <v>1.46</v>
      </c>
      <c r="K87" s="71">
        <v>0.44569999999999999</v>
      </c>
      <c r="L87" s="72">
        <v>0.32679999999999998</v>
      </c>
      <c r="M87" s="206">
        <v>1.1299999999999999</v>
      </c>
      <c r="N87" s="71">
        <v>2.6499999999999999E-2</v>
      </c>
      <c r="O87" s="73">
        <v>1.1599999999999999</v>
      </c>
    </row>
    <row r="88" spans="8:15">
      <c r="H88" s="69" t="s">
        <v>441</v>
      </c>
      <c r="I88" s="70">
        <v>7</v>
      </c>
      <c r="J88" s="70">
        <v>0.95</v>
      </c>
      <c r="K88" s="71">
        <v>0.19120000000000001</v>
      </c>
      <c r="L88" s="72">
        <v>0.27050000000000002</v>
      </c>
      <c r="M88" s="206">
        <v>0.83</v>
      </c>
      <c r="N88" s="71">
        <v>1.34E-2</v>
      </c>
      <c r="O88" s="73">
        <v>0.85</v>
      </c>
    </row>
    <row r="89" spans="8:15">
      <c r="H89" s="69" t="s">
        <v>442</v>
      </c>
      <c r="I89" s="70">
        <v>43</v>
      </c>
      <c r="J89" s="70">
        <v>1.35</v>
      </c>
      <c r="K89" s="71">
        <v>0.26979999999999998</v>
      </c>
      <c r="L89" s="72">
        <v>0.1842</v>
      </c>
      <c r="M89" s="206">
        <v>1.1000000000000001</v>
      </c>
      <c r="N89" s="71">
        <v>4.5499999999999999E-2</v>
      </c>
      <c r="O89" s="73">
        <v>1.1599999999999999</v>
      </c>
    </row>
    <row r="90" spans="8:15">
      <c r="H90" s="69" t="s">
        <v>443</v>
      </c>
      <c r="I90" s="70">
        <v>32</v>
      </c>
      <c r="J90" s="70">
        <v>0.73</v>
      </c>
      <c r="K90" s="71">
        <v>0.26169999999999999</v>
      </c>
      <c r="L90" s="72">
        <v>0.3039</v>
      </c>
      <c r="M90" s="206">
        <v>0.62</v>
      </c>
      <c r="N90" s="71">
        <v>3.0099999999999998E-2</v>
      </c>
      <c r="O90" s="73">
        <v>0.63</v>
      </c>
    </row>
    <row r="91" spans="8:15">
      <c r="H91" s="69" t="s">
        <v>444</v>
      </c>
      <c r="I91" s="70">
        <v>30</v>
      </c>
      <c r="J91" s="70">
        <v>1.18</v>
      </c>
      <c r="K91" s="71">
        <v>2.8105000000000002</v>
      </c>
      <c r="L91" s="72">
        <v>0.2049</v>
      </c>
      <c r="M91" s="206">
        <v>0.36</v>
      </c>
      <c r="N91" s="71">
        <v>0.34110000000000001</v>
      </c>
      <c r="O91" s="73">
        <v>0.55000000000000004</v>
      </c>
    </row>
    <row r="92" spans="8:15">
      <c r="H92" s="69" t="s">
        <v>445</v>
      </c>
      <c r="I92" s="70">
        <v>125</v>
      </c>
      <c r="J92" s="70">
        <v>1.56</v>
      </c>
      <c r="K92" s="71">
        <v>8.0600000000000005E-2</v>
      </c>
      <c r="L92" s="72">
        <v>0.1085</v>
      </c>
      <c r="M92" s="206">
        <v>1.45</v>
      </c>
      <c r="N92" s="71">
        <v>0.1295</v>
      </c>
      <c r="O92" s="73">
        <v>1.67</v>
      </c>
    </row>
    <row r="93" spans="8:15">
      <c r="H93" s="69" t="s">
        <v>446</v>
      </c>
      <c r="I93" s="70">
        <v>14</v>
      </c>
      <c r="J93" s="70">
        <v>1.93</v>
      </c>
      <c r="K93" s="71">
        <v>7.2800000000000004E-2</v>
      </c>
      <c r="L93" s="72">
        <v>0.1666</v>
      </c>
      <c r="M93" s="206">
        <v>1.82</v>
      </c>
      <c r="N93" s="71">
        <v>0.14499999999999999</v>
      </c>
      <c r="O93" s="73">
        <v>2.13</v>
      </c>
    </row>
    <row r="94" spans="8:15">
      <c r="H94" s="69" t="s">
        <v>447</v>
      </c>
      <c r="I94" s="70">
        <v>19</v>
      </c>
      <c r="J94" s="70">
        <v>1.34</v>
      </c>
      <c r="K94" s="71">
        <v>3.5499999999999997E-2</v>
      </c>
      <c r="L94" s="72">
        <v>0.22109999999999999</v>
      </c>
      <c r="M94" s="206">
        <v>1.3</v>
      </c>
      <c r="N94" s="71">
        <v>0.11409999999999999</v>
      </c>
      <c r="O94" s="73">
        <v>1.47</v>
      </c>
    </row>
    <row r="95" spans="8:15">
      <c r="H95" s="69" t="s">
        <v>448</v>
      </c>
      <c r="I95" s="70">
        <v>20</v>
      </c>
      <c r="J95" s="70">
        <v>1.61</v>
      </c>
      <c r="K95" s="71">
        <v>0.30809999999999998</v>
      </c>
      <c r="L95" s="72">
        <v>0.22289999999999999</v>
      </c>
      <c r="M95" s="206">
        <v>1.3</v>
      </c>
      <c r="N95" s="71">
        <v>7.6499999999999999E-2</v>
      </c>
      <c r="O95" s="73">
        <v>1.4</v>
      </c>
    </row>
    <row r="96" spans="8:15">
      <c r="H96" s="69" t="s">
        <v>449</v>
      </c>
      <c r="I96" s="70">
        <v>15</v>
      </c>
      <c r="J96" s="70">
        <v>1.85</v>
      </c>
      <c r="K96" s="71">
        <v>0.39300000000000002</v>
      </c>
      <c r="L96" s="72">
        <v>0.22939999999999999</v>
      </c>
      <c r="M96" s="206">
        <v>1.42</v>
      </c>
      <c r="N96" s="71">
        <v>7.9299999999999995E-2</v>
      </c>
      <c r="O96" s="73">
        <v>1.55</v>
      </c>
    </row>
    <row r="97" spans="8:15">
      <c r="H97" s="69" t="s">
        <v>450</v>
      </c>
      <c r="I97" s="70">
        <v>115</v>
      </c>
      <c r="J97" s="70">
        <v>1.1499999999999999</v>
      </c>
      <c r="K97" s="71">
        <v>0.109</v>
      </c>
      <c r="L97" s="72">
        <v>0.13789999999999999</v>
      </c>
      <c r="M97" s="206">
        <v>1.05</v>
      </c>
      <c r="N97" s="71">
        <v>0.2102</v>
      </c>
      <c r="O97" s="73">
        <v>1.33</v>
      </c>
    </row>
    <row r="98" spans="8:15">
      <c r="H98" s="69" t="s">
        <v>451</v>
      </c>
      <c r="I98" s="70">
        <v>140</v>
      </c>
      <c r="J98" s="70">
        <v>1.1000000000000001</v>
      </c>
      <c r="K98" s="71">
        <v>0.4703</v>
      </c>
      <c r="L98" s="72">
        <v>0.128</v>
      </c>
      <c r="M98" s="206">
        <v>0.78</v>
      </c>
      <c r="N98" s="71">
        <v>5.7500000000000002E-2</v>
      </c>
      <c r="O98" s="73">
        <v>0.83</v>
      </c>
    </row>
    <row r="99" spans="8:15">
      <c r="H99" s="69" t="s">
        <v>452</v>
      </c>
      <c r="I99" s="70">
        <v>227</v>
      </c>
      <c r="J99" s="70">
        <v>0.73</v>
      </c>
      <c r="K99" s="71">
        <v>0.21740000000000001</v>
      </c>
      <c r="L99" s="72">
        <v>0.11899999999999999</v>
      </c>
      <c r="M99" s="206">
        <v>0.61</v>
      </c>
      <c r="N99" s="71">
        <v>0.14510000000000001</v>
      </c>
      <c r="O99" s="73">
        <v>0.72</v>
      </c>
    </row>
    <row r="100" spans="8:15">
      <c r="H100" s="69" t="s">
        <v>453</v>
      </c>
      <c r="I100" s="70">
        <v>12</v>
      </c>
      <c r="J100" s="70">
        <v>0.78</v>
      </c>
      <c r="K100" s="71">
        <v>0.2293</v>
      </c>
      <c r="L100" s="72">
        <v>0.26029999999999998</v>
      </c>
      <c r="M100" s="206">
        <v>0.67</v>
      </c>
      <c r="N100" s="71">
        <v>5.57E-2</v>
      </c>
      <c r="O100" s="73">
        <v>0.71</v>
      </c>
    </row>
    <row r="101" spans="8:15">
      <c r="H101" s="69" t="s">
        <v>454</v>
      </c>
      <c r="I101" s="70">
        <v>19</v>
      </c>
      <c r="J101" s="70">
        <v>1.23</v>
      </c>
      <c r="K101" s="71">
        <v>0.26329999999999998</v>
      </c>
      <c r="L101" s="72">
        <v>0.26269999999999999</v>
      </c>
      <c r="M101" s="206">
        <v>1.03</v>
      </c>
      <c r="N101" s="71">
        <v>6.8900000000000003E-2</v>
      </c>
      <c r="O101" s="73">
        <v>1.1000000000000001</v>
      </c>
    </row>
    <row r="102" spans="8:15">
      <c r="H102" s="69" t="s">
        <v>455</v>
      </c>
      <c r="I102" s="70">
        <v>33</v>
      </c>
      <c r="J102" s="70">
        <v>1.3</v>
      </c>
      <c r="K102" s="71">
        <v>0.85299999999999998</v>
      </c>
      <c r="L102" s="72">
        <v>0.30869999999999997</v>
      </c>
      <c r="M102" s="206">
        <v>0.82</v>
      </c>
      <c r="N102" s="71">
        <v>4.8399999999999999E-2</v>
      </c>
      <c r="O102" s="73">
        <v>0.86</v>
      </c>
    </row>
    <row r="103" spans="8:15">
      <c r="H103" s="69" t="s">
        <v>456</v>
      </c>
      <c r="I103" s="70">
        <v>5</v>
      </c>
      <c r="J103" s="70">
        <v>1.07</v>
      </c>
      <c r="K103" s="71">
        <v>1.0125999999999999</v>
      </c>
      <c r="L103" s="72">
        <v>0.1211</v>
      </c>
      <c r="M103" s="206">
        <v>0.56999999999999995</v>
      </c>
      <c r="N103" s="71">
        <v>4.8000000000000001E-2</v>
      </c>
      <c r="O103" s="73">
        <v>0.59</v>
      </c>
    </row>
    <row r="104" spans="8:15">
      <c r="H104" s="69" t="s">
        <v>457</v>
      </c>
      <c r="I104" s="70">
        <v>15</v>
      </c>
      <c r="J104" s="70">
        <v>0.82</v>
      </c>
      <c r="K104" s="71">
        <v>0.87949999999999995</v>
      </c>
      <c r="L104" s="72">
        <v>0.31159999999999999</v>
      </c>
      <c r="M104" s="206">
        <v>0.51</v>
      </c>
      <c r="N104" s="71">
        <v>7.7000000000000002E-3</v>
      </c>
      <c r="O104" s="73">
        <v>0.51</v>
      </c>
    </row>
    <row r="105" spans="8:15" ht="13.5" thickBot="1">
      <c r="H105" s="79" t="s">
        <v>458</v>
      </c>
      <c r="I105" s="80">
        <v>60</v>
      </c>
      <c r="J105" s="80">
        <v>1.5</v>
      </c>
      <c r="K105" s="81">
        <v>0.1983</v>
      </c>
      <c r="L105" s="82">
        <v>9.9199999999999997E-2</v>
      </c>
      <c r="M105" s="207">
        <v>1.28</v>
      </c>
      <c r="N105" s="81">
        <v>5.0099999999999999E-2</v>
      </c>
      <c r="O105" s="83">
        <v>1.34</v>
      </c>
    </row>
    <row r="106" spans="8:15" ht="13.5" thickBot="1">
      <c r="H106" s="213" t="s">
        <v>459</v>
      </c>
      <c r="I106" s="208">
        <v>7036</v>
      </c>
      <c r="J106" s="208">
        <v>1.17</v>
      </c>
      <c r="K106" s="214">
        <v>0.49990000000000001</v>
      </c>
      <c r="L106" s="214">
        <v>0.14069999999999999</v>
      </c>
      <c r="M106" s="208">
        <v>0.82</v>
      </c>
      <c r="N106" s="214">
        <v>9.4899999999999998E-2</v>
      </c>
      <c r="O106" s="215">
        <v>0.9</v>
      </c>
    </row>
    <row r="107" spans="8:15">
      <c r="H107" s="84"/>
      <c r="I107" s="84"/>
      <c r="J107" s="84"/>
      <c r="K107" s="84"/>
      <c r="L107" s="84"/>
      <c r="M107" s="84"/>
      <c r="N107" s="84"/>
      <c r="O107" s="84"/>
    </row>
    <row r="108" spans="8:15">
      <c r="H108" s="84"/>
      <c r="I108" s="84"/>
      <c r="J108" s="84"/>
      <c r="K108" s="84"/>
      <c r="L108" s="84"/>
      <c r="M108" s="84"/>
      <c r="N108" s="84"/>
      <c r="O108" s="84"/>
    </row>
    <row r="109" spans="8:15" ht="15">
      <c r="H109" s="85" t="s">
        <v>460</v>
      </c>
      <c r="I109" s="84"/>
      <c r="J109" s="84"/>
      <c r="K109" s="84"/>
      <c r="L109" s="84"/>
      <c r="M109" s="84"/>
      <c r="N109" s="84"/>
      <c r="O109" s="84"/>
    </row>
    <row r="110" spans="8:15">
      <c r="H110" s="251" t="s">
        <v>461</v>
      </c>
      <c r="I110" s="251"/>
      <c r="J110" s="251"/>
      <c r="K110" s="251"/>
      <c r="L110" s="251"/>
      <c r="M110" s="88"/>
      <c r="N110" s="86"/>
      <c r="O110" s="84"/>
    </row>
    <row r="111" spans="8:15">
      <c r="H111" s="252" t="s">
        <v>462</v>
      </c>
      <c r="I111" s="252"/>
      <c r="J111" s="252"/>
      <c r="K111" s="252"/>
      <c r="L111" s="252"/>
      <c r="M111" s="252"/>
      <c r="N111" s="252"/>
      <c r="O111" s="84"/>
    </row>
    <row r="112" spans="8:15">
      <c r="H112" s="248" t="s">
        <v>463</v>
      </c>
      <c r="I112" s="248"/>
      <c r="J112" s="248"/>
      <c r="K112" s="248"/>
      <c r="L112" s="86"/>
      <c r="M112" s="86"/>
      <c r="N112" s="86"/>
      <c r="O112" s="84"/>
    </row>
    <row r="113" spans="8:15">
      <c r="H113" s="87" t="s">
        <v>464</v>
      </c>
      <c r="I113" s="86"/>
      <c r="J113" s="86"/>
      <c r="K113" s="86"/>
      <c r="L113" s="86"/>
      <c r="M113" s="86"/>
      <c r="N113" s="86"/>
      <c r="O113" s="84"/>
    </row>
  </sheetData>
  <mergeCells count="5">
    <mergeCell ref="H112:K112"/>
    <mergeCell ref="B8:C8"/>
    <mergeCell ref="B16:C16"/>
    <mergeCell ref="H110:L110"/>
    <mergeCell ref="H111:N111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30"/>
  <sheetViews>
    <sheetView workbookViewId="0">
      <selection activeCell="C40" sqref="C40"/>
    </sheetView>
  </sheetViews>
  <sheetFormatPr baseColWidth="10" defaultRowHeight="12.75"/>
  <cols>
    <col min="1" max="1" width="10" customWidth="1"/>
    <col min="2" max="2" width="14.85546875" customWidth="1"/>
    <col min="3" max="3" width="13.7109375" customWidth="1"/>
    <col min="4" max="4" width="12.5703125" bestFit="1" customWidth="1"/>
    <col min="5" max="5" width="14.5703125" customWidth="1"/>
    <col min="7" max="7" width="13.28515625" bestFit="1" customWidth="1"/>
    <col min="8" max="10" width="12.28515625" bestFit="1" customWidth="1"/>
    <col min="11" max="13" width="11.7109375" bestFit="1" customWidth="1"/>
    <col min="14" max="14" width="11.42578125" hidden="1" customWidth="1"/>
    <col min="16" max="16" width="13.85546875" customWidth="1"/>
    <col min="17" max="17" width="11.7109375" bestFit="1" customWidth="1"/>
    <col min="18" max="18" width="11.42578125" hidden="1" customWidth="1"/>
    <col min="19" max="19" width="11.7109375" bestFit="1" customWidth="1"/>
  </cols>
  <sheetData>
    <row r="2" spans="1:25">
      <c r="F2" s="100"/>
      <c r="G2" s="100"/>
      <c r="H2" s="100"/>
      <c r="I2" s="256"/>
      <c r="J2" s="256"/>
      <c r="K2" s="107"/>
      <c r="L2" s="107"/>
      <c r="M2" s="256"/>
      <c r="N2" s="256"/>
      <c r="O2" s="256"/>
      <c r="P2" s="256"/>
      <c r="Q2" s="256"/>
      <c r="R2" s="256"/>
      <c r="S2" s="100"/>
    </row>
    <row r="3" spans="1:25" ht="15.75" customHeight="1">
      <c r="A3" s="229" t="s">
        <v>509</v>
      </c>
      <c r="B3" s="229"/>
      <c r="C3" s="229"/>
      <c r="D3" s="229"/>
      <c r="E3" s="229"/>
      <c r="F3" s="100"/>
      <c r="G3" s="100"/>
      <c r="H3" s="100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100"/>
    </row>
    <row r="4" spans="1:25" ht="15">
      <c r="A4" s="253" t="s">
        <v>492</v>
      </c>
      <c r="B4" s="254"/>
      <c r="C4" s="254"/>
      <c r="D4" s="254"/>
      <c r="E4" s="255"/>
      <c r="F4" s="104"/>
      <c r="G4" s="104"/>
      <c r="H4" s="104"/>
      <c r="I4" s="104"/>
      <c r="J4" s="257"/>
      <c r="K4" s="257"/>
      <c r="L4" s="257"/>
      <c r="M4" s="257"/>
      <c r="N4" s="259"/>
      <c r="O4" s="259"/>
      <c r="P4" s="258"/>
      <c r="Q4" s="258"/>
      <c r="R4" s="258"/>
      <c r="S4" s="258"/>
    </row>
    <row r="5" spans="1:25" ht="25.5">
      <c r="A5" s="121" t="s">
        <v>491</v>
      </c>
      <c r="B5" s="121" t="s">
        <v>490</v>
      </c>
      <c r="C5" s="121" t="s">
        <v>489</v>
      </c>
      <c r="D5" s="121" t="s">
        <v>488</v>
      </c>
      <c r="E5" s="121" t="s">
        <v>487</v>
      </c>
      <c r="G5" s="105"/>
    </row>
    <row r="6" spans="1:25">
      <c r="A6" s="52">
        <v>1</v>
      </c>
      <c r="B6" s="99">
        <f>-'FLUJO DE CAJA'!C24</f>
        <v>550665.94129761937</v>
      </c>
      <c r="C6" s="99">
        <f>'FLUJO DE CAJA'!D24</f>
        <v>8397.0052635984321</v>
      </c>
      <c r="D6" s="99">
        <f>C6*TMAR!C15</f>
        <v>1673.6071190878038</v>
      </c>
      <c r="E6" s="99">
        <f>C6-D6</f>
        <v>6723.3981445106283</v>
      </c>
      <c r="G6" s="102"/>
    </row>
    <row r="7" spans="1:25">
      <c r="A7" s="52">
        <v>2</v>
      </c>
      <c r="B7" s="99">
        <f>B6-E6</f>
        <v>543942.5431531088</v>
      </c>
      <c r="C7" s="99">
        <f>'FLUJO DE CAJA'!E24</f>
        <v>71602.110902537388</v>
      </c>
      <c r="D7" s="99">
        <f>C7*TMAR!$C$15</f>
        <v>14271.016723984731</v>
      </c>
      <c r="E7" s="99">
        <f t="shared" ref="E7:E15" si="0">C7-D7</f>
        <v>57331.094178552659</v>
      </c>
      <c r="G7" s="102"/>
    </row>
    <row r="8" spans="1:25" ht="16.5" thickBot="1">
      <c r="A8" s="52">
        <v>3</v>
      </c>
      <c r="B8" s="99">
        <f t="shared" ref="B8:B15" si="1">B7-E7</f>
        <v>486611.44897455611</v>
      </c>
      <c r="C8" s="99">
        <f>'FLUJO DE CAJA'!F24</f>
        <v>99104.483759701659</v>
      </c>
      <c r="D8" s="99">
        <f>C8*TMAR!$C$15</f>
        <v>19752.514658146141</v>
      </c>
      <c r="E8" s="99">
        <f t="shared" si="0"/>
        <v>79351.969101555514</v>
      </c>
      <c r="G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55"/>
    </row>
    <row r="9" spans="1:25">
      <c r="A9" s="52">
        <v>4</v>
      </c>
      <c r="B9" s="99">
        <f t="shared" si="1"/>
        <v>407259.47987300059</v>
      </c>
      <c r="C9" s="99">
        <f>'FLUJO DE CAJA'!G24</f>
        <v>123810.46869896378</v>
      </c>
      <c r="D9" s="99">
        <f>C9*TMAR!$C$15</f>
        <v>24676.664516390476</v>
      </c>
      <c r="E9" s="99">
        <f t="shared" si="0"/>
        <v>99133.804182573309</v>
      </c>
      <c r="G9" s="102"/>
    </row>
    <row r="10" spans="1:25">
      <c r="A10" s="52">
        <v>5</v>
      </c>
      <c r="B10" s="99">
        <f t="shared" si="1"/>
        <v>308125.67569042731</v>
      </c>
      <c r="C10" s="99">
        <f>'FLUJO DE CAJA'!H24</f>
        <v>148870.20279515086</v>
      </c>
      <c r="D10" s="99">
        <f>C10*TMAR!$C$15</f>
        <v>29671.320119101525</v>
      </c>
      <c r="E10" s="99">
        <f t="shared" si="0"/>
        <v>119198.88267604934</v>
      </c>
      <c r="G10" s="102"/>
    </row>
    <row r="11" spans="1:25">
      <c r="A11" s="112">
        <v>6</v>
      </c>
      <c r="B11" s="113">
        <f t="shared" si="1"/>
        <v>188926.79301437797</v>
      </c>
      <c r="C11" s="113">
        <f>'FLUJO DE CAJA'!I24</f>
        <v>172980.38182229773</v>
      </c>
      <c r="D11" s="113">
        <f>C11*TMAR!$C$15</f>
        <v>34476.719901002165</v>
      </c>
      <c r="E11" s="113">
        <f t="shared" si="0"/>
        <v>138503.66192129557</v>
      </c>
      <c r="G11" s="102"/>
    </row>
    <row r="12" spans="1:25">
      <c r="A12" s="52">
        <v>7</v>
      </c>
      <c r="B12" s="99">
        <f t="shared" si="1"/>
        <v>50423.131093082397</v>
      </c>
      <c r="C12" s="99">
        <f>'FLUJO DE CAJA'!J24</f>
        <v>196528.32671711745</v>
      </c>
      <c r="D12" s="99">
        <f>C12*TMAR!$C$15</f>
        <v>39170.060797988684</v>
      </c>
      <c r="E12" s="99">
        <f t="shared" si="0"/>
        <v>157358.26591912878</v>
      </c>
      <c r="G12" s="102"/>
    </row>
    <row r="13" spans="1:25">
      <c r="A13" s="127">
        <v>8</v>
      </c>
      <c r="B13" s="128">
        <f t="shared" si="1"/>
        <v>-106935.13482604639</v>
      </c>
      <c r="C13" s="128">
        <f>'FLUJO DE CAJA'!K24</f>
        <v>219469.81997443704</v>
      </c>
      <c r="D13" s="128">
        <f>C13*TMAR!$C$15</f>
        <v>43742.529819105053</v>
      </c>
      <c r="E13" s="128">
        <f t="shared" si="0"/>
        <v>175727.29015533198</v>
      </c>
      <c r="G13" s="102"/>
    </row>
    <row r="14" spans="1:25">
      <c r="A14" s="52">
        <v>9</v>
      </c>
      <c r="B14" s="99">
        <f t="shared" si="1"/>
        <v>-282662.42498137837</v>
      </c>
      <c r="C14" s="99">
        <f>'FLUJO DE CAJA'!L24</f>
        <v>241276.80537482351</v>
      </c>
      <c r="D14" s="99">
        <f>C14*TMAR!$C$15</f>
        <v>48088.880079256087</v>
      </c>
      <c r="E14" s="99">
        <f t="shared" si="0"/>
        <v>193187.92529556743</v>
      </c>
      <c r="G14" s="102"/>
    </row>
    <row r="15" spans="1:25">
      <c r="A15" s="52">
        <v>10</v>
      </c>
      <c r="B15" s="99">
        <f t="shared" si="1"/>
        <v>-475850.3502769458</v>
      </c>
      <c r="C15" s="99">
        <f>'FLUJO DE CAJA'!M24</f>
        <v>987605.63326829684</v>
      </c>
      <c r="D15" s="99">
        <f>C15*TMAR!$C$15</f>
        <v>196839.67876670428</v>
      </c>
      <c r="E15" s="99">
        <f t="shared" si="0"/>
        <v>790765.95450159255</v>
      </c>
      <c r="G15" s="102"/>
    </row>
    <row r="16" spans="1:25" ht="14.25" customHeight="1">
      <c r="A16" s="63" t="s">
        <v>311</v>
      </c>
      <c r="B16" s="63"/>
    </row>
    <row r="17" spans="1:19"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>
      <c r="A18" t="s">
        <v>303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>
      <c r="C19" s="43"/>
      <c r="D19" s="43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4"/>
      <c r="M20" s="24"/>
      <c r="N20" s="24"/>
      <c r="O20" s="24"/>
      <c r="P20" s="24"/>
      <c r="Q20" s="24"/>
      <c r="R20" s="24"/>
      <c r="S20" s="24"/>
    </row>
    <row r="21" spans="1:19">
      <c r="A21" s="1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9">
      <c r="A22" s="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9">
      <c r="A23" s="1"/>
      <c r="B23" s="1"/>
      <c r="C23" s="101"/>
      <c r="D23" s="101"/>
      <c r="E23" s="1"/>
      <c r="F23" s="1"/>
      <c r="G23" s="1"/>
      <c r="H23" s="1"/>
      <c r="I23" s="1"/>
      <c r="J23" s="1"/>
      <c r="K23" s="1"/>
    </row>
    <row r="24" spans="1:19">
      <c r="A24" s="1"/>
      <c r="B24" s="1"/>
      <c r="C24" s="101"/>
      <c r="D24" s="101"/>
      <c r="E24" s="106"/>
      <c r="F24" s="1"/>
      <c r="G24" s="1"/>
      <c r="H24" s="1"/>
      <c r="I24" s="1"/>
      <c r="J24" s="1"/>
      <c r="K24" s="1"/>
    </row>
    <row r="25" spans="1:19">
      <c r="A25" s="1"/>
      <c r="B25" s="1"/>
      <c r="C25" s="101"/>
      <c r="D25" s="101"/>
      <c r="E25" s="1"/>
      <c r="F25" s="1"/>
      <c r="G25" s="1"/>
      <c r="H25" s="1"/>
      <c r="I25" s="1"/>
      <c r="J25" s="1"/>
      <c r="K25" s="1"/>
    </row>
    <row r="26" spans="1:19">
      <c r="A26" s="1"/>
      <c r="B26" s="1"/>
      <c r="C26" s="101"/>
      <c r="D26" s="101"/>
      <c r="E26" s="1"/>
      <c r="F26" s="1"/>
      <c r="G26" s="1"/>
      <c r="H26" s="1"/>
      <c r="I26" s="1"/>
      <c r="J26" s="1"/>
      <c r="K26" s="1"/>
    </row>
    <row r="27" spans="1:19">
      <c r="C27" s="43"/>
      <c r="D27" s="43"/>
    </row>
    <row r="28" spans="1:19">
      <c r="C28" s="43"/>
      <c r="D28" s="43"/>
    </row>
    <row r="29" spans="1:19">
      <c r="C29" s="42"/>
    </row>
    <row r="30" spans="1:19">
      <c r="C30" s="42"/>
    </row>
  </sheetData>
  <mergeCells count="16">
    <mergeCell ref="L4:M4"/>
    <mergeCell ref="N4:O4"/>
    <mergeCell ref="O3:P3"/>
    <mergeCell ref="I3:J3"/>
    <mergeCell ref="K3:L3"/>
    <mergeCell ref="M3:N3"/>
    <mergeCell ref="A3:E3"/>
    <mergeCell ref="A4:E4"/>
    <mergeCell ref="Q2:R2"/>
    <mergeCell ref="Q3:R3"/>
    <mergeCell ref="J4:K4"/>
    <mergeCell ref="I2:J2"/>
    <mergeCell ref="M2:N2"/>
    <mergeCell ref="O2:P2"/>
    <mergeCell ref="P4:Q4"/>
    <mergeCell ref="R4:S4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3"/>
  <sheetViews>
    <sheetView topLeftCell="A34" workbookViewId="0">
      <selection activeCell="G11" sqref="G11"/>
    </sheetView>
  </sheetViews>
  <sheetFormatPr baseColWidth="10" defaultRowHeight="12.75"/>
  <cols>
    <col min="1" max="1" width="28.42578125" bestFit="1" customWidth="1"/>
    <col min="2" max="2" width="6.5703125" bestFit="1" customWidth="1"/>
    <col min="3" max="3" width="6" bestFit="1" customWidth="1"/>
    <col min="4" max="4" width="9.5703125" customWidth="1"/>
    <col min="5" max="5" width="7.7109375" bestFit="1" customWidth="1"/>
    <col min="6" max="6" width="11.28515625" bestFit="1" customWidth="1"/>
    <col min="8" max="8" width="35.85546875" customWidth="1"/>
    <col min="9" max="11" width="13.28515625" bestFit="1" customWidth="1"/>
  </cols>
  <sheetData>
    <row r="2" spans="1:13" ht="18">
      <c r="A2" s="219" t="s">
        <v>0</v>
      </c>
      <c r="B2" s="219"/>
      <c r="C2" s="219"/>
      <c r="D2" s="219"/>
      <c r="E2" s="219"/>
      <c r="F2" s="219"/>
      <c r="H2" s="219" t="s">
        <v>92</v>
      </c>
      <c r="I2" s="219"/>
      <c r="J2" s="219"/>
      <c r="K2" s="219"/>
      <c r="L2" s="7"/>
      <c r="M2" s="7"/>
    </row>
    <row r="3" spans="1:13">
      <c r="A3" s="225" t="s">
        <v>1</v>
      </c>
      <c r="B3" s="226" t="s">
        <v>2</v>
      </c>
      <c r="C3" s="226" t="s">
        <v>3</v>
      </c>
      <c r="D3" s="227" t="s">
        <v>4</v>
      </c>
      <c r="E3" s="226" t="s">
        <v>5</v>
      </c>
      <c r="F3" s="226" t="s">
        <v>6</v>
      </c>
      <c r="H3" s="36"/>
      <c r="I3" s="36"/>
      <c r="J3" s="36"/>
      <c r="K3" s="50" t="s">
        <v>514</v>
      </c>
    </row>
    <row r="4" spans="1:13">
      <c r="A4" s="225"/>
      <c r="B4" s="226"/>
      <c r="C4" s="226"/>
      <c r="D4" s="227"/>
      <c r="E4" s="226"/>
      <c r="F4" s="226"/>
      <c r="H4" s="53" t="s">
        <v>72</v>
      </c>
      <c r="I4" s="36"/>
      <c r="J4" s="36"/>
      <c r="K4" s="37">
        <v>15000</v>
      </c>
    </row>
    <row r="5" spans="1:13">
      <c r="A5" s="149" t="s">
        <v>7</v>
      </c>
      <c r="B5" s="149"/>
      <c r="C5" s="149"/>
      <c r="D5" s="149"/>
      <c r="E5" s="149"/>
      <c r="F5" s="149"/>
      <c r="H5" s="36" t="s">
        <v>73</v>
      </c>
      <c r="I5" s="36"/>
      <c r="J5" s="36"/>
      <c r="K5" s="37"/>
    </row>
    <row r="6" spans="1:13">
      <c r="A6" s="150" t="s">
        <v>8</v>
      </c>
      <c r="B6" s="151" t="s">
        <v>9</v>
      </c>
      <c r="C6" s="152">
        <v>580</v>
      </c>
      <c r="D6" s="153">
        <v>30</v>
      </c>
      <c r="E6" s="154">
        <f>C6*D6</f>
        <v>17400</v>
      </c>
      <c r="F6" s="155"/>
      <c r="H6" s="36" t="s">
        <v>74</v>
      </c>
      <c r="I6" s="36"/>
      <c r="J6" s="36"/>
      <c r="K6" s="37"/>
    </row>
    <row r="7" spans="1:13">
      <c r="A7" s="150" t="s">
        <v>10</v>
      </c>
      <c r="B7" s="151" t="s">
        <v>9</v>
      </c>
      <c r="C7" s="152">
        <v>580</v>
      </c>
      <c r="D7" s="153">
        <v>14</v>
      </c>
      <c r="E7" s="154">
        <f>C7*D7</f>
        <v>8120</v>
      </c>
      <c r="F7" s="156">
        <f>SUM(E6:E7)</f>
        <v>25520</v>
      </c>
      <c r="H7" s="36" t="s">
        <v>75</v>
      </c>
      <c r="I7" s="36"/>
      <c r="J7" s="36"/>
      <c r="K7" s="37"/>
    </row>
    <row r="8" spans="1:13">
      <c r="A8" s="150"/>
      <c r="B8" s="151"/>
      <c r="C8" s="152"/>
      <c r="D8" s="153"/>
      <c r="E8" s="154"/>
      <c r="F8" s="156"/>
      <c r="H8" s="36" t="s">
        <v>76</v>
      </c>
      <c r="I8" s="36"/>
      <c r="J8" s="36"/>
      <c r="K8" s="37"/>
    </row>
    <row r="9" spans="1:13">
      <c r="A9" s="157" t="s">
        <v>11</v>
      </c>
      <c r="B9" s="158"/>
      <c r="C9" s="159"/>
      <c r="D9" s="160"/>
      <c r="E9" s="161"/>
      <c r="F9" s="156"/>
      <c r="H9" s="53" t="s">
        <v>510</v>
      </c>
      <c r="I9" s="36"/>
      <c r="J9" s="36"/>
      <c r="K9" s="37">
        <v>4500</v>
      </c>
    </row>
    <row r="10" spans="1:13">
      <c r="A10" s="162" t="s">
        <v>12</v>
      </c>
      <c r="B10" s="163" t="s">
        <v>13</v>
      </c>
      <c r="C10" s="159">
        <v>5500</v>
      </c>
      <c r="D10" s="164">
        <v>1.9</v>
      </c>
      <c r="E10" s="161">
        <f>C10*D10</f>
        <v>10450</v>
      </c>
      <c r="F10" s="156"/>
      <c r="H10" s="53" t="s">
        <v>511</v>
      </c>
      <c r="I10" s="36"/>
      <c r="J10" s="36"/>
      <c r="K10" s="37">
        <v>1000</v>
      </c>
    </row>
    <row r="11" spans="1:13">
      <c r="A11" s="162" t="s">
        <v>14</v>
      </c>
      <c r="B11" s="163" t="s">
        <v>13</v>
      </c>
      <c r="C11" s="159">
        <v>5500</v>
      </c>
      <c r="D11" s="164">
        <v>1.43</v>
      </c>
      <c r="E11" s="161">
        <f>C11*D11</f>
        <v>7865</v>
      </c>
      <c r="F11" s="156"/>
      <c r="H11" s="53" t="s">
        <v>512</v>
      </c>
      <c r="I11" s="36"/>
      <c r="J11" s="36"/>
      <c r="K11" s="37">
        <v>6400</v>
      </c>
    </row>
    <row r="12" spans="1:13">
      <c r="A12" s="162" t="s">
        <v>15</v>
      </c>
      <c r="B12" s="163" t="s">
        <v>13</v>
      </c>
      <c r="C12" s="159">
        <v>270</v>
      </c>
      <c r="D12" s="164">
        <v>1.43</v>
      </c>
      <c r="E12" s="161">
        <f>C12*D12</f>
        <v>386.09999999999997</v>
      </c>
      <c r="F12" s="156">
        <f>SUM(E10:E12)</f>
        <v>18701.099999999999</v>
      </c>
      <c r="H12" s="53" t="s">
        <v>513</v>
      </c>
      <c r="I12" s="36"/>
      <c r="J12" s="36"/>
      <c r="K12" s="37">
        <v>3000</v>
      </c>
    </row>
    <row r="13" spans="1:13">
      <c r="A13" s="162"/>
      <c r="B13" s="163"/>
      <c r="C13" s="159"/>
      <c r="D13" s="160"/>
      <c r="E13" s="161"/>
      <c r="F13" s="156"/>
      <c r="H13" s="53" t="s">
        <v>77</v>
      </c>
      <c r="I13" s="36"/>
      <c r="J13" s="36"/>
      <c r="K13" s="37">
        <f>I14*I15</f>
        <v>1600</v>
      </c>
    </row>
    <row r="14" spans="1:13">
      <c r="A14" s="149" t="s">
        <v>16</v>
      </c>
      <c r="B14" s="149"/>
      <c r="C14" s="149"/>
      <c r="D14" s="149"/>
      <c r="E14" s="149"/>
      <c r="F14" s="156"/>
      <c r="H14" s="170" t="s">
        <v>78</v>
      </c>
      <c r="I14" s="37">
        <v>400</v>
      </c>
      <c r="J14" s="51"/>
      <c r="K14" s="37"/>
    </row>
    <row r="15" spans="1:13">
      <c r="A15" s="162" t="s">
        <v>17</v>
      </c>
      <c r="B15" s="163" t="s">
        <v>13</v>
      </c>
      <c r="C15" s="159">
        <v>20</v>
      </c>
      <c r="D15" s="160">
        <v>110</v>
      </c>
      <c r="E15" s="161">
        <f>C15*D15</f>
        <v>2200</v>
      </c>
      <c r="F15" s="156">
        <f>E15</f>
        <v>2200</v>
      </c>
      <c r="H15" s="170" t="s">
        <v>79</v>
      </c>
      <c r="I15" s="52">
        <v>4</v>
      </c>
      <c r="J15" s="36"/>
      <c r="K15" s="37"/>
    </row>
    <row r="16" spans="1:13">
      <c r="A16" s="162"/>
      <c r="B16" s="163"/>
      <c r="C16" s="159"/>
      <c r="D16" s="160"/>
      <c r="E16" s="161"/>
      <c r="F16" s="156"/>
      <c r="H16" s="53" t="s">
        <v>80</v>
      </c>
      <c r="I16" s="52"/>
      <c r="J16" s="36"/>
      <c r="K16" s="37">
        <f>(I17*I18)*1.12</f>
        <v>34944</v>
      </c>
    </row>
    <row r="17" spans="1:11">
      <c r="A17" s="149" t="s">
        <v>69</v>
      </c>
      <c r="B17" s="149"/>
      <c r="C17" s="149"/>
      <c r="D17" s="165"/>
      <c r="E17" s="149"/>
      <c r="F17" s="156"/>
      <c r="H17" s="36" t="s">
        <v>81</v>
      </c>
      <c r="I17" s="52">
        <v>1040</v>
      </c>
      <c r="J17" s="36"/>
      <c r="K17" s="37"/>
    </row>
    <row r="18" spans="1:11">
      <c r="A18" s="162" t="s">
        <v>70</v>
      </c>
      <c r="B18" s="163" t="s">
        <v>13</v>
      </c>
      <c r="C18" s="159">
        <v>25</v>
      </c>
      <c r="D18" s="160">
        <v>110</v>
      </c>
      <c r="E18" s="161">
        <f>C18*D18</f>
        <v>2750</v>
      </c>
      <c r="F18" s="156">
        <f>E18</f>
        <v>2750</v>
      </c>
      <c r="H18" s="36" t="s">
        <v>82</v>
      </c>
      <c r="I18" s="37">
        <v>30</v>
      </c>
      <c r="J18" s="36"/>
      <c r="K18" s="37"/>
    </row>
    <row r="19" spans="1:11">
      <c r="A19" s="157"/>
      <c r="B19" s="166"/>
      <c r="C19" s="166"/>
      <c r="D19" s="167"/>
      <c r="E19" s="166"/>
      <c r="F19" s="156"/>
      <c r="H19" s="36"/>
      <c r="I19" s="36"/>
      <c r="J19" s="36"/>
      <c r="K19" s="52"/>
    </row>
    <row r="20" spans="1:11">
      <c r="A20" s="149" t="s">
        <v>68</v>
      </c>
      <c r="B20" s="149"/>
      <c r="C20" s="149"/>
      <c r="D20" s="165"/>
      <c r="E20" s="149"/>
      <c r="F20" s="156"/>
      <c r="H20" s="53" t="s">
        <v>6</v>
      </c>
      <c r="I20" s="36"/>
      <c r="J20" s="36"/>
      <c r="K20" s="171">
        <f>SUM(K4:K16)</f>
        <v>66444</v>
      </c>
    </row>
    <row r="21" spans="1:11">
      <c r="A21" s="162" t="s">
        <v>18</v>
      </c>
      <c r="B21" s="163" t="s">
        <v>13</v>
      </c>
      <c r="C21" s="168">
        <v>160</v>
      </c>
      <c r="D21" s="160">
        <v>110</v>
      </c>
      <c r="E21" s="161">
        <f>C21*D21</f>
        <v>17600</v>
      </c>
      <c r="F21" s="156">
        <f>E21</f>
        <v>17600</v>
      </c>
    </row>
    <row r="22" spans="1:11">
      <c r="A22" s="157"/>
      <c r="B22" s="166"/>
      <c r="C22" s="166"/>
      <c r="D22" s="167"/>
      <c r="E22" s="166"/>
      <c r="F22" s="156"/>
    </row>
    <row r="23" spans="1:11">
      <c r="A23" s="149" t="s">
        <v>19</v>
      </c>
      <c r="B23" s="149"/>
      <c r="C23" s="149"/>
      <c r="D23" s="165"/>
      <c r="E23" s="149"/>
      <c r="F23" s="156"/>
    </row>
    <row r="24" spans="1:11">
      <c r="A24" s="162" t="s">
        <v>20</v>
      </c>
      <c r="B24" s="163" t="s">
        <v>13</v>
      </c>
      <c r="C24" s="168">
        <v>200</v>
      </c>
      <c r="D24" s="160">
        <v>110</v>
      </c>
      <c r="E24" s="161">
        <f>C24*D24</f>
        <v>22000</v>
      </c>
      <c r="F24" s="156">
        <f>E24</f>
        <v>22000</v>
      </c>
    </row>
    <row r="25" spans="1:11" ht="14.25" customHeight="1">
      <c r="A25" s="162"/>
      <c r="B25" s="163"/>
      <c r="C25" s="168"/>
      <c r="D25" s="160"/>
      <c r="E25" s="161"/>
      <c r="F25" s="156"/>
      <c r="H25" s="219" t="s">
        <v>100</v>
      </c>
      <c r="I25" s="219"/>
      <c r="J25" s="219"/>
      <c r="K25" s="219"/>
    </row>
    <row r="26" spans="1:11" ht="15" customHeight="1">
      <c r="A26" s="157" t="s">
        <v>21</v>
      </c>
      <c r="B26" s="163"/>
      <c r="C26" s="159"/>
      <c r="D26" s="161"/>
      <c r="E26" s="161"/>
      <c r="F26" s="156"/>
      <c r="H26" s="172"/>
      <c r="I26" s="172"/>
      <c r="J26" s="172"/>
      <c r="K26" s="173" t="s">
        <v>514</v>
      </c>
    </row>
    <row r="27" spans="1:11">
      <c r="A27" s="162" t="s">
        <v>22</v>
      </c>
      <c r="B27" s="163" t="s">
        <v>13</v>
      </c>
      <c r="C27" s="159">
        <v>50</v>
      </c>
      <c r="D27" s="160">
        <v>110</v>
      </c>
      <c r="E27" s="161">
        <f>C27*D27</f>
        <v>5500</v>
      </c>
      <c r="F27" s="156">
        <f>E27</f>
        <v>5500</v>
      </c>
      <c r="H27" s="53" t="s">
        <v>95</v>
      </c>
      <c r="I27" s="52"/>
      <c r="J27" s="52"/>
      <c r="K27" s="37">
        <v>250000</v>
      </c>
    </row>
    <row r="28" spans="1:11">
      <c r="A28" s="162"/>
      <c r="B28" s="163"/>
      <c r="C28" s="159"/>
      <c r="D28" s="161"/>
      <c r="E28" s="161"/>
      <c r="F28" s="156"/>
      <c r="H28" s="53" t="s">
        <v>83</v>
      </c>
      <c r="I28" s="52"/>
      <c r="J28" s="52"/>
      <c r="K28" s="37">
        <f>I29*I30</f>
        <v>2700</v>
      </c>
    </row>
    <row r="29" spans="1:11">
      <c r="A29" s="157" t="s">
        <v>23</v>
      </c>
      <c r="B29" s="163"/>
      <c r="C29" s="159"/>
      <c r="D29" s="161"/>
      <c r="E29" s="161"/>
      <c r="F29" s="156"/>
      <c r="H29" s="36" t="s">
        <v>84</v>
      </c>
      <c r="I29" s="52">
        <v>6</v>
      </c>
      <c r="J29" s="52"/>
      <c r="K29" s="37"/>
    </row>
    <row r="30" spans="1:11">
      <c r="A30" s="162" t="s">
        <v>24</v>
      </c>
      <c r="B30" s="163" t="s">
        <v>13</v>
      </c>
      <c r="C30" s="159">
        <v>160</v>
      </c>
      <c r="D30" s="160">
        <v>160</v>
      </c>
      <c r="E30" s="161">
        <f>C30*D30</f>
        <v>25600</v>
      </c>
      <c r="F30" s="156">
        <f>E30</f>
        <v>25600</v>
      </c>
      <c r="H30" s="36" t="s">
        <v>85</v>
      </c>
      <c r="I30" s="37">
        <v>450</v>
      </c>
      <c r="J30" s="52"/>
      <c r="K30" s="37"/>
    </row>
    <row r="31" spans="1:11">
      <c r="A31" s="162"/>
      <c r="B31" s="163"/>
      <c r="C31" s="159"/>
      <c r="D31" s="169"/>
      <c r="E31" s="161"/>
      <c r="F31" s="156"/>
      <c r="H31" s="53" t="s">
        <v>93</v>
      </c>
      <c r="I31" s="52"/>
      <c r="J31" s="52"/>
      <c r="K31" s="37">
        <f>I33*I32</f>
        <v>600</v>
      </c>
    </row>
    <row r="32" spans="1:11">
      <c r="A32" s="157" t="s">
        <v>25</v>
      </c>
      <c r="B32" s="163"/>
      <c r="C32" s="159"/>
      <c r="D32" s="169"/>
      <c r="E32" s="161"/>
      <c r="F32" s="156"/>
      <c r="H32" s="36" t="s">
        <v>84</v>
      </c>
      <c r="I32" s="52">
        <v>2</v>
      </c>
      <c r="J32" s="52"/>
      <c r="K32" s="37"/>
    </row>
    <row r="33" spans="1:11">
      <c r="A33" s="162" t="s">
        <v>25</v>
      </c>
      <c r="B33" s="163" t="s">
        <v>13</v>
      </c>
      <c r="C33" s="159">
        <v>600</v>
      </c>
      <c r="D33" s="160">
        <v>130</v>
      </c>
      <c r="E33" s="161">
        <f>C33*D33</f>
        <v>78000</v>
      </c>
      <c r="F33" s="156"/>
      <c r="H33" s="36" t="s">
        <v>85</v>
      </c>
      <c r="I33" s="52">
        <v>300</v>
      </c>
      <c r="J33" s="52"/>
      <c r="K33" s="37"/>
    </row>
    <row r="34" spans="1:11">
      <c r="A34" s="162" t="s">
        <v>26</v>
      </c>
      <c r="B34" s="163" t="s">
        <v>27</v>
      </c>
      <c r="C34" s="159">
        <v>1</v>
      </c>
      <c r="D34" s="160">
        <v>9076.19</v>
      </c>
      <c r="E34" s="161">
        <f>C34*D34</f>
        <v>9076.19</v>
      </c>
      <c r="F34" s="156"/>
      <c r="H34" s="53" t="s">
        <v>101</v>
      </c>
      <c r="I34" s="52"/>
      <c r="J34" s="52"/>
      <c r="K34" s="37">
        <v>1000</v>
      </c>
    </row>
    <row r="35" spans="1:11">
      <c r="A35" s="162" t="s">
        <v>28</v>
      </c>
      <c r="B35" s="163" t="s">
        <v>27</v>
      </c>
      <c r="C35" s="159">
        <v>1</v>
      </c>
      <c r="D35" s="160">
        <v>4333.33</v>
      </c>
      <c r="E35" s="161">
        <f>C35*D35</f>
        <v>4333.33</v>
      </c>
      <c r="F35" s="156"/>
      <c r="H35" s="53" t="s">
        <v>86</v>
      </c>
      <c r="I35" s="52"/>
      <c r="J35" s="52"/>
      <c r="K35" s="37">
        <f>SUM(J36:J39)</f>
        <v>3070</v>
      </c>
    </row>
    <row r="36" spans="1:11">
      <c r="A36" s="162" t="s">
        <v>29</v>
      </c>
      <c r="B36" s="163" t="s">
        <v>27</v>
      </c>
      <c r="C36" s="159">
        <v>1</v>
      </c>
      <c r="D36" s="160">
        <v>3500</v>
      </c>
      <c r="E36" s="161">
        <f>C36*D36</f>
        <v>3500</v>
      </c>
      <c r="F36" s="156">
        <f>SUM(E33:E36)</f>
        <v>94909.52</v>
      </c>
      <c r="H36" s="170" t="s">
        <v>96</v>
      </c>
      <c r="I36" s="37">
        <v>200</v>
      </c>
      <c r="J36" s="174">
        <f>I36*7</f>
        <v>1400</v>
      </c>
      <c r="K36" s="37"/>
    </row>
    <row r="37" spans="1:11">
      <c r="A37" s="162"/>
      <c r="B37" s="163"/>
      <c r="C37" s="159"/>
      <c r="D37" s="161"/>
      <c r="E37" s="161"/>
      <c r="F37" s="156"/>
      <c r="H37" s="170" t="s">
        <v>97</v>
      </c>
      <c r="I37" s="37">
        <v>100</v>
      </c>
      <c r="J37" s="174">
        <f>I37*6</f>
        <v>600</v>
      </c>
      <c r="K37" s="37"/>
    </row>
    <row r="38" spans="1:11">
      <c r="A38" s="157" t="s">
        <v>31</v>
      </c>
      <c r="B38" s="163"/>
      <c r="C38" s="159"/>
      <c r="D38" s="160"/>
      <c r="E38" s="161"/>
      <c r="F38" s="156"/>
      <c r="H38" s="170" t="s">
        <v>98</v>
      </c>
      <c r="I38" s="37">
        <v>120</v>
      </c>
      <c r="J38" s="174">
        <f>I38*6</f>
        <v>720</v>
      </c>
      <c r="K38" s="37"/>
    </row>
    <row r="39" spans="1:11">
      <c r="A39" s="162" t="s">
        <v>32</v>
      </c>
      <c r="B39" s="163" t="s">
        <v>27</v>
      </c>
      <c r="C39" s="159">
        <v>1</v>
      </c>
      <c r="D39" s="160">
        <v>60000</v>
      </c>
      <c r="E39" s="161">
        <f t="shared" ref="E39:E46" si="0">C39*D39</f>
        <v>60000</v>
      </c>
      <c r="F39" s="156"/>
      <c r="H39" s="170" t="s">
        <v>99</v>
      </c>
      <c r="I39" s="37">
        <v>35</v>
      </c>
      <c r="J39" s="174">
        <f>I39*10</f>
        <v>350</v>
      </c>
      <c r="K39" s="37"/>
    </row>
    <row r="40" spans="1:11">
      <c r="A40" s="162" t="s">
        <v>33</v>
      </c>
      <c r="B40" s="163" t="s">
        <v>27</v>
      </c>
      <c r="C40" s="159">
        <v>1</v>
      </c>
      <c r="D40" s="160">
        <v>6000</v>
      </c>
      <c r="E40" s="161">
        <f t="shared" si="0"/>
        <v>6000</v>
      </c>
      <c r="F40" s="156"/>
      <c r="H40" s="53" t="s">
        <v>94</v>
      </c>
      <c r="I40" s="52"/>
      <c r="J40" s="52"/>
      <c r="K40" s="37">
        <v>3800</v>
      </c>
    </row>
    <row r="41" spans="1:11">
      <c r="A41" s="162" t="s">
        <v>34</v>
      </c>
      <c r="B41" s="163" t="s">
        <v>13</v>
      </c>
      <c r="C41" s="159">
        <v>600</v>
      </c>
      <c r="D41" s="160">
        <v>90</v>
      </c>
      <c r="E41" s="161">
        <f t="shared" si="0"/>
        <v>54000</v>
      </c>
      <c r="F41" s="156"/>
      <c r="H41" s="53" t="s">
        <v>318</v>
      </c>
      <c r="I41" s="52"/>
      <c r="J41" s="52"/>
      <c r="K41" s="37">
        <f>I42*I43</f>
        <v>1000</v>
      </c>
    </row>
    <row r="42" spans="1:11">
      <c r="A42" s="162" t="s">
        <v>35</v>
      </c>
      <c r="B42" s="163" t="s">
        <v>13</v>
      </c>
      <c r="C42" s="159">
        <v>80</v>
      </c>
      <c r="D42" s="160">
        <v>104.76</v>
      </c>
      <c r="E42" s="161">
        <f t="shared" si="0"/>
        <v>8380.8000000000011</v>
      </c>
      <c r="F42" s="156"/>
      <c r="H42" s="170" t="s">
        <v>88</v>
      </c>
      <c r="I42" s="52">
        <v>40</v>
      </c>
      <c r="J42" s="52"/>
      <c r="K42" s="52"/>
    </row>
    <row r="43" spans="1:11">
      <c r="A43" s="162" t="s">
        <v>26</v>
      </c>
      <c r="B43" s="163" t="s">
        <v>27</v>
      </c>
      <c r="C43" s="159">
        <v>1</v>
      </c>
      <c r="D43" s="160">
        <v>13790</v>
      </c>
      <c r="E43" s="161">
        <f t="shared" si="0"/>
        <v>13790</v>
      </c>
      <c r="F43" s="156"/>
      <c r="H43" s="170" t="s">
        <v>85</v>
      </c>
      <c r="I43" s="37">
        <v>25</v>
      </c>
      <c r="J43" s="52"/>
      <c r="K43" s="52"/>
    </row>
    <row r="44" spans="1:11">
      <c r="A44" s="162" t="s">
        <v>28</v>
      </c>
      <c r="B44" s="163" t="s">
        <v>27</v>
      </c>
      <c r="C44" s="159">
        <v>1</v>
      </c>
      <c r="D44" s="160">
        <v>6350</v>
      </c>
      <c r="E44" s="161">
        <f t="shared" si="0"/>
        <v>6350</v>
      </c>
      <c r="F44" s="156"/>
      <c r="H44" s="53" t="s">
        <v>87</v>
      </c>
      <c r="I44" s="37"/>
      <c r="J44" s="52"/>
      <c r="K44" s="37">
        <v>10000</v>
      </c>
    </row>
    <row r="45" spans="1:11">
      <c r="A45" s="162" t="s">
        <v>29</v>
      </c>
      <c r="B45" s="163" t="s">
        <v>27</v>
      </c>
      <c r="C45" s="159">
        <v>1</v>
      </c>
      <c r="D45" s="160">
        <v>3500</v>
      </c>
      <c r="E45" s="161">
        <f t="shared" si="0"/>
        <v>3500</v>
      </c>
      <c r="F45" s="156"/>
      <c r="H45" s="53" t="s">
        <v>89</v>
      </c>
      <c r="I45" s="37"/>
      <c r="J45" s="52"/>
      <c r="K45" s="37">
        <v>800</v>
      </c>
    </row>
    <row r="46" spans="1:11">
      <c r="A46" s="162" t="s">
        <v>36</v>
      </c>
      <c r="B46" s="163" t="s">
        <v>27</v>
      </c>
      <c r="C46" s="159">
        <v>1</v>
      </c>
      <c r="D46" s="160">
        <v>2029</v>
      </c>
      <c r="E46" s="161">
        <f t="shared" si="0"/>
        <v>2029</v>
      </c>
      <c r="F46" s="156">
        <f>SUM(E39:E46)</f>
        <v>154049.79999999999</v>
      </c>
      <c r="H46" s="53" t="s">
        <v>90</v>
      </c>
      <c r="I46" s="37"/>
      <c r="J46" s="52"/>
      <c r="K46" s="37">
        <v>8000</v>
      </c>
    </row>
    <row r="47" spans="1:11">
      <c r="A47" s="162"/>
      <c r="B47" s="163"/>
      <c r="C47" s="159"/>
      <c r="D47" s="160"/>
      <c r="E47" s="161"/>
      <c r="F47" s="156"/>
      <c r="H47" s="36"/>
      <c r="I47" s="52"/>
      <c r="J47" s="52"/>
      <c r="K47" s="52"/>
    </row>
    <row r="48" spans="1:11">
      <c r="A48" s="157" t="s">
        <v>37</v>
      </c>
      <c r="B48" s="163"/>
      <c r="C48" s="159"/>
      <c r="D48" s="160"/>
      <c r="E48" s="161"/>
      <c r="F48" s="156"/>
      <c r="H48" s="53" t="s">
        <v>6</v>
      </c>
      <c r="I48" s="52"/>
      <c r="J48" s="52"/>
      <c r="K48" s="171">
        <f>SUM(K27:K46)</f>
        <v>280970</v>
      </c>
    </row>
    <row r="49" spans="1:11">
      <c r="A49" s="162" t="s">
        <v>32</v>
      </c>
      <c r="B49" s="163" t="s">
        <v>27</v>
      </c>
      <c r="C49" s="159">
        <v>1</v>
      </c>
      <c r="D49" s="160">
        <v>30000</v>
      </c>
      <c r="E49" s="161">
        <f t="shared" ref="E49:E55" si="1">C49*D49</f>
        <v>30000</v>
      </c>
      <c r="F49" s="156"/>
    </row>
    <row r="50" spans="1:11">
      <c r="A50" s="162" t="s">
        <v>33</v>
      </c>
      <c r="B50" s="163" t="s">
        <v>27</v>
      </c>
      <c r="C50" s="159">
        <v>1</v>
      </c>
      <c r="D50" s="160">
        <v>2000</v>
      </c>
      <c r="E50" s="161">
        <f t="shared" si="1"/>
        <v>2000</v>
      </c>
      <c r="F50" s="156"/>
    </row>
    <row r="51" spans="1:11" ht="23.25">
      <c r="A51" s="162" t="s">
        <v>34</v>
      </c>
      <c r="B51" s="163" t="s">
        <v>13</v>
      </c>
      <c r="C51" s="159">
        <v>350</v>
      </c>
      <c r="D51" s="160">
        <v>90</v>
      </c>
      <c r="E51" s="161">
        <f t="shared" si="1"/>
        <v>31500</v>
      </c>
      <c r="F51" s="156"/>
      <c r="H51" s="224" t="s">
        <v>102</v>
      </c>
      <c r="I51" s="224"/>
      <c r="J51" s="224"/>
      <c r="K51" s="224"/>
    </row>
    <row r="52" spans="1:11" ht="15.75" customHeight="1">
      <c r="A52" s="162" t="s">
        <v>26</v>
      </c>
      <c r="B52" s="163" t="s">
        <v>27</v>
      </c>
      <c r="C52" s="159">
        <v>1</v>
      </c>
      <c r="D52" s="160">
        <v>10790</v>
      </c>
      <c r="E52" s="161">
        <f t="shared" si="1"/>
        <v>10790</v>
      </c>
      <c r="F52" s="156"/>
      <c r="H52" s="3"/>
    </row>
    <row r="53" spans="1:11">
      <c r="A53" s="162" t="s">
        <v>28</v>
      </c>
      <c r="B53" s="163" t="s">
        <v>27</v>
      </c>
      <c r="C53" s="159">
        <v>1</v>
      </c>
      <c r="D53" s="160">
        <v>4800</v>
      </c>
      <c r="E53" s="161">
        <f t="shared" si="1"/>
        <v>4800</v>
      </c>
      <c r="F53" s="156"/>
      <c r="H53" s="3" t="s">
        <v>103</v>
      </c>
      <c r="J53" s="6">
        <f>F110</f>
        <v>1481570.15</v>
      </c>
      <c r="K53" s="6"/>
    </row>
    <row r="54" spans="1:11">
      <c r="A54" s="162" t="s">
        <v>29</v>
      </c>
      <c r="B54" s="163" t="s">
        <v>27</v>
      </c>
      <c r="C54" s="159">
        <v>1</v>
      </c>
      <c r="D54" s="160">
        <v>2295</v>
      </c>
      <c r="E54" s="161">
        <f t="shared" si="1"/>
        <v>2295</v>
      </c>
      <c r="F54" s="156"/>
      <c r="H54" s="3" t="s">
        <v>104</v>
      </c>
      <c r="J54" s="6">
        <f>K20</f>
        <v>66444</v>
      </c>
      <c r="K54" s="6"/>
    </row>
    <row r="55" spans="1:11">
      <c r="A55" s="162" t="s">
        <v>36</v>
      </c>
      <c r="B55" s="163" t="s">
        <v>27</v>
      </c>
      <c r="C55" s="159">
        <v>1</v>
      </c>
      <c r="D55" s="160">
        <v>1729</v>
      </c>
      <c r="E55" s="161">
        <f t="shared" si="1"/>
        <v>1729</v>
      </c>
      <c r="F55" s="156">
        <f>SUM(E48:E55)</f>
        <v>83114</v>
      </c>
      <c r="H55" s="3" t="s">
        <v>100</v>
      </c>
      <c r="J55" s="6">
        <f>K48</f>
        <v>280970</v>
      </c>
      <c r="K55" s="6"/>
    </row>
    <row r="56" spans="1:11">
      <c r="A56" s="162"/>
      <c r="B56" s="163"/>
      <c r="C56" s="159"/>
      <c r="D56" s="160"/>
      <c r="E56" s="161"/>
      <c r="F56" s="156"/>
      <c r="J56" s="6"/>
      <c r="K56" s="6"/>
    </row>
    <row r="57" spans="1:11">
      <c r="A57" s="157" t="s">
        <v>38</v>
      </c>
      <c r="B57" s="163"/>
      <c r="C57" s="159"/>
      <c r="D57" s="169"/>
      <c r="E57" s="161"/>
      <c r="F57" s="156"/>
      <c r="H57" s="3" t="s">
        <v>6</v>
      </c>
      <c r="J57" s="6"/>
      <c r="K57" s="8">
        <f>SUM(J53:J55)</f>
        <v>1828984.15</v>
      </c>
    </row>
    <row r="58" spans="1:11">
      <c r="A58" s="162" t="s">
        <v>39</v>
      </c>
      <c r="B58" s="163" t="s">
        <v>13</v>
      </c>
      <c r="C58" s="159">
        <v>1200</v>
      </c>
      <c r="D58" s="160">
        <v>100</v>
      </c>
      <c r="E58" s="161">
        <f>C58*D58</f>
        <v>120000</v>
      </c>
      <c r="F58" s="156"/>
    </row>
    <row r="59" spans="1:11">
      <c r="A59" s="162" t="s">
        <v>40</v>
      </c>
      <c r="B59" s="163" t="s">
        <v>30</v>
      </c>
      <c r="C59" s="159">
        <v>6</v>
      </c>
      <c r="D59" s="160">
        <v>3000</v>
      </c>
      <c r="E59" s="161">
        <f>C59*D59</f>
        <v>18000</v>
      </c>
      <c r="F59" s="156"/>
    </row>
    <row r="60" spans="1:11">
      <c r="A60" s="162" t="s">
        <v>41</v>
      </c>
      <c r="B60" s="163" t="s">
        <v>42</v>
      </c>
      <c r="C60" s="159">
        <v>1</v>
      </c>
      <c r="D60" s="160">
        <v>12000</v>
      </c>
      <c r="E60" s="161">
        <f>C60*D60</f>
        <v>12000</v>
      </c>
      <c r="F60" s="156"/>
    </row>
    <row r="61" spans="1:11">
      <c r="A61" s="162" t="s">
        <v>28</v>
      </c>
      <c r="B61" s="163" t="s">
        <v>42</v>
      </c>
      <c r="C61" s="159">
        <v>1</v>
      </c>
      <c r="D61" s="160">
        <v>5525</v>
      </c>
      <c r="E61" s="161">
        <f>C61*D61</f>
        <v>5525</v>
      </c>
      <c r="F61" s="156"/>
      <c r="H61" s="223" t="s">
        <v>310</v>
      </c>
      <c r="I61" s="223"/>
    </row>
    <row r="62" spans="1:11" ht="15">
      <c r="A62" s="162" t="s">
        <v>29</v>
      </c>
      <c r="B62" s="163" t="s">
        <v>42</v>
      </c>
      <c r="C62" s="159">
        <v>1</v>
      </c>
      <c r="D62" s="160">
        <v>4475</v>
      </c>
      <c r="E62" s="161">
        <f>C62*D62</f>
        <v>4475</v>
      </c>
      <c r="F62" s="156">
        <f>SUM(E58:E62)</f>
        <v>160000</v>
      </c>
      <c r="H62" s="217" t="s">
        <v>308</v>
      </c>
      <c r="I62" s="217"/>
    </row>
    <row r="63" spans="1:11">
      <c r="A63" s="132"/>
      <c r="B63" s="129"/>
      <c r="C63" s="136"/>
      <c r="D63" s="137"/>
      <c r="E63" s="138"/>
      <c r="F63" s="147"/>
      <c r="H63" s="36" t="s">
        <v>304</v>
      </c>
      <c r="I63" s="51">
        <f>J53+J54+J55-K45-K46-K44</f>
        <v>1810184.15</v>
      </c>
    </row>
    <row r="64" spans="1:11">
      <c r="A64" s="133" t="s">
        <v>43</v>
      </c>
      <c r="B64" s="133"/>
      <c r="C64" s="133"/>
      <c r="D64" s="140"/>
      <c r="E64" s="133"/>
      <c r="F64" s="147"/>
      <c r="H64" s="36" t="s">
        <v>305</v>
      </c>
      <c r="I64" s="51">
        <f>K45+K46</f>
        <v>8800</v>
      </c>
    </row>
    <row r="65" spans="1:9">
      <c r="A65" s="132" t="s">
        <v>32</v>
      </c>
      <c r="B65" s="129" t="s">
        <v>27</v>
      </c>
      <c r="C65" s="141">
        <v>1</v>
      </c>
      <c r="D65" s="137">
        <v>168150</v>
      </c>
      <c r="E65" s="138">
        <f t="shared" ref="E65:E75" si="2">C65*D65</f>
        <v>168150</v>
      </c>
      <c r="F65" s="147"/>
      <c r="H65" s="36" t="s">
        <v>191</v>
      </c>
      <c r="I65" s="51">
        <f>-'CAPITAL DE TRABAJO'!C7</f>
        <v>6568.9876587314957</v>
      </c>
    </row>
    <row r="66" spans="1:9">
      <c r="A66" s="132" t="s">
        <v>33</v>
      </c>
      <c r="B66" s="129" t="s">
        <v>27</v>
      </c>
      <c r="C66" s="136">
        <v>1</v>
      </c>
      <c r="D66" s="137">
        <f>D65*0.15</f>
        <v>25222.5</v>
      </c>
      <c r="E66" s="138">
        <f t="shared" si="2"/>
        <v>25222.5</v>
      </c>
      <c r="F66" s="147"/>
      <c r="H66" s="36" t="s">
        <v>309</v>
      </c>
      <c r="I66" s="51">
        <f>K44</f>
        <v>10000</v>
      </c>
    </row>
    <row r="67" spans="1:9">
      <c r="A67" s="132" t="s">
        <v>44</v>
      </c>
      <c r="B67" s="129"/>
      <c r="C67" s="136">
        <v>1</v>
      </c>
      <c r="D67" s="139">
        <v>23000</v>
      </c>
      <c r="E67" s="138">
        <f t="shared" si="2"/>
        <v>23000</v>
      </c>
      <c r="F67" s="147"/>
      <c r="H67" s="115" t="s">
        <v>306</v>
      </c>
      <c r="I67" s="116">
        <f>SUM(I63:I66)</f>
        <v>1835553.1376587313</v>
      </c>
    </row>
    <row r="68" spans="1:9">
      <c r="A68" s="132" t="s">
        <v>45</v>
      </c>
      <c r="B68" s="129"/>
      <c r="C68" s="136">
        <v>1</v>
      </c>
      <c r="D68" s="139">
        <v>15790</v>
      </c>
      <c r="E68" s="138">
        <f t="shared" si="2"/>
        <v>15790</v>
      </c>
      <c r="F68" s="147"/>
      <c r="H68" s="222" t="s">
        <v>311</v>
      </c>
      <c r="I68" s="222"/>
    </row>
    <row r="69" spans="1:9">
      <c r="A69" s="132" t="s">
        <v>46</v>
      </c>
      <c r="B69" s="129" t="s">
        <v>27</v>
      </c>
      <c r="C69" s="136">
        <v>1</v>
      </c>
      <c r="D69" s="137">
        <v>9750</v>
      </c>
      <c r="E69" s="138">
        <f t="shared" si="2"/>
        <v>9750</v>
      </c>
      <c r="F69" s="147"/>
    </row>
    <row r="70" spans="1:9">
      <c r="A70" s="132" t="s">
        <v>47</v>
      </c>
      <c r="B70" s="129" t="s">
        <v>27</v>
      </c>
      <c r="C70" s="136">
        <v>1</v>
      </c>
      <c r="D70" s="137">
        <v>21600</v>
      </c>
      <c r="E70" s="138">
        <f t="shared" si="2"/>
        <v>21600</v>
      </c>
      <c r="F70" s="147"/>
      <c r="H70" s="223" t="s">
        <v>320</v>
      </c>
      <c r="I70" s="223"/>
    </row>
    <row r="71" spans="1:9">
      <c r="A71" s="132" t="s">
        <v>26</v>
      </c>
      <c r="B71" s="129" t="s">
        <v>27</v>
      </c>
      <c r="C71" s="136">
        <v>1</v>
      </c>
      <c r="D71" s="137">
        <v>15900</v>
      </c>
      <c r="E71" s="138">
        <f t="shared" si="2"/>
        <v>15900</v>
      </c>
      <c r="F71" s="147"/>
      <c r="H71" s="220" t="s">
        <v>312</v>
      </c>
      <c r="I71" s="221"/>
    </row>
    <row r="72" spans="1:9">
      <c r="A72" s="132" t="s">
        <v>48</v>
      </c>
      <c r="B72" s="129" t="s">
        <v>13</v>
      </c>
      <c r="C72" s="141">
        <v>300</v>
      </c>
      <c r="D72" s="137">
        <v>130</v>
      </c>
      <c r="E72" s="138">
        <f t="shared" si="2"/>
        <v>39000</v>
      </c>
      <c r="F72" s="147"/>
      <c r="H72" s="36" t="s">
        <v>313</v>
      </c>
      <c r="I72" s="51">
        <f>K27</f>
        <v>250000</v>
      </c>
    </row>
    <row r="73" spans="1:9">
      <c r="A73" s="132" t="s">
        <v>28</v>
      </c>
      <c r="B73" s="129" t="s">
        <v>27</v>
      </c>
      <c r="C73" s="136">
        <v>1</v>
      </c>
      <c r="D73" s="137">
        <v>6700</v>
      </c>
      <c r="E73" s="138">
        <f t="shared" si="2"/>
        <v>6700</v>
      </c>
      <c r="F73" s="147"/>
      <c r="H73" s="36" t="s">
        <v>314</v>
      </c>
      <c r="I73" s="51">
        <f>J53</f>
        <v>1481570.15</v>
      </c>
    </row>
    <row r="74" spans="1:9">
      <c r="A74" s="132" t="s">
        <v>49</v>
      </c>
      <c r="B74" s="129" t="s">
        <v>27</v>
      </c>
      <c r="C74" s="136">
        <v>1</v>
      </c>
      <c r="D74" s="137">
        <v>5900</v>
      </c>
      <c r="E74" s="138">
        <f t="shared" si="2"/>
        <v>5900</v>
      </c>
      <c r="F74" s="147"/>
      <c r="H74" s="36" t="s">
        <v>315</v>
      </c>
      <c r="I74" s="51">
        <f>J54</f>
        <v>66444</v>
      </c>
    </row>
    <row r="75" spans="1:9">
      <c r="A75" s="132" t="s">
        <v>50</v>
      </c>
      <c r="B75" s="129" t="s">
        <v>27</v>
      </c>
      <c r="C75" s="136">
        <v>1</v>
      </c>
      <c r="D75" s="137">
        <v>2400</v>
      </c>
      <c r="E75" s="138">
        <f t="shared" si="2"/>
        <v>2400</v>
      </c>
      <c r="F75" s="147">
        <f>SUM(E65:E75)</f>
        <v>333412.5</v>
      </c>
      <c r="H75" s="36" t="s">
        <v>111</v>
      </c>
      <c r="I75" s="51">
        <f>K28+K31</f>
        <v>3300</v>
      </c>
    </row>
    <row r="76" spans="1:9">
      <c r="A76" s="132"/>
      <c r="B76" s="129"/>
      <c r="C76" s="136"/>
      <c r="D76" s="137"/>
      <c r="E76" s="138"/>
      <c r="F76" s="147"/>
      <c r="H76" s="36" t="s">
        <v>112</v>
      </c>
      <c r="I76" s="51">
        <f>K35</f>
        <v>3070</v>
      </c>
    </row>
    <row r="77" spans="1:9">
      <c r="A77" s="134" t="s">
        <v>51</v>
      </c>
      <c r="B77" s="129"/>
      <c r="C77" s="136"/>
      <c r="D77" s="137"/>
      <c r="E77" s="138"/>
      <c r="F77" s="147"/>
      <c r="H77" s="36" t="s">
        <v>114</v>
      </c>
      <c r="I77" s="51">
        <f>K40</f>
        <v>3800</v>
      </c>
    </row>
    <row r="78" spans="1:9">
      <c r="A78" s="132" t="s">
        <v>32</v>
      </c>
      <c r="B78" s="129" t="s">
        <v>27</v>
      </c>
      <c r="C78" s="136">
        <v>1</v>
      </c>
      <c r="D78" s="137">
        <v>102500</v>
      </c>
      <c r="E78" s="138">
        <f t="shared" ref="E78:E87" si="3">C78*D78</f>
        <v>102500</v>
      </c>
      <c r="F78" s="147"/>
      <c r="H78" s="36" t="s">
        <v>316</v>
      </c>
      <c r="I78" s="51">
        <f>K41</f>
        <v>1000</v>
      </c>
    </row>
    <row r="79" spans="1:9">
      <c r="A79" s="132" t="s">
        <v>33</v>
      </c>
      <c r="B79" s="129" t="s">
        <v>27</v>
      </c>
      <c r="C79" s="136">
        <v>1</v>
      </c>
      <c r="D79" s="137">
        <v>9250</v>
      </c>
      <c r="E79" s="138">
        <f t="shared" si="3"/>
        <v>9250</v>
      </c>
      <c r="F79" s="147"/>
      <c r="H79" s="36" t="s">
        <v>113</v>
      </c>
      <c r="I79" s="51">
        <f>K34</f>
        <v>1000</v>
      </c>
    </row>
    <row r="80" spans="1:9">
      <c r="A80" s="132" t="s">
        <v>44</v>
      </c>
      <c r="B80" s="129" t="s">
        <v>52</v>
      </c>
      <c r="C80" s="136"/>
      <c r="D80" s="139"/>
      <c r="E80" s="138">
        <f t="shared" si="3"/>
        <v>0</v>
      </c>
      <c r="F80" s="147"/>
      <c r="H80" s="115" t="s">
        <v>319</v>
      </c>
      <c r="I80" s="116">
        <f>SUM(I72:I79)</f>
        <v>1810184.15</v>
      </c>
    </row>
    <row r="81" spans="1:9">
      <c r="A81" s="132" t="s">
        <v>53</v>
      </c>
      <c r="B81" s="129" t="s">
        <v>52</v>
      </c>
      <c r="C81" s="136">
        <v>1</v>
      </c>
      <c r="D81" s="137">
        <v>28500</v>
      </c>
      <c r="E81" s="138">
        <f t="shared" si="3"/>
        <v>28500</v>
      </c>
      <c r="F81" s="147"/>
      <c r="H81" s="222" t="s">
        <v>311</v>
      </c>
      <c r="I81" s="222"/>
    </row>
    <row r="82" spans="1:9">
      <c r="A82" s="132" t="s">
        <v>46</v>
      </c>
      <c r="B82" s="129" t="s">
        <v>27</v>
      </c>
      <c r="C82" s="136">
        <v>1</v>
      </c>
      <c r="D82" s="137">
        <v>7625</v>
      </c>
      <c r="E82" s="138">
        <f t="shared" si="3"/>
        <v>7625</v>
      </c>
      <c r="F82" s="147"/>
    </row>
    <row r="83" spans="1:9">
      <c r="A83" s="132" t="s">
        <v>47</v>
      </c>
      <c r="B83" s="129" t="s">
        <v>27</v>
      </c>
      <c r="C83" s="136">
        <v>1</v>
      </c>
      <c r="D83" s="137">
        <v>13450</v>
      </c>
      <c r="E83" s="138">
        <f t="shared" si="3"/>
        <v>13450</v>
      </c>
      <c r="F83" s="147"/>
    </row>
    <row r="84" spans="1:9">
      <c r="A84" s="132" t="s">
        <v>54</v>
      </c>
      <c r="B84" s="129" t="s">
        <v>27</v>
      </c>
      <c r="C84" s="136">
        <v>1</v>
      </c>
      <c r="D84" s="137">
        <v>7750</v>
      </c>
      <c r="E84" s="138">
        <f t="shared" si="3"/>
        <v>7750</v>
      </c>
      <c r="F84" s="147"/>
    </row>
    <row r="85" spans="1:9">
      <c r="A85" s="132" t="s">
        <v>28</v>
      </c>
      <c r="B85" s="129" t="s">
        <v>27</v>
      </c>
      <c r="C85" s="136">
        <v>1</v>
      </c>
      <c r="D85" s="137">
        <v>5400</v>
      </c>
      <c r="E85" s="138">
        <f t="shared" si="3"/>
        <v>5400</v>
      </c>
      <c r="F85" s="147"/>
    </row>
    <row r="86" spans="1:9">
      <c r="A86" s="132" t="s">
        <v>49</v>
      </c>
      <c r="B86" s="129" t="s">
        <v>27</v>
      </c>
      <c r="C86" s="136">
        <v>1</v>
      </c>
      <c r="D86" s="137">
        <v>4500</v>
      </c>
      <c r="E86" s="138">
        <f t="shared" si="3"/>
        <v>4500</v>
      </c>
      <c r="F86" s="147"/>
    </row>
    <row r="87" spans="1:9" ht="14.25">
      <c r="A87" s="132" t="s">
        <v>55</v>
      </c>
      <c r="B87" s="129" t="s">
        <v>27</v>
      </c>
      <c r="C87" s="136">
        <v>1</v>
      </c>
      <c r="D87" s="137">
        <v>1800</v>
      </c>
      <c r="E87" s="138">
        <f t="shared" si="3"/>
        <v>1800</v>
      </c>
      <c r="F87" s="147">
        <f>SUM(E78:E87)</f>
        <v>180775</v>
      </c>
      <c r="I87" s="41"/>
    </row>
    <row r="88" spans="1:9">
      <c r="A88" s="132"/>
      <c r="B88" s="129"/>
      <c r="C88" s="136"/>
      <c r="D88" s="137"/>
      <c r="E88" s="138"/>
      <c r="F88" s="147"/>
      <c r="I88" s="6"/>
    </row>
    <row r="89" spans="1:9">
      <c r="A89" s="134" t="s">
        <v>71</v>
      </c>
      <c r="B89" s="129"/>
      <c r="C89" s="136"/>
      <c r="D89" s="138"/>
      <c r="E89" s="138"/>
      <c r="F89" s="147"/>
      <c r="I89" s="6"/>
    </row>
    <row r="90" spans="1:9">
      <c r="A90" s="132" t="s">
        <v>56</v>
      </c>
      <c r="B90" s="129" t="s">
        <v>13</v>
      </c>
      <c r="C90" s="136">
        <v>1400</v>
      </c>
      <c r="D90" s="137">
        <v>130</v>
      </c>
      <c r="E90" s="138">
        <f>C90*D90</f>
        <v>182000</v>
      </c>
      <c r="F90" s="147"/>
    </row>
    <row r="91" spans="1:9">
      <c r="A91" s="132" t="s">
        <v>26</v>
      </c>
      <c r="B91" s="129" t="s">
        <v>42</v>
      </c>
      <c r="C91" s="136">
        <v>1</v>
      </c>
      <c r="D91" s="137">
        <v>13980</v>
      </c>
      <c r="E91" s="138">
        <f>C91*D91</f>
        <v>13980</v>
      </c>
      <c r="F91" s="147"/>
      <c r="I91" s="25"/>
    </row>
    <row r="92" spans="1:9" ht="14.25">
      <c r="A92" s="132" t="s">
        <v>57</v>
      </c>
      <c r="B92" s="129" t="s">
        <v>42</v>
      </c>
      <c r="C92" s="136">
        <v>1</v>
      </c>
      <c r="D92" s="137">
        <v>5333.33</v>
      </c>
      <c r="E92" s="138">
        <f>C92*D92</f>
        <v>5333.33</v>
      </c>
      <c r="F92" s="147"/>
      <c r="I92" s="41"/>
    </row>
    <row r="93" spans="1:9">
      <c r="A93" s="132" t="s">
        <v>49</v>
      </c>
      <c r="B93" s="129" t="s">
        <v>42</v>
      </c>
      <c r="C93" s="136">
        <v>1</v>
      </c>
      <c r="D93" s="137">
        <v>4500</v>
      </c>
      <c r="E93" s="138">
        <f>C93*D93</f>
        <v>4500</v>
      </c>
      <c r="F93" s="147">
        <f>SUM(E90:E93)</f>
        <v>205813.33</v>
      </c>
      <c r="I93" s="6"/>
    </row>
    <row r="94" spans="1:9">
      <c r="A94" s="132"/>
      <c r="B94" s="129"/>
      <c r="C94" s="136"/>
      <c r="D94" s="137"/>
      <c r="E94" s="138"/>
      <c r="F94" s="147"/>
      <c r="I94" s="6"/>
    </row>
    <row r="95" spans="1:9">
      <c r="A95" s="134" t="s">
        <v>58</v>
      </c>
      <c r="B95" s="135"/>
      <c r="C95" s="136"/>
      <c r="D95" s="139"/>
      <c r="E95" s="138"/>
      <c r="F95" s="147"/>
    </row>
    <row r="96" spans="1:9">
      <c r="A96" s="132" t="s">
        <v>59</v>
      </c>
      <c r="B96" s="129" t="s">
        <v>13</v>
      </c>
      <c r="C96" s="136">
        <v>2500</v>
      </c>
      <c r="D96" s="139">
        <v>3.05</v>
      </c>
      <c r="E96" s="138">
        <f>C96*D96</f>
        <v>7625</v>
      </c>
      <c r="F96" s="147"/>
      <c r="I96" s="25"/>
    </row>
    <row r="97" spans="1:6">
      <c r="A97" s="132" t="s">
        <v>60</v>
      </c>
      <c r="B97" s="129" t="s">
        <v>61</v>
      </c>
      <c r="C97" s="136">
        <v>70</v>
      </c>
      <c r="D97" s="137">
        <v>28.57</v>
      </c>
      <c r="E97" s="138">
        <f>C97*D97</f>
        <v>1999.9</v>
      </c>
      <c r="F97" s="147">
        <f>SUM(E96:E97)</f>
        <v>9624.9</v>
      </c>
    </row>
    <row r="98" spans="1:6">
      <c r="A98" s="132"/>
      <c r="B98" s="129"/>
      <c r="C98" s="136"/>
      <c r="D98" s="137"/>
      <c r="E98" s="138"/>
      <c r="F98" s="147"/>
    </row>
    <row r="99" spans="1:6">
      <c r="A99" s="134" t="s">
        <v>62</v>
      </c>
      <c r="B99" s="135"/>
      <c r="C99" s="136"/>
      <c r="D99" s="139"/>
      <c r="E99" s="138"/>
      <c r="F99" s="147"/>
    </row>
    <row r="100" spans="1:6">
      <c r="A100" s="132" t="s">
        <v>63</v>
      </c>
      <c r="B100" s="129" t="s">
        <v>13</v>
      </c>
      <c r="C100" s="136">
        <v>2500</v>
      </c>
      <c r="D100" s="139">
        <v>30</v>
      </c>
      <c r="E100" s="138">
        <f>C100*D100</f>
        <v>75000</v>
      </c>
      <c r="F100" s="147"/>
    </row>
    <row r="101" spans="1:6">
      <c r="A101" s="132"/>
      <c r="B101" s="129"/>
      <c r="C101" s="136"/>
      <c r="D101" s="137"/>
      <c r="E101" s="138"/>
      <c r="F101" s="147">
        <f>SUM(E100:E101)</f>
        <v>75000</v>
      </c>
    </row>
    <row r="102" spans="1:6">
      <c r="A102" s="132"/>
      <c r="B102" s="129"/>
      <c r="C102" s="136"/>
      <c r="D102" s="137"/>
      <c r="E102" s="138"/>
      <c r="F102" s="147"/>
    </row>
    <row r="103" spans="1:6">
      <c r="A103" s="134" t="s">
        <v>64</v>
      </c>
      <c r="B103" s="135"/>
      <c r="C103" s="136"/>
      <c r="D103" s="139"/>
      <c r="E103" s="138"/>
      <c r="F103" s="147"/>
    </row>
    <row r="104" spans="1:6">
      <c r="A104" s="132" t="s">
        <v>65</v>
      </c>
      <c r="B104" s="129" t="s">
        <v>42</v>
      </c>
      <c r="C104" s="136">
        <v>1</v>
      </c>
      <c r="D104" s="139"/>
      <c r="E104" s="138"/>
      <c r="F104" s="147"/>
    </row>
    <row r="105" spans="1:6">
      <c r="A105" s="132" t="s">
        <v>29</v>
      </c>
      <c r="B105" s="129" t="s">
        <v>42</v>
      </c>
      <c r="C105" s="136">
        <v>1</v>
      </c>
      <c r="D105" s="139"/>
      <c r="E105" s="138"/>
      <c r="F105" s="147"/>
    </row>
    <row r="106" spans="1:6">
      <c r="A106" s="132" t="s">
        <v>66</v>
      </c>
      <c r="B106" s="129" t="s">
        <v>42</v>
      </c>
      <c r="C106" s="136">
        <v>1</v>
      </c>
      <c r="D106" s="132"/>
      <c r="E106" s="132"/>
      <c r="F106" s="147"/>
    </row>
    <row r="107" spans="1:6">
      <c r="A107" s="132" t="s">
        <v>202</v>
      </c>
      <c r="B107" s="129" t="s">
        <v>42</v>
      </c>
      <c r="C107" s="136">
        <v>1</v>
      </c>
      <c r="D107" s="132"/>
      <c r="E107" s="132">
        <v>15000</v>
      </c>
      <c r="F107" s="147"/>
    </row>
    <row r="108" spans="1:6">
      <c r="A108" s="132"/>
      <c r="B108" s="129"/>
      <c r="C108" s="136"/>
      <c r="D108" s="137"/>
      <c r="E108" s="138"/>
      <c r="F108" s="147">
        <v>65000</v>
      </c>
    </row>
    <row r="109" spans="1:6">
      <c r="A109" s="132"/>
      <c r="B109" s="132"/>
      <c r="C109" s="142"/>
      <c r="D109" s="132"/>
      <c r="E109" s="132"/>
      <c r="F109" s="147"/>
    </row>
    <row r="110" spans="1:6">
      <c r="A110" s="143" t="s">
        <v>67</v>
      </c>
      <c r="B110" s="144"/>
      <c r="C110" s="145"/>
      <c r="D110" s="146"/>
      <c r="E110" s="143"/>
      <c r="F110" s="148">
        <f>SUM(F5:F108)</f>
        <v>1481570.15</v>
      </c>
    </row>
    <row r="113" spans="3:3">
      <c r="C113" s="4"/>
    </row>
  </sheetData>
  <mergeCells count="16">
    <mergeCell ref="A2:F2"/>
    <mergeCell ref="A3:A4"/>
    <mergeCell ref="B3:B4"/>
    <mergeCell ref="C3:C4"/>
    <mergeCell ref="D3:D4"/>
    <mergeCell ref="E3:E4"/>
    <mergeCell ref="F3:F4"/>
    <mergeCell ref="H71:I71"/>
    <mergeCell ref="H81:I81"/>
    <mergeCell ref="H70:I70"/>
    <mergeCell ref="H2:K2"/>
    <mergeCell ref="H62:I62"/>
    <mergeCell ref="H61:I61"/>
    <mergeCell ref="H68:I68"/>
    <mergeCell ref="H25:K25"/>
    <mergeCell ref="H51:K51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0"/>
  <sheetViews>
    <sheetView workbookViewId="0">
      <selection activeCell="G39" sqref="G39"/>
    </sheetView>
  </sheetViews>
  <sheetFormatPr baseColWidth="10" defaultRowHeight="12.75"/>
  <cols>
    <col min="2" max="2" width="15.28515625" bestFit="1" customWidth="1"/>
    <col min="3" max="12" width="11.28515625" bestFit="1" customWidth="1"/>
  </cols>
  <sheetData>
    <row r="3" spans="2:12">
      <c r="B3" s="222"/>
      <c r="C3" s="222"/>
    </row>
    <row r="4" spans="2:12" ht="15.75">
      <c r="B4" s="228" t="s">
        <v>181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2:12">
      <c r="B5" s="175"/>
      <c r="C5" s="176" t="s">
        <v>264</v>
      </c>
      <c r="D5" s="176" t="s">
        <v>265</v>
      </c>
      <c r="E5" s="176" t="s">
        <v>266</v>
      </c>
      <c r="F5" s="176" t="s">
        <v>267</v>
      </c>
      <c r="G5" s="176" t="s">
        <v>268</v>
      </c>
      <c r="H5" s="176" t="s">
        <v>269</v>
      </c>
      <c r="I5" s="176" t="s">
        <v>270</v>
      </c>
      <c r="J5" s="176" t="s">
        <v>271</v>
      </c>
      <c r="K5" s="176" t="s">
        <v>272</v>
      </c>
      <c r="L5" s="176" t="s">
        <v>273</v>
      </c>
    </row>
    <row r="6" spans="2:12">
      <c r="B6" s="175" t="s">
        <v>314</v>
      </c>
      <c r="C6" s="181">
        <f>DEMANDA!C27</f>
        <v>237572.16924672</v>
      </c>
      <c r="D6" s="181">
        <f>(1+DEMANDA!$C$28)*INGRESOS!C6</f>
        <v>244699.33432412162</v>
      </c>
      <c r="E6" s="181">
        <f>(1+DEMANDA!$C$28)*INGRESOS!D6</f>
        <v>252040.31435384529</v>
      </c>
      <c r="F6" s="181">
        <f>(1+DEMANDA!$C$28)*INGRESOS!E6</f>
        <v>259601.52378446065</v>
      </c>
      <c r="G6" s="181">
        <f>(1+DEMANDA!$C$28)*INGRESOS!F6</f>
        <v>267389.5694979945</v>
      </c>
      <c r="H6" s="181">
        <f>(1+DEMANDA!$C$28)*INGRESOS!G6</f>
        <v>275411.25658293435</v>
      </c>
      <c r="I6" s="181">
        <f>(1+DEMANDA!$C$28)*INGRESOS!H6</f>
        <v>283673.59428042237</v>
      </c>
      <c r="J6" s="181">
        <f>(1+DEMANDA!$C$28)*INGRESOS!I6</f>
        <v>292183.80210883508</v>
      </c>
      <c r="K6" s="181">
        <f>(1+DEMANDA!$C$28)*INGRESOS!J6</f>
        <v>300949.31617210014</v>
      </c>
      <c r="L6" s="181">
        <f>(1+DEMANDA!$C$28)*INGRESOS!K6</f>
        <v>309977.79565726314</v>
      </c>
    </row>
    <row r="7" spans="2:12">
      <c r="B7" s="175" t="s">
        <v>315</v>
      </c>
      <c r="C7" s="181">
        <f>DEMANDA!G24</f>
        <v>36457.782669000007</v>
      </c>
      <c r="D7" s="181">
        <f>(1+DEMANDA!$C$28)*INGRESOS!C7</f>
        <v>37551.516149070012</v>
      </c>
      <c r="E7" s="181">
        <f>(1+DEMANDA!$C$28)*INGRESOS!D7</f>
        <v>38678.061633542115</v>
      </c>
      <c r="F7" s="181">
        <f>(1+DEMANDA!$C$28)*INGRESOS!E7</f>
        <v>39838.403482548376</v>
      </c>
      <c r="G7" s="181">
        <f>(1+DEMANDA!$C$28)*INGRESOS!F7</f>
        <v>41033.555587024828</v>
      </c>
      <c r="H7" s="181">
        <f>(1+DEMANDA!$C$28)*INGRESOS!G7</f>
        <v>42264.562254635573</v>
      </c>
      <c r="I7" s="181">
        <f>(1+DEMANDA!$C$28)*INGRESOS!H7</f>
        <v>43532.499122274639</v>
      </c>
      <c r="J7" s="181">
        <f>(1+DEMANDA!$C$28)*INGRESOS!I7</f>
        <v>44838.474095942882</v>
      </c>
      <c r="K7" s="181">
        <f>(1+DEMANDA!$C$28)*INGRESOS!J7</f>
        <v>46183.628318821167</v>
      </c>
      <c r="L7" s="181">
        <f>(1+DEMANDA!$C$28)*INGRESOS!K7</f>
        <v>47569.137168385801</v>
      </c>
    </row>
    <row r="8" spans="2:12">
      <c r="B8" s="175" t="s">
        <v>186</v>
      </c>
      <c r="C8" s="181">
        <f>DEMANDA!C64</f>
        <v>221239.08261100797</v>
      </c>
      <c r="D8" s="181">
        <f>(1+DEMANDA!$C$28)*INGRESOS!C8</f>
        <v>227876.2550893382</v>
      </c>
      <c r="E8" s="181">
        <f>(1+DEMANDA!$C$28)*INGRESOS!D8</f>
        <v>234712.54274201836</v>
      </c>
      <c r="F8" s="181">
        <f>(1+DEMANDA!$C$28)*INGRESOS!E8</f>
        <v>241753.9190242789</v>
      </c>
      <c r="G8" s="181">
        <f>(1+DEMANDA!$C$28)*INGRESOS!F8</f>
        <v>249006.53659500729</v>
      </c>
      <c r="H8" s="181">
        <f>(1+DEMANDA!$C$28)*INGRESOS!G8</f>
        <v>256476.73269285751</v>
      </c>
      <c r="I8" s="181">
        <f>(1+DEMANDA!$C$28)*INGRESOS!H8</f>
        <v>264171.03467364324</v>
      </c>
      <c r="J8" s="181">
        <f>(1+DEMANDA!$C$28)*INGRESOS!I8</f>
        <v>272096.16571385256</v>
      </c>
      <c r="K8" s="181">
        <f>(1+DEMANDA!$C$28)*INGRESOS!J8</f>
        <v>280259.05068526813</v>
      </c>
      <c r="L8" s="181">
        <f>(1+DEMANDA!$C$28)*INGRESOS!K8</f>
        <v>288666.82220582617</v>
      </c>
    </row>
    <row r="9" spans="2:12">
      <c r="B9" s="182" t="s">
        <v>325</v>
      </c>
      <c r="C9" s="183">
        <f>SUM(C6:C8)</f>
        <v>495269.03452672798</v>
      </c>
      <c r="D9" s="183">
        <f t="shared" ref="D9:L9" si="0">SUM(D6:D8)</f>
        <v>510127.10556252988</v>
      </c>
      <c r="E9" s="183">
        <f t="shared" si="0"/>
        <v>525430.91872940573</v>
      </c>
      <c r="F9" s="183">
        <f t="shared" si="0"/>
        <v>541193.84629128792</v>
      </c>
      <c r="G9" s="183">
        <f t="shared" si="0"/>
        <v>557429.66168002668</v>
      </c>
      <c r="H9" s="183">
        <f t="shared" si="0"/>
        <v>574152.55153042742</v>
      </c>
      <c r="I9" s="183">
        <f t="shared" si="0"/>
        <v>591377.1280763403</v>
      </c>
      <c r="J9" s="183">
        <f t="shared" si="0"/>
        <v>609118.4419186305</v>
      </c>
      <c r="K9" s="183">
        <f t="shared" si="0"/>
        <v>627391.99517618946</v>
      </c>
      <c r="L9" s="183">
        <f t="shared" si="0"/>
        <v>646213.7550314751</v>
      </c>
    </row>
    <row r="10" spans="2:12">
      <c r="B10" s="222" t="s">
        <v>311</v>
      </c>
      <c r="C10" s="222"/>
    </row>
  </sheetData>
  <mergeCells count="3">
    <mergeCell ref="B4:L4"/>
    <mergeCell ref="B10:C10"/>
    <mergeCell ref="B3:C3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"/>
  <sheetViews>
    <sheetView topLeftCell="A4" workbookViewId="0">
      <selection activeCell="D22" sqref="D22"/>
    </sheetView>
  </sheetViews>
  <sheetFormatPr baseColWidth="10" defaultRowHeight="12.75"/>
  <cols>
    <col min="1" max="1" width="26.42578125" bestFit="1" customWidth="1"/>
    <col min="2" max="5" width="10.28515625" bestFit="1" customWidth="1"/>
    <col min="7" max="9" width="11.28515625" bestFit="1" customWidth="1"/>
    <col min="11" max="14" width="11.28515625" bestFit="1" customWidth="1"/>
  </cols>
  <sheetData>
    <row r="2" spans="1:14" ht="15">
      <c r="A2" s="217" t="s">
        <v>153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>
      <c r="A3" s="175"/>
      <c r="B3" s="176" t="s">
        <v>154</v>
      </c>
      <c r="C3" s="176" t="s">
        <v>155</v>
      </c>
      <c r="D3" s="176" t="s">
        <v>156</v>
      </c>
      <c r="E3" s="176" t="s">
        <v>157</v>
      </c>
      <c r="F3" s="176" t="s">
        <v>158</v>
      </c>
      <c r="G3" s="176" t="s">
        <v>159</v>
      </c>
      <c r="H3" s="176" t="s">
        <v>160</v>
      </c>
      <c r="I3" s="176" t="s">
        <v>161</v>
      </c>
      <c r="J3" s="176" t="s">
        <v>162</v>
      </c>
      <c r="K3" s="176" t="s">
        <v>163</v>
      </c>
      <c r="L3" s="176" t="s">
        <v>164</v>
      </c>
      <c r="M3" s="176" t="s">
        <v>165</v>
      </c>
      <c r="N3" s="176" t="s">
        <v>121</v>
      </c>
    </row>
    <row r="4" spans="1:14">
      <c r="A4" s="175" t="s">
        <v>116</v>
      </c>
      <c r="B4" s="59">
        <f>'COSTOS OPERACIONALES'!E25/12</f>
        <v>14057.058694533334</v>
      </c>
      <c r="C4" s="59">
        <f>B4</f>
        <v>14057.058694533334</v>
      </c>
      <c r="D4" s="59">
        <f>C4</f>
        <v>14057.058694533334</v>
      </c>
      <c r="E4" s="59">
        <f t="shared" ref="E4:M4" si="0">D4</f>
        <v>14057.058694533334</v>
      </c>
      <c r="F4" s="59">
        <f t="shared" si="0"/>
        <v>14057.058694533334</v>
      </c>
      <c r="G4" s="59">
        <f t="shared" si="0"/>
        <v>14057.058694533334</v>
      </c>
      <c r="H4" s="59">
        <f t="shared" si="0"/>
        <v>14057.058694533334</v>
      </c>
      <c r="I4" s="59">
        <f t="shared" si="0"/>
        <v>14057.058694533334</v>
      </c>
      <c r="J4" s="59">
        <f t="shared" si="0"/>
        <v>14057.058694533334</v>
      </c>
      <c r="K4" s="59">
        <f t="shared" si="0"/>
        <v>14057.058694533334</v>
      </c>
      <c r="L4" s="59">
        <f t="shared" si="0"/>
        <v>14057.058694533334</v>
      </c>
      <c r="M4" s="59">
        <f t="shared" si="0"/>
        <v>14057.058694533334</v>
      </c>
      <c r="N4" s="175"/>
    </row>
    <row r="5" spans="1:14">
      <c r="A5" s="175" t="s">
        <v>128</v>
      </c>
      <c r="B5" s="59">
        <f>SUM('COSTOS NO OPERACIONALES'!F6:F38)/12</f>
        <v>7370</v>
      </c>
      <c r="C5" s="59">
        <f>B5</f>
        <v>7370</v>
      </c>
      <c r="D5" s="59">
        <f>C5</f>
        <v>7370</v>
      </c>
      <c r="E5" s="59">
        <f t="shared" ref="E5:M5" si="1">D5</f>
        <v>7370</v>
      </c>
      <c r="F5" s="59">
        <f t="shared" si="1"/>
        <v>7370</v>
      </c>
      <c r="G5" s="59">
        <f t="shared" si="1"/>
        <v>7370</v>
      </c>
      <c r="H5" s="59">
        <f t="shared" si="1"/>
        <v>7370</v>
      </c>
      <c r="I5" s="59">
        <f t="shared" si="1"/>
        <v>7370</v>
      </c>
      <c r="J5" s="59">
        <f t="shared" si="1"/>
        <v>7370</v>
      </c>
      <c r="K5" s="59">
        <f t="shared" si="1"/>
        <v>7370</v>
      </c>
      <c r="L5" s="59">
        <f t="shared" si="1"/>
        <v>7370</v>
      </c>
      <c r="M5" s="59">
        <f t="shared" si="1"/>
        <v>7370</v>
      </c>
      <c r="N5" s="175"/>
    </row>
    <row r="6" spans="1:14">
      <c r="A6" s="175" t="s">
        <v>166</v>
      </c>
      <c r="B6" s="59">
        <f>SUM(B4:B5)</f>
        <v>21427.058694533334</v>
      </c>
      <c r="C6" s="59">
        <f t="shared" ref="C6:M6" si="2">SUM(C4:C5)</f>
        <v>21427.058694533334</v>
      </c>
      <c r="D6" s="59">
        <f t="shared" si="2"/>
        <v>21427.058694533334</v>
      </c>
      <c r="E6" s="59">
        <f t="shared" si="2"/>
        <v>21427.058694533334</v>
      </c>
      <c r="F6" s="59">
        <f t="shared" si="2"/>
        <v>21427.058694533334</v>
      </c>
      <c r="G6" s="59">
        <f t="shared" si="2"/>
        <v>21427.058694533334</v>
      </c>
      <c r="H6" s="59">
        <f t="shared" si="2"/>
        <v>21427.058694533334</v>
      </c>
      <c r="I6" s="59">
        <f t="shared" si="2"/>
        <v>21427.058694533334</v>
      </c>
      <c r="J6" s="59">
        <f t="shared" si="2"/>
        <v>21427.058694533334</v>
      </c>
      <c r="K6" s="59">
        <f t="shared" si="2"/>
        <v>21427.058694533334</v>
      </c>
      <c r="L6" s="59">
        <f t="shared" si="2"/>
        <v>21427.058694533334</v>
      </c>
      <c r="M6" s="59">
        <f t="shared" si="2"/>
        <v>21427.058694533334</v>
      </c>
      <c r="N6" s="175"/>
    </row>
    <row r="7" spans="1:14">
      <c r="A7" s="177" t="s">
        <v>167</v>
      </c>
      <c r="B7" s="178"/>
      <c r="C7" s="178">
        <f>B8-B6</f>
        <v>-6568.9876587314957</v>
      </c>
      <c r="D7" s="178">
        <f>C8-C6+C7</f>
        <v>1720.0957183388473</v>
      </c>
      <c r="E7" s="178">
        <f t="shared" ref="E7:M7" si="3">D8-D6+D7</f>
        <v>54583.392202814699</v>
      </c>
      <c r="F7" s="178">
        <f t="shared" si="3"/>
        <v>117352.06937782513</v>
      </c>
      <c r="G7" s="178">
        <f t="shared" si="3"/>
        <v>130593.84310016275</v>
      </c>
      <c r="H7" s="178">
        <f t="shared" si="3"/>
        <v>148788.30716776766</v>
      </c>
      <c r="I7" s="178">
        <f t="shared" si="3"/>
        <v>171935.46158063985</v>
      </c>
      <c r="J7" s="178">
        <f t="shared" si="3"/>
        <v>195082.61599351204</v>
      </c>
      <c r="K7" s="178">
        <f t="shared" si="3"/>
        <v>208324.38971584965</v>
      </c>
      <c r="L7" s="178">
        <f t="shared" si="3"/>
        <v>216613.47309292</v>
      </c>
      <c r="M7" s="178">
        <f t="shared" si="3"/>
        <v>224902.55646999035</v>
      </c>
      <c r="N7" s="175"/>
    </row>
    <row r="8" spans="1:14">
      <c r="A8" s="175" t="s">
        <v>168</v>
      </c>
      <c r="B8" s="59">
        <f>N8*B10</f>
        <v>14858.071035801839</v>
      </c>
      <c r="C8" s="59">
        <f>$N$8*C10</f>
        <v>29716.142071603677</v>
      </c>
      <c r="D8" s="59">
        <f t="shared" ref="D8:M8" si="4">$N$8*D10</f>
        <v>74290.355179009188</v>
      </c>
      <c r="E8" s="59">
        <f t="shared" si="4"/>
        <v>84195.735869543758</v>
      </c>
      <c r="F8" s="59">
        <f t="shared" si="4"/>
        <v>34668.832416870959</v>
      </c>
      <c r="G8" s="59">
        <f t="shared" si="4"/>
        <v>39621.522762138236</v>
      </c>
      <c r="H8" s="59">
        <f t="shared" si="4"/>
        <v>44574.213107405514</v>
      </c>
      <c r="I8" s="59">
        <f t="shared" si="4"/>
        <v>44574.213107405514</v>
      </c>
      <c r="J8" s="59">
        <f t="shared" si="4"/>
        <v>34668.832416870959</v>
      </c>
      <c r="K8" s="59">
        <f t="shared" si="4"/>
        <v>29716.142071603677</v>
      </c>
      <c r="L8" s="59">
        <f t="shared" si="4"/>
        <v>29716.142071603677</v>
      </c>
      <c r="M8" s="59">
        <f t="shared" si="4"/>
        <v>34668.832416870959</v>
      </c>
      <c r="N8" s="179">
        <f>DEMANDA!C27+DEMANDA!G24+DEMANDA!C64</f>
        <v>495269.03452672798</v>
      </c>
    </row>
    <row r="9" spans="1:14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>
      <c r="A10" s="175" t="s">
        <v>515</v>
      </c>
      <c r="B10" s="180">
        <v>0.03</v>
      </c>
      <c r="C10" s="180">
        <v>0.06</v>
      </c>
      <c r="D10" s="180">
        <v>0.15</v>
      </c>
      <c r="E10" s="180">
        <v>0.17</v>
      </c>
      <c r="F10" s="180">
        <v>7.0000000000000007E-2</v>
      </c>
      <c r="G10" s="180">
        <v>0.08</v>
      </c>
      <c r="H10" s="180">
        <v>0.09</v>
      </c>
      <c r="I10" s="180">
        <v>0.09</v>
      </c>
      <c r="J10" s="180">
        <v>7.0000000000000007E-2</v>
      </c>
      <c r="K10" s="180">
        <v>0.06</v>
      </c>
      <c r="L10" s="180">
        <v>0.06</v>
      </c>
      <c r="M10" s="180">
        <v>7.0000000000000007E-2</v>
      </c>
      <c r="N10" s="180">
        <f>SUM(B10:M10)</f>
        <v>1.0000000000000002</v>
      </c>
    </row>
    <row r="11" spans="1:14">
      <c r="A11" s="222" t="s">
        <v>311</v>
      </c>
      <c r="B11" s="222"/>
    </row>
    <row r="13" spans="1:14">
      <c r="N13" s="6"/>
    </row>
  </sheetData>
  <mergeCells count="2">
    <mergeCell ref="A2:N2"/>
    <mergeCell ref="A11:B11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3"/>
  <sheetViews>
    <sheetView workbookViewId="0">
      <selection activeCell="H48" sqref="H48"/>
    </sheetView>
  </sheetViews>
  <sheetFormatPr baseColWidth="10" defaultRowHeight="12.75"/>
  <cols>
    <col min="2" max="2" width="21" customWidth="1"/>
    <col min="3" max="4" width="16.140625" bestFit="1" customWidth="1"/>
    <col min="5" max="5" width="11.7109375" bestFit="1" customWidth="1"/>
    <col min="6" max="6" width="30.28515625" bestFit="1" customWidth="1"/>
    <col min="7" max="7" width="12.5703125" customWidth="1"/>
    <col min="8" max="8" width="30.28515625" bestFit="1" customWidth="1"/>
    <col min="9" max="9" width="11.7109375" bestFit="1" customWidth="1"/>
  </cols>
  <sheetData>
    <row r="2" spans="2:6" ht="15">
      <c r="B2" s="217" t="s">
        <v>116</v>
      </c>
      <c r="C2" s="217"/>
      <c r="D2" s="217"/>
      <c r="E2" s="217"/>
    </row>
    <row r="3" spans="2:6">
      <c r="B3" s="36"/>
      <c r="C3" s="36"/>
      <c r="D3" s="36"/>
      <c r="E3" s="36"/>
    </row>
    <row r="4" spans="2:6">
      <c r="B4" s="175"/>
      <c r="C4" s="175"/>
      <c r="D4" s="176" t="s">
        <v>120</v>
      </c>
      <c r="E4" s="176" t="s">
        <v>121</v>
      </c>
    </row>
    <row r="5" spans="2:6">
      <c r="B5" s="175" t="s">
        <v>117</v>
      </c>
      <c r="C5" s="175"/>
      <c r="D5" s="181">
        <v>2000</v>
      </c>
      <c r="E5" s="181">
        <f>D5*C7</f>
        <v>20000</v>
      </c>
    </row>
    <row r="6" spans="2:6">
      <c r="B6" s="175" t="s">
        <v>118</v>
      </c>
      <c r="C6" s="190">
        <v>5000</v>
      </c>
      <c r="D6" s="175"/>
      <c r="E6" s="175"/>
    </row>
    <row r="7" spans="2:6">
      <c r="B7" s="175" t="s">
        <v>122</v>
      </c>
      <c r="C7" s="175">
        <v>10</v>
      </c>
      <c r="D7" s="175"/>
      <c r="E7" s="175"/>
    </row>
    <row r="8" spans="2:6">
      <c r="B8" s="175" t="s">
        <v>119</v>
      </c>
      <c r="C8" s="175"/>
      <c r="D8" s="181">
        <v>800</v>
      </c>
      <c r="E8" s="181">
        <f>D8*12</f>
        <v>9600</v>
      </c>
    </row>
    <row r="9" spans="2:6" ht="14.25" customHeight="1">
      <c r="B9" s="191" t="s">
        <v>123</v>
      </c>
      <c r="C9" s="175"/>
      <c r="D9" s="175"/>
      <c r="E9" s="175"/>
    </row>
    <row r="10" spans="2:6" ht="13.5" customHeight="1">
      <c r="B10" s="175" t="s">
        <v>124</v>
      </c>
      <c r="C10" s="175"/>
      <c r="D10" s="175"/>
      <c r="E10" s="181">
        <f>C11*C12</f>
        <v>13000</v>
      </c>
    </row>
    <row r="11" spans="2:6">
      <c r="B11" s="175" t="s">
        <v>85</v>
      </c>
      <c r="C11" s="181">
        <v>1300</v>
      </c>
      <c r="D11" s="175"/>
      <c r="E11" s="175"/>
    </row>
    <row r="12" spans="2:6">
      <c r="B12" s="175" t="s">
        <v>125</v>
      </c>
      <c r="C12" s="175">
        <v>10</v>
      </c>
      <c r="D12" s="175"/>
      <c r="E12" s="175"/>
    </row>
    <row r="13" spans="2:6">
      <c r="B13" s="175" t="s">
        <v>105</v>
      </c>
      <c r="C13" s="175"/>
      <c r="D13" s="175"/>
      <c r="E13" s="181">
        <f>C14</f>
        <v>9472.75</v>
      </c>
    </row>
    <row r="14" spans="2:6">
      <c r="B14" s="175" t="s">
        <v>201</v>
      </c>
      <c r="C14" s="181">
        <f>(DEPRECIACIONES!C6+DEPRECIACIONES!C7)*0.035</f>
        <v>9472.75</v>
      </c>
      <c r="D14" s="175"/>
      <c r="E14" s="175"/>
      <c r="F14" s="6"/>
    </row>
    <row r="15" spans="2:6">
      <c r="B15" s="175" t="s">
        <v>126</v>
      </c>
      <c r="C15" s="175"/>
      <c r="D15" s="181">
        <v>400</v>
      </c>
      <c r="E15" s="181">
        <f>D15*12</f>
        <v>4800</v>
      </c>
    </row>
    <row r="16" spans="2:6">
      <c r="B16" s="175" t="s">
        <v>127</v>
      </c>
      <c r="C16" s="175"/>
      <c r="D16" s="175"/>
      <c r="E16" s="181">
        <f>C17*C18</f>
        <v>450</v>
      </c>
    </row>
    <row r="17" spans="2:7">
      <c r="B17" s="175" t="s">
        <v>85</v>
      </c>
      <c r="C17" s="181">
        <v>150</v>
      </c>
      <c r="D17" s="175"/>
      <c r="E17" s="181"/>
    </row>
    <row r="18" spans="2:7">
      <c r="B18" s="175" t="s">
        <v>125</v>
      </c>
      <c r="C18" s="175">
        <v>3</v>
      </c>
      <c r="D18" s="175"/>
      <c r="E18" s="181"/>
    </row>
    <row r="19" spans="2:7">
      <c r="B19" s="191" t="s">
        <v>186</v>
      </c>
      <c r="C19" s="175"/>
      <c r="D19" s="181">
        <f>(C21*C20)+(C23*C22)</f>
        <v>9280.1628612000004</v>
      </c>
      <c r="E19" s="181">
        <f>D19*12</f>
        <v>111361.95433440001</v>
      </c>
    </row>
    <row r="20" spans="2:7" ht="18" customHeight="1">
      <c r="B20" s="175" t="s">
        <v>250</v>
      </c>
      <c r="C20" s="181">
        <f>DEMANDA!C48</f>
        <v>2.5</v>
      </c>
      <c r="D20" s="175"/>
      <c r="E20" s="181"/>
    </row>
    <row r="21" spans="2:7">
      <c r="B21" s="175" t="s">
        <v>251</v>
      </c>
      <c r="C21" s="192">
        <f>DEMANDA!C61</f>
        <v>3093.3876203999998</v>
      </c>
      <c r="D21" s="175"/>
      <c r="E21" s="181"/>
    </row>
    <row r="22" spans="2:7">
      <c r="B22" s="175" t="s">
        <v>252</v>
      </c>
      <c r="C22" s="181">
        <f>DEMANDA!C58</f>
        <v>0.25</v>
      </c>
      <c r="D22" s="175"/>
      <c r="E22" s="181"/>
    </row>
    <row r="23" spans="2:7">
      <c r="B23" s="175" t="s">
        <v>253</v>
      </c>
      <c r="C23" s="192">
        <f>C21*2</f>
        <v>6186.7752407999997</v>
      </c>
      <c r="D23" s="175"/>
      <c r="E23" s="181"/>
    </row>
    <row r="24" spans="2:7">
      <c r="B24" s="175"/>
      <c r="C24" s="175"/>
      <c r="D24" s="175"/>
      <c r="E24" s="181"/>
    </row>
    <row r="25" spans="2:7">
      <c r="B25" s="191" t="s">
        <v>91</v>
      </c>
      <c r="C25" s="191"/>
      <c r="D25" s="191"/>
      <c r="E25" s="193">
        <f>SUM(E5:E19)</f>
        <v>168684.70433440001</v>
      </c>
    </row>
    <row r="26" spans="2:7">
      <c r="E26" s="6"/>
    </row>
    <row r="27" spans="2:7">
      <c r="E27" s="6"/>
    </row>
    <row r="28" spans="2:7">
      <c r="E28" s="6"/>
    </row>
    <row r="29" spans="2:7">
      <c r="E29" s="6"/>
    </row>
    <row r="30" spans="2:7">
      <c r="E30" s="6"/>
    </row>
    <row r="31" spans="2:7">
      <c r="E31" s="6"/>
    </row>
    <row r="32" spans="2:7" ht="15">
      <c r="B32" s="217" t="s">
        <v>499</v>
      </c>
      <c r="C32" s="217"/>
      <c r="D32" s="217"/>
      <c r="E32" s="6"/>
      <c r="F32" s="229" t="s">
        <v>504</v>
      </c>
      <c r="G32" s="229"/>
    </row>
    <row r="33" spans="2:7" ht="24">
      <c r="B33" s="114" t="s">
        <v>495</v>
      </c>
      <c r="C33" s="194" t="s">
        <v>500</v>
      </c>
      <c r="D33" s="194" t="s">
        <v>501</v>
      </c>
      <c r="E33" s="6"/>
      <c r="F33" s="119" t="s">
        <v>116</v>
      </c>
      <c r="G33" s="117" t="s">
        <v>328</v>
      </c>
    </row>
    <row r="34" spans="2:7">
      <c r="B34" s="52">
        <v>1</v>
      </c>
      <c r="C34" s="37">
        <f>SUM(E5:E16)</f>
        <v>57322.75</v>
      </c>
      <c r="D34" s="37">
        <f>C34+((DEMANDA!D84*DEMANDA!$D$51)+(DEMANDA!E84*DEMANDA!$C$58))</f>
        <v>168684.70433439998</v>
      </c>
      <c r="F34" s="36" t="s">
        <v>327</v>
      </c>
      <c r="G34" s="51">
        <f>E5</f>
        <v>20000</v>
      </c>
    </row>
    <row r="35" spans="2:7">
      <c r="B35" s="52">
        <v>2</v>
      </c>
      <c r="C35" s="37">
        <f>(1+DEMANDA!$C$28)*'COSTOS OPERACIONALES'!C34</f>
        <v>59042.432500000003</v>
      </c>
      <c r="D35" s="37">
        <f>C35+((DEMANDA!D85*DEMANDA!$D$51)+(DEMANDA!E85*DEMANDA!$C$58))</f>
        <v>201585.73404803197</v>
      </c>
      <c r="F35" s="36" t="s">
        <v>119</v>
      </c>
      <c r="G35" s="51">
        <f>E8</f>
        <v>9600</v>
      </c>
    </row>
    <row r="36" spans="2:7">
      <c r="B36" s="52">
        <v>3</v>
      </c>
      <c r="C36" s="37">
        <f>(1+DEMANDA!$C$28)*'COSTOS OPERACIONALES'!C35</f>
        <v>60813.705475000002</v>
      </c>
      <c r="D36" s="37">
        <f>C36+((DEMANDA!D86*DEMANDA!$D$51)+(DEMANDA!E86*DEMANDA!$C$58))</f>
        <v>218212.69173124095</v>
      </c>
      <c r="F36" s="36" t="s">
        <v>329</v>
      </c>
      <c r="G36" s="51">
        <f>E10</f>
        <v>13000</v>
      </c>
    </row>
    <row r="37" spans="2:7">
      <c r="B37" s="52">
        <v>4</v>
      </c>
      <c r="C37" s="37">
        <f>(1+DEMANDA!$C$28)*'COSTOS OPERACIONALES'!C36</f>
        <v>62638.116639250002</v>
      </c>
      <c r="D37" s="37">
        <f>C37+((DEMANDA!D87*DEMANDA!$D$51)+(DEMANDA!E87*DEMANDA!$C$58))</f>
        <v>234403.0177285372</v>
      </c>
      <c r="F37" s="36" t="s">
        <v>330</v>
      </c>
      <c r="G37" s="51">
        <f>E13</f>
        <v>9472.75</v>
      </c>
    </row>
    <row r="38" spans="2:7">
      <c r="B38" s="52">
        <v>5</v>
      </c>
      <c r="C38" s="37">
        <f>(1+DEMANDA!$C$28)*'COSTOS OPERACIONALES'!C37</f>
        <v>64517.260138427504</v>
      </c>
      <c r="D38" s="37">
        <f>C38+((DEMANDA!D88*DEMANDA!$D$51)+(DEMANDA!E88*DEMANDA!$C$58))</f>
        <v>250633.38296450611</v>
      </c>
      <c r="F38" s="36" t="s">
        <v>331</v>
      </c>
      <c r="G38" s="51">
        <f>E15</f>
        <v>4800</v>
      </c>
    </row>
    <row r="39" spans="2:7">
      <c r="B39" s="52">
        <v>6</v>
      </c>
      <c r="C39" s="37">
        <f>(1+DEMANDA!$C$28)*'COSTOS OPERACIONALES'!C38</f>
        <v>66452.777942580331</v>
      </c>
      <c r="D39" s="37">
        <f>C39+((DEMANDA!D89*DEMANDA!$D$51)+(DEMANDA!E89*DEMANDA!$C$58))</f>
        <v>266919.68171256268</v>
      </c>
      <c r="F39" s="36" t="s">
        <v>332</v>
      </c>
      <c r="G39" s="51">
        <f>E16</f>
        <v>450</v>
      </c>
    </row>
    <row r="40" spans="2:7">
      <c r="B40" s="52">
        <v>7</v>
      </c>
      <c r="C40" s="37">
        <f>(1+DEMANDA!$C$28)*'COSTOS OPERACIONALES'!C39</f>
        <v>68446.361280857745</v>
      </c>
      <c r="D40" s="37">
        <f>C40+((DEMANDA!D90*DEMANDA!$D$51)+(DEMANDA!E90*DEMANDA!$C$58))</f>
        <v>283264.03277095722</v>
      </c>
      <c r="F40" s="36" t="s">
        <v>333</v>
      </c>
      <c r="G40" s="51">
        <f>E19</f>
        <v>111361.95433440001</v>
      </c>
    </row>
    <row r="41" spans="2:7">
      <c r="B41" s="52">
        <v>8</v>
      </c>
      <c r="C41" s="37">
        <f>(1+DEMANDA!$C$28)*'COSTOS OPERACIONALES'!C40</f>
        <v>70499.752119283483</v>
      </c>
      <c r="D41" s="37">
        <f>C41+((DEMANDA!D91*DEMANDA!$D$51)+(DEMANDA!E91*DEMANDA!$C$58))</f>
        <v>299668.19093278644</v>
      </c>
      <c r="F41" s="115" t="s">
        <v>334</v>
      </c>
      <c r="G41" s="116">
        <f>SUM(G34:G40)</f>
        <v>168684.70433440001</v>
      </c>
    </row>
    <row r="42" spans="2:7">
      <c r="B42" s="52">
        <v>9</v>
      </c>
      <c r="C42" s="37">
        <f>(1+DEMANDA!$C$28)*'COSTOS OPERACIONALES'!C41</f>
        <v>72614.744682861987</v>
      </c>
      <c r="D42" s="37">
        <f>C42+((DEMANDA!D92*DEMANDA!$D$51)+(DEMANDA!E92*DEMANDA!$C$58))</f>
        <v>316133.95080786711</v>
      </c>
      <c r="F42" s="222" t="s">
        <v>311</v>
      </c>
      <c r="G42" s="222"/>
    </row>
    <row r="43" spans="2:7">
      <c r="B43" s="52">
        <v>10</v>
      </c>
      <c r="C43" s="37">
        <f>(1+DEMANDA!$C$28)*'COSTOS OPERACIONALES'!C42</f>
        <v>74793.187023347855</v>
      </c>
      <c r="D43" s="37">
        <f>C43+((DEMANDA!D93*DEMANDA!$D$51)+(DEMANDA!E93*DEMANDA!$C$58))</f>
        <v>332663.16045949794</v>
      </c>
    </row>
  </sheetData>
  <mergeCells count="4">
    <mergeCell ref="B2:E2"/>
    <mergeCell ref="F42:G42"/>
    <mergeCell ref="F32:G32"/>
    <mergeCell ref="B32:D32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J62"/>
  <sheetViews>
    <sheetView topLeftCell="A16" workbookViewId="0">
      <selection activeCell="G22" sqref="G22"/>
    </sheetView>
  </sheetViews>
  <sheetFormatPr baseColWidth="10" defaultRowHeight="12.75"/>
  <cols>
    <col min="2" max="2" width="27" bestFit="1" customWidth="1"/>
    <col min="3" max="3" width="11.140625" style="11" customWidth="1"/>
    <col min="5" max="5" width="11.42578125" style="2"/>
    <col min="6" max="6" width="13" style="2" bestFit="1" customWidth="1"/>
    <col min="9" max="9" width="28.85546875" bestFit="1" customWidth="1"/>
    <col min="10" max="10" width="12.7109375" customWidth="1"/>
  </cols>
  <sheetData>
    <row r="2" spans="2:10" ht="15.75">
      <c r="B2" s="230" t="s">
        <v>128</v>
      </c>
      <c r="C2" s="231"/>
      <c r="D2" s="231"/>
      <c r="E2" s="231"/>
      <c r="F2" s="232"/>
    </row>
    <row r="5" spans="2:10">
      <c r="E5" s="5" t="s">
        <v>120</v>
      </c>
      <c r="F5" s="5" t="s">
        <v>121</v>
      </c>
    </row>
    <row r="6" spans="2:10" ht="15">
      <c r="B6" s="12" t="s">
        <v>131</v>
      </c>
      <c r="E6" s="5"/>
      <c r="F6" s="9">
        <f>SUM(E7:E33)*12</f>
        <v>84000</v>
      </c>
    </row>
    <row r="7" spans="2:10">
      <c r="B7" t="s">
        <v>132</v>
      </c>
      <c r="E7" s="9">
        <v>700</v>
      </c>
      <c r="F7" s="9"/>
    </row>
    <row r="8" spans="2:10">
      <c r="B8" t="s">
        <v>134</v>
      </c>
      <c r="E8" s="9">
        <v>450</v>
      </c>
      <c r="F8" s="9"/>
    </row>
    <row r="9" spans="2:10">
      <c r="B9" t="s">
        <v>135</v>
      </c>
      <c r="E9" s="9">
        <v>500</v>
      </c>
      <c r="F9" s="9"/>
    </row>
    <row r="10" spans="2:10">
      <c r="B10" t="s">
        <v>136</v>
      </c>
      <c r="E10" s="9">
        <v>450</v>
      </c>
      <c r="F10" s="9"/>
    </row>
    <row r="11" spans="2:10">
      <c r="B11" t="s">
        <v>137</v>
      </c>
      <c r="E11" s="9">
        <v>350</v>
      </c>
      <c r="F11" s="9"/>
    </row>
    <row r="12" spans="2:10">
      <c r="B12" t="s">
        <v>138</v>
      </c>
      <c r="E12" s="9">
        <f>C13*C14</f>
        <v>500</v>
      </c>
      <c r="F12" s="9"/>
    </row>
    <row r="13" spans="2:10">
      <c r="B13" t="s">
        <v>139</v>
      </c>
      <c r="C13" s="10">
        <v>250</v>
      </c>
      <c r="E13" s="9"/>
      <c r="F13" s="9"/>
    </row>
    <row r="14" spans="2:10">
      <c r="B14" t="s">
        <v>140</v>
      </c>
      <c r="C14" s="11">
        <v>2</v>
      </c>
      <c r="E14" s="9"/>
      <c r="F14" s="9"/>
    </row>
    <row r="15" spans="2:10">
      <c r="B15" t="s">
        <v>141</v>
      </c>
      <c r="E15" s="9">
        <v>250</v>
      </c>
      <c r="F15" s="9"/>
    </row>
    <row r="16" spans="2:10" ht="14.25" customHeight="1">
      <c r="B16" t="s">
        <v>142</v>
      </c>
      <c r="E16" s="9">
        <f>C17*C18</f>
        <v>600</v>
      </c>
      <c r="F16" s="9"/>
      <c r="I16" s="229" t="s">
        <v>506</v>
      </c>
      <c r="J16" s="229"/>
    </row>
    <row r="17" spans="2:10">
      <c r="B17" t="s">
        <v>139</v>
      </c>
      <c r="C17" s="10">
        <v>200</v>
      </c>
      <c r="E17" s="9"/>
      <c r="F17" s="9"/>
      <c r="I17" s="119" t="s">
        <v>188</v>
      </c>
      <c r="J17" s="117" t="s">
        <v>328</v>
      </c>
    </row>
    <row r="18" spans="2:10">
      <c r="B18" t="s">
        <v>143</v>
      </c>
      <c r="C18" s="11">
        <v>3</v>
      </c>
      <c r="E18" s="9"/>
      <c r="F18" s="9"/>
      <c r="I18" s="36" t="s">
        <v>131</v>
      </c>
      <c r="J18" s="51">
        <f>F6</f>
        <v>84000</v>
      </c>
    </row>
    <row r="19" spans="2:10">
      <c r="B19" t="s">
        <v>144</v>
      </c>
      <c r="C19" s="10"/>
      <c r="E19" s="9">
        <f>C20*C21</f>
        <v>750</v>
      </c>
      <c r="F19" s="9"/>
      <c r="I19" s="36" t="s">
        <v>283</v>
      </c>
      <c r="J19" s="51">
        <f>F34</f>
        <v>2640</v>
      </c>
    </row>
    <row r="20" spans="2:10">
      <c r="B20" t="s">
        <v>139</v>
      </c>
      <c r="C20" s="10">
        <v>250</v>
      </c>
      <c r="E20" s="9"/>
      <c r="F20" s="9"/>
      <c r="I20" s="36" t="s">
        <v>335</v>
      </c>
      <c r="J20" s="51">
        <f>F38</f>
        <v>1800</v>
      </c>
    </row>
    <row r="21" spans="2:10">
      <c r="B21" t="s">
        <v>143</v>
      </c>
      <c r="C21" s="11">
        <v>3</v>
      </c>
      <c r="E21" s="9"/>
      <c r="F21" s="9"/>
      <c r="I21" s="36" t="s">
        <v>285</v>
      </c>
      <c r="J21" s="51">
        <f>F39</f>
        <v>9600</v>
      </c>
    </row>
    <row r="22" spans="2:10">
      <c r="B22" t="s">
        <v>145</v>
      </c>
      <c r="E22" s="9">
        <f>C23*C24</f>
        <v>750</v>
      </c>
      <c r="F22" s="9"/>
      <c r="I22" s="115" t="s">
        <v>336</v>
      </c>
      <c r="J22" s="116">
        <f>SUM(J18:J21)</f>
        <v>98040</v>
      </c>
    </row>
    <row r="23" spans="2:10" ht="18" customHeight="1">
      <c r="B23" t="s">
        <v>139</v>
      </c>
      <c r="C23" s="10">
        <v>250</v>
      </c>
      <c r="E23" s="9"/>
      <c r="F23" s="9"/>
      <c r="I23" s="222" t="s">
        <v>311</v>
      </c>
      <c r="J23" s="222"/>
    </row>
    <row r="24" spans="2:10">
      <c r="B24" t="s">
        <v>143</v>
      </c>
      <c r="C24" s="11">
        <v>3</v>
      </c>
      <c r="E24" s="9"/>
      <c r="F24" s="9"/>
    </row>
    <row r="25" spans="2:10">
      <c r="B25" t="s">
        <v>146</v>
      </c>
      <c r="E25" s="9">
        <f>C26*C27</f>
        <v>660</v>
      </c>
      <c r="F25" s="9"/>
    </row>
    <row r="26" spans="2:10">
      <c r="B26" t="s">
        <v>139</v>
      </c>
      <c r="C26" s="10">
        <v>220</v>
      </c>
      <c r="E26" s="9"/>
      <c r="F26" s="9"/>
    </row>
    <row r="27" spans="2:10" ht="10.5" customHeight="1">
      <c r="B27" t="s">
        <v>143</v>
      </c>
      <c r="C27" s="11">
        <v>3</v>
      </c>
      <c r="E27" s="9"/>
      <c r="F27" s="9"/>
    </row>
    <row r="28" spans="2:10" ht="12.75" customHeight="1">
      <c r="B28" t="s">
        <v>147</v>
      </c>
      <c r="E28" s="9">
        <v>350</v>
      </c>
      <c r="F28" s="9"/>
      <c r="I28" s="229" t="s">
        <v>505</v>
      </c>
      <c r="J28" s="229"/>
    </row>
    <row r="29" spans="2:10">
      <c r="B29" t="s">
        <v>148</v>
      </c>
      <c r="E29" s="9">
        <f>C30*C31</f>
        <v>600</v>
      </c>
      <c r="F29" s="9"/>
      <c r="I29" s="120" t="s">
        <v>346</v>
      </c>
      <c r="J29" s="117" t="s">
        <v>328</v>
      </c>
    </row>
    <row r="30" spans="2:10">
      <c r="B30" t="s">
        <v>139</v>
      </c>
      <c r="C30" s="10">
        <v>300</v>
      </c>
      <c r="E30" s="9"/>
      <c r="F30" s="9"/>
      <c r="I30" s="36" t="s">
        <v>132</v>
      </c>
      <c r="J30" s="51">
        <f>E7*12</f>
        <v>8400</v>
      </c>
    </row>
    <row r="31" spans="2:10">
      <c r="B31" t="s">
        <v>140</v>
      </c>
      <c r="C31" s="11">
        <v>2</v>
      </c>
      <c r="E31" s="9"/>
      <c r="F31" s="9"/>
      <c r="I31" s="36" t="s">
        <v>134</v>
      </c>
      <c r="J31" s="51">
        <f>E8*12</f>
        <v>5400</v>
      </c>
    </row>
    <row r="32" spans="2:10">
      <c r="B32" t="s">
        <v>149</v>
      </c>
      <c r="E32" s="9">
        <v>50</v>
      </c>
      <c r="F32" s="9"/>
      <c r="I32" s="36" t="s">
        <v>136</v>
      </c>
      <c r="J32" s="51">
        <f>E10*12</f>
        <v>5400</v>
      </c>
    </row>
    <row r="33" spans="2:10">
      <c r="B33" t="s">
        <v>150</v>
      </c>
      <c r="E33" s="9">
        <v>40</v>
      </c>
      <c r="F33" s="9"/>
      <c r="I33" s="36" t="s">
        <v>135</v>
      </c>
      <c r="J33" s="51">
        <f>E9*12</f>
        <v>6000</v>
      </c>
    </row>
    <row r="34" spans="2:10">
      <c r="B34" s="3" t="s">
        <v>133</v>
      </c>
      <c r="C34" s="13"/>
      <c r="D34" s="3"/>
      <c r="E34" s="14"/>
      <c r="F34" s="9">
        <f>SUM(E35:E37)*12</f>
        <v>2640</v>
      </c>
      <c r="I34" s="36" t="s">
        <v>137</v>
      </c>
      <c r="J34" s="51">
        <f>E11*12</f>
        <v>4200</v>
      </c>
    </row>
    <row r="35" spans="2:10">
      <c r="B35" t="s">
        <v>151</v>
      </c>
      <c r="E35" s="9">
        <v>80</v>
      </c>
      <c r="F35" s="9"/>
      <c r="I35" s="36" t="s">
        <v>337</v>
      </c>
      <c r="J35" s="51">
        <f>E12*12</f>
        <v>6000</v>
      </c>
    </row>
    <row r="36" spans="2:10">
      <c r="B36" t="s">
        <v>119</v>
      </c>
      <c r="E36" s="9">
        <v>80</v>
      </c>
      <c r="F36" s="9"/>
      <c r="I36" s="36" t="s">
        <v>338</v>
      </c>
      <c r="J36" s="51">
        <f>E15*12</f>
        <v>3000</v>
      </c>
    </row>
    <row r="37" spans="2:10">
      <c r="B37" t="s">
        <v>129</v>
      </c>
      <c r="E37" s="9">
        <v>60</v>
      </c>
      <c r="F37" s="9"/>
      <c r="I37" s="36" t="s">
        <v>339</v>
      </c>
      <c r="J37" s="51">
        <f>E22*12</f>
        <v>9000</v>
      </c>
    </row>
    <row r="38" spans="2:10">
      <c r="B38" s="3" t="s">
        <v>152</v>
      </c>
      <c r="E38" s="9">
        <v>150</v>
      </c>
      <c r="F38" s="9">
        <f>E38*12</f>
        <v>1800</v>
      </c>
      <c r="I38" s="36" t="s">
        <v>340</v>
      </c>
      <c r="J38" s="51">
        <f>E16*12</f>
        <v>7200</v>
      </c>
    </row>
    <row r="39" spans="2:10">
      <c r="B39" s="3" t="s">
        <v>130</v>
      </c>
      <c r="E39" s="9">
        <v>800</v>
      </c>
      <c r="F39" s="9">
        <f>E39*12</f>
        <v>9600</v>
      </c>
      <c r="I39" s="36" t="s">
        <v>341</v>
      </c>
      <c r="J39" s="51">
        <f>E19*12</f>
        <v>9000</v>
      </c>
    </row>
    <row r="40" spans="2:10">
      <c r="E40" s="9"/>
      <c r="F40" s="9"/>
      <c r="I40" s="36" t="s">
        <v>342</v>
      </c>
      <c r="J40" s="51">
        <f>E25*12</f>
        <v>7920</v>
      </c>
    </row>
    <row r="41" spans="2:10" ht="15">
      <c r="B41" s="12" t="s">
        <v>91</v>
      </c>
      <c r="C41" s="22"/>
      <c r="D41" s="12"/>
      <c r="E41" s="23"/>
      <c r="F41" s="23">
        <f>SUM(F6:F39)</f>
        <v>98040</v>
      </c>
      <c r="I41" s="36" t="s">
        <v>343</v>
      </c>
      <c r="J41" s="51">
        <f>E28*12</f>
        <v>4200</v>
      </c>
    </row>
    <row r="42" spans="2:10">
      <c r="E42" s="9"/>
      <c r="F42" s="9"/>
      <c r="I42" s="36" t="s">
        <v>344</v>
      </c>
      <c r="J42" s="51">
        <f>E29*12</f>
        <v>7200</v>
      </c>
    </row>
    <row r="43" spans="2:10">
      <c r="E43" s="9"/>
      <c r="F43" s="9"/>
      <c r="I43" s="36" t="s">
        <v>149</v>
      </c>
      <c r="J43" s="51">
        <f>E32*12</f>
        <v>600</v>
      </c>
    </row>
    <row r="44" spans="2:10">
      <c r="E44" s="9"/>
      <c r="F44" s="9"/>
      <c r="I44" s="36" t="s">
        <v>150</v>
      </c>
      <c r="J44" s="51">
        <f>E33*12</f>
        <v>480</v>
      </c>
    </row>
    <row r="45" spans="2:10">
      <c r="E45" s="9"/>
      <c r="F45" s="9"/>
      <c r="I45" s="115" t="s">
        <v>345</v>
      </c>
      <c r="J45" s="116">
        <f>SUM(J30:J44)</f>
        <v>84000</v>
      </c>
    </row>
    <row r="46" spans="2:10">
      <c r="E46" s="9"/>
      <c r="F46" s="9"/>
      <c r="I46" s="222" t="s">
        <v>311</v>
      </c>
      <c r="J46" s="222"/>
    </row>
    <row r="47" spans="2:10">
      <c r="B47" s="17"/>
      <c r="C47" s="18"/>
      <c r="D47" s="19"/>
      <c r="E47" s="9"/>
      <c r="F47" s="9"/>
    </row>
    <row r="48" spans="2:10">
      <c r="B48" s="20"/>
      <c r="C48" s="21"/>
      <c r="D48" s="21"/>
      <c r="E48" s="9"/>
      <c r="F48" s="9"/>
    </row>
    <row r="49" spans="2:6">
      <c r="B49" s="20"/>
      <c r="C49" s="21"/>
      <c r="D49" s="21"/>
      <c r="E49" s="9"/>
      <c r="F49" s="9"/>
    </row>
    <row r="50" spans="2:6">
      <c r="B50" s="20"/>
      <c r="C50" s="21"/>
      <c r="D50" s="21"/>
      <c r="E50" s="9"/>
      <c r="F50" s="9"/>
    </row>
    <row r="51" spans="2:6">
      <c r="B51" s="20"/>
      <c r="C51" s="21"/>
      <c r="D51" s="21"/>
      <c r="E51" s="9"/>
      <c r="F51" s="9"/>
    </row>
    <row r="52" spans="2:6">
      <c r="B52" s="20"/>
      <c r="C52" s="21"/>
      <c r="D52" s="21"/>
      <c r="E52" s="9"/>
      <c r="F52" s="9"/>
    </row>
    <row r="53" spans="2:6">
      <c r="B53" s="20"/>
      <c r="C53" s="21"/>
      <c r="D53" s="21"/>
      <c r="E53" s="9"/>
      <c r="F53" s="9"/>
    </row>
    <row r="54" spans="2:6">
      <c r="B54" s="17"/>
      <c r="C54" s="18"/>
      <c r="D54" s="18"/>
      <c r="E54" s="9"/>
      <c r="F54" s="9"/>
    </row>
    <row r="55" spans="2:6">
      <c r="B55" s="17"/>
      <c r="C55" s="18"/>
      <c r="D55" s="18"/>
      <c r="E55" s="9"/>
      <c r="F55" s="9"/>
    </row>
    <row r="56" spans="2:6">
      <c r="B56" s="17"/>
      <c r="C56" s="18"/>
      <c r="D56" s="18"/>
      <c r="E56" s="9"/>
      <c r="F56" s="9"/>
    </row>
    <row r="57" spans="2:6">
      <c r="B57" s="17"/>
      <c r="C57" s="18"/>
      <c r="D57" s="18"/>
      <c r="E57" s="9"/>
      <c r="F57" s="9"/>
    </row>
    <row r="58" spans="2:6">
      <c r="B58" s="17"/>
      <c r="C58" s="18"/>
      <c r="D58" s="19"/>
      <c r="E58" s="9"/>
      <c r="F58" s="9"/>
    </row>
    <row r="59" spans="2:6">
      <c r="B59" s="20"/>
      <c r="C59" s="21"/>
      <c r="D59" s="21"/>
      <c r="E59" s="9"/>
      <c r="F59" s="9"/>
    </row>
    <row r="60" spans="2:6">
      <c r="B60" s="15"/>
      <c r="C60" s="16"/>
      <c r="D60" s="16"/>
      <c r="E60" s="9"/>
      <c r="F60" s="9"/>
    </row>
    <row r="61" spans="2:6">
      <c r="B61" s="15"/>
      <c r="C61" s="16"/>
      <c r="D61" s="16"/>
      <c r="E61" s="9"/>
      <c r="F61" s="9"/>
    </row>
    <row r="62" spans="2:6">
      <c r="E62" s="9"/>
      <c r="F62" s="9"/>
    </row>
  </sheetData>
  <mergeCells count="5">
    <mergeCell ref="I46:J46"/>
    <mergeCell ref="I28:J28"/>
    <mergeCell ref="B2:F2"/>
    <mergeCell ref="I23:J23"/>
    <mergeCell ref="I16:J16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0"/>
  <sheetViews>
    <sheetView workbookViewId="0">
      <selection activeCell="G31" sqref="G31"/>
    </sheetView>
  </sheetViews>
  <sheetFormatPr baseColWidth="10" defaultRowHeight="12.75"/>
  <cols>
    <col min="1" max="1" width="7.85546875" customWidth="1"/>
    <col min="2" max="2" width="22.140625" customWidth="1"/>
    <col min="3" max="3" width="13.7109375" customWidth="1"/>
    <col min="4" max="4" width="10.28515625" customWidth="1"/>
    <col min="5" max="5" width="13.85546875" customWidth="1"/>
  </cols>
  <sheetData>
    <row r="2" spans="2:5" ht="18">
      <c r="B2" s="233" t="s">
        <v>115</v>
      </c>
      <c r="C2" s="233"/>
      <c r="D2" s="233"/>
      <c r="E2" s="233"/>
    </row>
    <row r="3" spans="2:5" ht="9" customHeight="1">
      <c r="D3" s="229"/>
      <c r="E3" s="229"/>
    </row>
    <row r="4" spans="2:5" ht="15" customHeight="1">
      <c r="B4" s="229" t="s">
        <v>507</v>
      </c>
      <c r="C4" s="229"/>
      <c r="D4" s="229"/>
      <c r="E4" s="229"/>
    </row>
    <row r="5" spans="2:5" ht="25.5">
      <c r="B5" s="117" t="s">
        <v>351</v>
      </c>
      <c r="C5" s="117" t="s">
        <v>350</v>
      </c>
      <c r="D5" s="117" t="s">
        <v>348</v>
      </c>
      <c r="E5" s="121" t="s">
        <v>257</v>
      </c>
    </row>
    <row r="6" spans="2:5">
      <c r="B6" s="36" t="s">
        <v>105</v>
      </c>
      <c r="C6" s="51">
        <f>'INVERSION INICIAL'!E65</f>
        <v>168150</v>
      </c>
      <c r="D6" s="52">
        <v>25</v>
      </c>
      <c r="E6" s="54">
        <f>C6/D6</f>
        <v>6726</v>
      </c>
    </row>
    <row r="7" spans="2:5">
      <c r="B7" s="36" t="s">
        <v>106</v>
      </c>
      <c r="C7" s="51">
        <f>'INVERSION INICIAL'!E78</f>
        <v>102500</v>
      </c>
      <c r="D7" s="52">
        <v>25</v>
      </c>
      <c r="E7" s="54">
        <f t="shared" ref="E7:E17" si="0">C7/D7</f>
        <v>4100</v>
      </c>
    </row>
    <row r="8" spans="2:5">
      <c r="B8" s="36" t="s">
        <v>107</v>
      </c>
      <c r="C8" s="51">
        <f>'INVERSION INICIAL'!E39</f>
        <v>60000</v>
      </c>
      <c r="D8" s="52">
        <v>25</v>
      </c>
      <c r="E8" s="54">
        <f t="shared" si="0"/>
        <v>2400</v>
      </c>
    </row>
    <row r="9" spans="2:5">
      <c r="B9" s="36" t="s">
        <v>108</v>
      </c>
      <c r="C9" s="51">
        <f>'INVERSION INICIAL'!E49</f>
        <v>30000</v>
      </c>
      <c r="D9" s="52">
        <v>25</v>
      </c>
      <c r="E9" s="54">
        <f t="shared" si="0"/>
        <v>1200</v>
      </c>
    </row>
    <row r="10" spans="2:5">
      <c r="B10" s="36" t="s">
        <v>109</v>
      </c>
      <c r="C10" s="51">
        <f>('INVERSION INICIAL'!E34+'INVERSION INICIAL'!E43+'INVERSION INICIAL'!E52+'INVERSION INICIAL'!E59+'INVERSION INICIAL'!E60+'INVERSION INICIAL'!E71+'INVERSION INICIAL'!E84+'INVERSION INICIAL'!E91+15000)</f>
        <v>116286.19</v>
      </c>
      <c r="D10" s="52">
        <v>10</v>
      </c>
      <c r="E10" s="54">
        <f t="shared" si="0"/>
        <v>11628.619000000001</v>
      </c>
    </row>
    <row r="11" spans="2:5">
      <c r="B11" s="36" t="s">
        <v>110</v>
      </c>
      <c r="C11" s="51">
        <f>'INVERSION INICIAL'!K16</f>
        <v>34944</v>
      </c>
      <c r="D11" s="52">
        <v>10</v>
      </c>
      <c r="E11" s="54">
        <f t="shared" si="0"/>
        <v>3494.4</v>
      </c>
    </row>
    <row r="12" spans="2:5">
      <c r="B12" s="36" t="s">
        <v>111</v>
      </c>
      <c r="C12" s="51">
        <f>('INVERSION INICIAL'!K28+'INVERSION INICIAL'!K31)</f>
        <v>3300</v>
      </c>
      <c r="D12" s="52">
        <v>3</v>
      </c>
      <c r="E12" s="54">
        <f t="shared" si="0"/>
        <v>1100</v>
      </c>
    </row>
    <row r="13" spans="2:5">
      <c r="B13" s="36" t="s">
        <v>112</v>
      </c>
      <c r="C13" s="51">
        <f>'INVERSION INICIAL'!K35</f>
        <v>3070</v>
      </c>
      <c r="D13" s="52">
        <v>10</v>
      </c>
      <c r="E13" s="54">
        <f t="shared" si="0"/>
        <v>307</v>
      </c>
    </row>
    <row r="14" spans="2:5">
      <c r="B14" s="36" t="s">
        <v>113</v>
      </c>
      <c r="C14" s="51">
        <f>'INVERSION INICIAL'!K34</f>
        <v>1000</v>
      </c>
      <c r="D14" s="52">
        <v>10</v>
      </c>
      <c r="E14" s="54">
        <f t="shared" si="0"/>
        <v>100</v>
      </c>
    </row>
    <row r="15" spans="2:5">
      <c r="B15" s="36" t="s">
        <v>114</v>
      </c>
      <c r="C15" s="51">
        <f>'INVERSION INICIAL'!K40</f>
        <v>3800</v>
      </c>
      <c r="D15" s="52">
        <v>10</v>
      </c>
      <c r="E15" s="54">
        <f t="shared" si="0"/>
        <v>380</v>
      </c>
    </row>
    <row r="16" spans="2:5">
      <c r="B16" s="36" t="s">
        <v>316</v>
      </c>
      <c r="C16" s="51">
        <f>'INVERSION INICIAL'!K41</f>
        <v>1000</v>
      </c>
      <c r="D16" s="52">
        <v>10</v>
      </c>
      <c r="E16" s="54">
        <f t="shared" si="0"/>
        <v>100</v>
      </c>
    </row>
    <row r="17" spans="2:5">
      <c r="B17" s="36" t="s">
        <v>224</v>
      </c>
      <c r="C17" s="51">
        <f>('INVERSION INICIAL'!F110-DEPRECIACIONES!C6-DEPRECIACIONES!C7-DEPRECIACIONES!C8-DEPRECIACIONES!C9-DEPRECIACIONES!C10)</f>
        <v>1004633.96</v>
      </c>
      <c r="D17" s="52">
        <v>20</v>
      </c>
      <c r="E17" s="54">
        <f t="shared" si="0"/>
        <v>50231.697999999997</v>
      </c>
    </row>
    <row r="18" spans="2:5">
      <c r="B18" s="234" t="s">
        <v>347</v>
      </c>
      <c r="C18" s="235"/>
      <c r="D18" s="236"/>
      <c r="E18" s="116">
        <f>SUM(E6:E17)</f>
        <v>81767.717000000004</v>
      </c>
    </row>
    <row r="19" spans="2:5">
      <c r="B19" s="222" t="s">
        <v>311</v>
      </c>
      <c r="C19" s="222"/>
    </row>
    <row r="20" spans="2:5">
      <c r="C20" s="6"/>
    </row>
  </sheetData>
  <mergeCells count="5">
    <mergeCell ref="B2:E2"/>
    <mergeCell ref="B18:D18"/>
    <mergeCell ref="B19:C19"/>
    <mergeCell ref="D3:E3"/>
    <mergeCell ref="B4:E4"/>
  </mergeCells>
  <phoneticPr fontId="7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9"/>
  <sheetViews>
    <sheetView workbookViewId="0">
      <selection activeCell="G38" sqref="G38"/>
    </sheetView>
  </sheetViews>
  <sheetFormatPr baseColWidth="10" defaultRowHeight="12.75"/>
  <cols>
    <col min="2" max="2" width="36" bestFit="1" customWidth="1"/>
    <col min="3" max="9" width="11.28515625" bestFit="1" customWidth="1"/>
    <col min="10" max="12" width="12.7109375" bestFit="1" customWidth="1"/>
  </cols>
  <sheetData>
    <row r="2" spans="2:12" ht="15.75">
      <c r="B2" s="228" t="s">
        <v>274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2:12">
      <c r="B3" s="114" t="s">
        <v>263</v>
      </c>
      <c r="C3" s="114" t="s">
        <v>264</v>
      </c>
      <c r="D3" s="114" t="s">
        <v>265</v>
      </c>
      <c r="E3" s="114" t="s">
        <v>266</v>
      </c>
      <c r="F3" s="114" t="s">
        <v>267</v>
      </c>
      <c r="G3" s="114" t="s">
        <v>268</v>
      </c>
      <c r="H3" s="114" t="s">
        <v>269</v>
      </c>
      <c r="I3" s="114" t="s">
        <v>270</v>
      </c>
      <c r="J3" s="114" t="s">
        <v>271</v>
      </c>
      <c r="K3" s="114" t="s">
        <v>272</v>
      </c>
      <c r="L3" s="114" t="s">
        <v>273</v>
      </c>
    </row>
    <row r="4" spans="2:12">
      <c r="B4" s="195" t="s">
        <v>275</v>
      </c>
      <c r="C4" s="196">
        <f>'FLUJO DE CAJA'!D4</f>
        <v>495269.03452672798</v>
      </c>
      <c r="D4" s="196">
        <f>'FLUJO DE CAJA'!E4</f>
        <v>632121.47506076191</v>
      </c>
      <c r="E4" s="196">
        <f>'FLUJO DE CAJA'!F4</f>
        <v>697224.23302589869</v>
      </c>
      <c r="F4" s="196">
        <f>'FLUJO DE CAJA'!G4</f>
        <v>758716.18920720892</v>
      </c>
      <c r="G4" s="196">
        <f>'FLUJO DE CAJA'!H4</f>
        <v>820828.97698838427</v>
      </c>
      <c r="H4" s="196">
        <f>'FLUJO DE CAJA'!I4</f>
        <v>882231.23406417551</v>
      </c>
      <c r="I4" s="196">
        <f>'FLUJO DE CAJA'!J4</f>
        <v>943612.17521880521</v>
      </c>
      <c r="J4" s="196">
        <f>'FLUJO DE CAJA'!K4</f>
        <v>1004992.4768958001</v>
      </c>
      <c r="K4" s="196">
        <f>'FLUJO DE CAJA'!L4</f>
        <v>1065643.603735086</v>
      </c>
      <c r="L4" s="196">
        <f>'FLUJO DE CAJA'!M4</f>
        <v>1126272.8553292402</v>
      </c>
    </row>
    <row r="5" spans="2:12">
      <c r="B5" s="195" t="s">
        <v>276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2:12">
      <c r="B6" s="195" t="s">
        <v>187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2">
      <c r="B7" s="198" t="s">
        <v>277</v>
      </c>
      <c r="C7" s="196">
        <f>'COSTOS OPERACIONALES'!E5</f>
        <v>20000</v>
      </c>
      <c r="D7" s="196">
        <f>(1+DEMANDA!$C$28)*'ESTADO DE PERDIDAS Y GANANCIAS'!C7</f>
        <v>20600</v>
      </c>
      <c r="E7" s="196">
        <f>(1+DEMANDA!$C$28)*'ESTADO DE PERDIDAS Y GANANCIAS'!D7</f>
        <v>21218</v>
      </c>
      <c r="F7" s="196">
        <f>(1+DEMANDA!$C$28)*'ESTADO DE PERDIDAS Y GANANCIAS'!E7</f>
        <v>21854.54</v>
      </c>
      <c r="G7" s="196">
        <f>(1+DEMANDA!$C$28)*'ESTADO DE PERDIDAS Y GANANCIAS'!F7</f>
        <v>22510.176200000002</v>
      </c>
      <c r="H7" s="196">
        <f>(1+DEMANDA!$C$28)*'ESTADO DE PERDIDAS Y GANANCIAS'!G7</f>
        <v>23185.481486000001</v>
      </c>
      <c r="I7" s="196">
        <f>(1+DEMANDA!$C$28)*'ESTADO DE PERDIDAS Y GANANCIAS'!H7</f>
        <v>23881.04593058</v>
      </c>
      <c r="J7" s="196">
        <f>(1+DEMANDA!$C$28)*'ESTADO DE PERDIDAS Y GANANCIAS'!I7</f>
        <v>24597.4773084974</v>
      </c>
      <c r="K7" s="196">
        <f>(1+DEMANDA!$C$28)*'ESTADO DE PERDIDAS Y GANANCIAS'!J7</f>
        <v>25335.401627752322</v>
      </c>
      <c r="L7" s="196">
        <f>(1+DEMANDA!$C$28)*'ESTADO DE PERDIDAS Y GANANCIAS'!K7</f>
        <v>26095.463676584892</v>
      </c>
    </row>
    <row r="8" spans="2:12">
      <c r="B8" s="198" t="s">
        <v>119</v>
      </c>
      <c r="C8" s="196">
        <f>'COSTOS OPERACIONALES'!E8</f>
        <v>9600</v>
      </c>
      <c r="D8" s="196">
        <f>(1+DEMANDA!$C$28)*'ESTADO DE PERDIDAS Y GANANCIAS'!C8</f>
        <v>9888</v>
      </c>
      <c r="E8" s="196">
        <f>(1+DEMANDA!$C$28)*'ESTADO DE PERDIDAS Y GANANCIAS'!D8</f>
        <v>10184.64</v>
      </c>
      <c r="F8" s="196">
        <f>(1+DEMANDA!$C$28)*'ESTADO DE PERDIDAS Y GANANCIAS'!E8</f>
        <v>10490.1792</v>
      </c>
      <c r="G8" s="196">
        <f>(1+DEMANDA!$C$28)*'ESTADO DE PERDIDAS Y GANANCIAS'!F8</f>
        <v>10804.884576</v>
      </c>
      <c r="H8" s="196">
        <f>(1+DEMANDA!$C$28)*'ESTADO DE PERDIDAS Y GANANCIAS'!G8</f>
        <v>11129.03111328</v>
      </c>
      <c r="I8" s="196">
        <f>(1+DEMANDA!$C$28)*'ESTADO DE PERDIDAS Y GANANCIAS'!H8</f>
        <v>11462.9020466784</v>
      </c>
      <c r="J8" s="196">
        <f>(1+DEMANDA!$C$28)*'ESTADO DE PERDIDAS Y GANANCIAS'!I8</f>
        <v>11806.789108078752</v>
      </c>
      <c r="K8" s="196">
        <f>(1+DEMANDA!$C$28)*'ESTADO DE PERDIDAS Y GANANCIAS'!J8</f>
        <v>12160.992781321114</v>
      </c>
      <c r="L8" s="196">
        <f>(1+DEMANDA!$C$28)*'ESTADO DE PERDIDAS Y GANANCIAS'!K8</f>
        <v>12525.822564760749</v>
      </c>
    </row>
    <row r="9" spans="2:12">
      <c r="B9" s="198" t="s">
        <v>278</v>
      </c>
      <c r="C9" s="196">
        <f>'COSTOS OPERACIONALES'!E10</f>
        <v>13000</v>
      </c>
      <c r="D9" s="196">
        <f>(1+DEMANDA!$C$28)*'ESTADO DE PERDIDAS Y GANANCIAS'!C9</f>
        <v>13390</v>
      </c>
      <c r="E9" s="196">
        <f>(1+DEMANDA!$C$28)*'ESTADO DE PERDIDAS Y GANANCIAS'!D9</f>
        <v>13791.7</v>
      </c>
      <c r="F9" s="196">
        <f>(1+DEMANDA!$C$28)*'ESTADO DE PERDIDAS Y GANANCIAS'!E9</f>
        <v>14205.451000000001</v>
      </c>
      <c r="G9" s="196">
        <f>(1+DEMANDA!$C$28)*'ESTADO DE PERDIDAS Y GANANCIAS'!F9</f>
        <v>14631.614530000001</v>
      </c>
      <c r="H9" s="196">
        <f>(1+DEMANDA!$C$28)*'ESTADO DE PERDIDAS Y GANANCIAS'!G9</f>
        <v>15070.562965900001</v>
      </c>
      <c r="I9" s="196">
        <f>(1+DEMANDA!$C$28)*'ESTADO DE PERDIDAS Y GANANCIAS'!H9</f>
        <v>15522.679854877</v>
      </c>
      <c r="J9" s="196">
        <f>(1+DEMANDA!$C$28)*'ESTADO DE PERDIDAS Y GANANCIAS'!I9</f>
        <v>15988.36025052331</v>
      </c>
      <c r="K9" s="196">
        <f>(1+DEMANDA!$C$28)*'ESTADO DE PERDIDAS Y GANANCIAS'!J9</f>
        <v>16468.01105803901</v>
      </c>
      <c r="L9" s="196">
        <f>(1+DEMANDA!$C$28)*'ESTADO DE PERDIDAS Y GANANCIAS'!K9</f>
        <v>16962.051389780179</v>
      </c>
    </row>
    <row r="10" spans="2:12">
      <c r="B10" s="198" t="s">
        <v>279</v>
      </c>
      <c r="C10" s="196">
        <f>'COSTOS OPERACIONALES'!E13</f>
        <v>9472.75</v>
      </c>
      <c r="D10" s="196">
        <f>(1+DEMANDA!$C$28)*'ESTADO DE PERDIDAS Y GANANCIAS'!C10</f>
        <v>9756.9325000000008</v>
      </c>
      <c r="E10" s="196">
        <f>(1+DEMANDA!$C$28)*'ESTADO DE PERDIDAS Y GANANCIAS'!D10</f>
        <v>10049.640475000002</v>
      </c>
      <c r="F10" s="196">
        <f>(1+DEMANDA!$C$28)*'ESTADO DE PERDIDAS Y GANANCIAS'!E10</f>
        <v>10351.129689250003</v>
      </c>
      <c r="G10" s="196">
        <f>(1+DEMANDA!$C$28)*'ESTADO DE PERDIDAS Y GANANCIAS'!F10</f>
        <v>10661.663579927503</v>
      </c>
      <c r="H10" s="196">
        <f>(1+DEMANDA!$C$28)*'ESTADO DE PERDIDAS Y GANANCIAS'!G10</f>
        <v>10981.513487325328</v>
      </c>
      <c r="I10" s="196">
        <f>(1+DEMANDA!$C$28)*'ESTADO DE PERDIDAS Y GANANCIAS'!H10</f>
        <v>11310.958891945089</v>
      </c>
      <c r="J10" s="196">
        <f>(1+DEMANDA!$C$28)*'ESTADO DE PERDIDAS Y GANANCIAS'!I10</f>
        <v>11650.287658703443</v>
      </c>
      <c r="K10" s="196">
        <f>(1+DEMANDA!$C$28)*'ESTADO DE PERDIDAS Y GANANCIAS'!J10</f>
        <v>11999.796288464546</v>
      </c>
      <c r="L10" s="196">
        <f>(1+DEMANDA!$C$28)*'ESTADO DE PERDIDAS Y GANANCIAS'!K10</f>
        <v>12359.790177118482</v>
      </c>
    </row>
    <row r="11" spans="2:12">
      <c r="B11" s="198" t="s">
        <v>280</v>
      </c>
      <c r="C11" s="196">
        <f>'COSTOS OPERACIONALES'!E15</f>
        <v>4800</v>
      </c>
      <c r="D11" s="196">
        <f>(1+DEMANDA!$C$28)*'ESTADO DE PERDIDAS Y GANANCIAS'!C11</f>
        <v>4944</v>
      </c>
      <c r="E11" s="196">
        <f>(1+DEMANDA!$C$28)*'ESTADO DE PERDIDAS Y GANANCIAS'!D11</f>
        <v>5092.32</v>
      </c>
      <c r="F11" s="196">
        <f>(1+DEMANDA!$C$28)*'ESTADO DE PERDIDAS Y GANANCIAS'!E11</f>
        <v>5245.0896000000002</v>
      </c>
      <c r="G11" s="196">
        <f>(1+DEMANDA!$C$28)*'ESTADO DE PERDIDAS Y GANANCIAS'!F11</f>
        <v>5402.4422880000002</v>
      </c>
      <c r="H11" s="196">
        <f>(1+DEMANDA!$C$28)*'ESTADO DE PERDIDAS Y GANANCIAS'!G11</f>
        <v>5564.5155566399999</v>
      </c>
      <c r="I11" s="196">
        <f>(1+DEMANDA!$C$28)*'ESTADO DE PERDIDAS Y GANANCIAS'!H11</f>
        <v>5731.4510233392002</v>
      </c>
      <c r="J11" s="196">
        <f>(1+DEMANDA!$C$28)*'ESTADO DE PERDIDAS Y GANANCIAS'!I11</f>
        <v>5903.3945540393761</v>
      </c>
      <c r="K11" s="196">
        <f>(1+DEMANDA!$C$28)*'ESTADO DE PERDIDAS Y GANANCIAS'!J11</f>
        <v>6080.4963906605572</v>
      </c>
      <c r="L11" s="196">
        <f>(1+DEMANDA!$C$28)*'ESTADO DE PERDIDAS Y GANANCIAS'!K11</f>
        <v>6262.9112823803744</v>
      </c>
    </row>
    <row r="12" spans="2:12">
      <c r="B12" s="198" t="s">
        <v>281</v>
      </c>
      <c r="C12" s="196">
        <f>'COSTOS OPERACIONALES'!E16</f>
        <v>450</v>
      </c>
      <c r="D12" s="196">
        <f>(1+DEMANDA!$C$28)*'ESTADO DE PERDIDAS Y GANANCIAS'!C12</f>
        <v>463.5</v>
      </c>
      <c r="E12" s="196">
        <f>(1+DEMANDA!$C$28)*'ESTADO DE PERDIDAS Y GANANCIAS'!D12</f>
        <v>477.40500000000003</v>
      </c>
      <c r="F12" s="196">
        <f>(1+DEMANDA!$C$28)*'ESTADO DE PERDIDAS Y GANANCIAS'!E12</f>
        <v>491.72715000000005</v>
      </c>
      <c r="G12" s="196">
        <f>(1+DEMANDA!$C$28)*'ESTADO DE PERDIDAS Y GANANCIAS'!F12</f>
        <v>506.47896450000007</v>
      </c>
      <c r="H12" s="196">
        <f>(1+DEMANDA!$C$28)*'ESTADO DE PERDIDAS Y GANANCIAS'!G12</f>
        <v>521.67333343500013</v>
      </c>
      <c r="I12" s="196">
        <f>(1+DEMANDA!$C$28)*'ESTADO DE PERDIDAS Y GANANCIAS'!H12</f>
        <v>537.32353343805016</v>
      </c>
      <c r="J12" s="196">
        <f>(1+DEMANDA!$C$28)*'ESTADO DE PERDIDAS Y GANANCIAS'!I12</f>
        <v>553.44323944119174</v>
      </c>
      <c r="K12" s="196">
        <f>(1+DEMANDA!$C$28)*'ESTADO DE PERDIDAS Y GANANCIAS'!J12</f>
        <v>570.04653662442752</v>
      </c>
      <c r="L12" s="196">
        <f>(1+DEMANDA!$C$28)*'ESTADO DE PERDIDAS Y GANANCIAS'!K12</f>
        <v>587.14793272316035</v>
      </c>
    </row>
    <row r="13" spans="2:12">
      <c r="B13" s="198" t="s">
        <v>282</v>
      </c>
      <c r="C13" s="196">
        <f>'COSTOS OPERACIONALES'!D34-'COSTOS OPERACIONALES'!C34</f>
        <v>111361.95433439998</v>
      </c>
      <c r="D13" s="196">
        <f>'COSTOS OPERACIONALES'!D35-'COSTOS OPERACIONALES'!C35</f>
        <v>142543.30154803197</v>
      </c>
      <c r="E13" s="196">
        <f>'COSTOS OPERACIONALES'!D36-'COSTOS OPERACIONALES'!C36</f>
        <v>157398.98625624095</v>
      </c>
      <c r="F13" s="196">
        <f>'COSTOS OPERACIONALES'!D37-'COSTOS OPERACIONALES'!C37</f>
        <v>171764.90108928719</v>
      </c>
      <c r="G13" s="196">
        <f>'COSTOS OPERACIONALES'!D38-'COSTOS OPERACIONALES'!C38</f>
        <v>186116.12282607862</v>
      </c>
      <c r="H13" s="196">
        <f>'COSTOS OPERACIONALES'!D39-'COSTOS OPERACIONALES'!C39</f>
        <v>200466.90376998234</v>
      </c>
      <c r="I13" s="196">
        <f>'COSTOS OPERACIONALES'!D40-'COSTOS OPERACIONALES'!C40</f>
        <v>214817.67149009946</v>
      </c>
      <c r="J13" s="196">
        <f>'COSTOS OPERACIONALES'!D41-'COSTOS OPERACIONALES'!C41</f>
        <v>229168.43881350296</v>
      </c>
      <c r="K13" s="196">
        <f>'COSTOS OPERACIONALES'!D42-'COSTOS OPERACIONALES'!C42</f>
        <v>243519.20612500512</v>
      </c>
      <c r="L13" s="196">
        <f>'COSTOS OPERACIONALES'!D43-'COSTOS OPERACIONALES'!C43</f>
        <v>257869.97343615009</v>
      </c>
    </row>
    <row r="14" spans="2:12">
      <c r="B14" s="195" t="s">
        <v>188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</row>
    <row r="15" spans="2:12">
      <c r="B15" s="198" t="s">
        <v>131</v>
      </c>
      <c r="C15" s="196">
        <f>'COSTOS NO OPERACIONALES'!F6</f>
        <v>84000</v>
      </c>
      <c r="D15" s="196">
        <f t="shared" ref="D15:D30" si="0">C15</f>
        <v>84000</v>
      </c>
      <c r="E15" s="196">
        <f t="shared" ref="E15:L15" si="1">D15</f>
        <v>84000</v>
      </c>
      <c r="F15" s="196">
        <f t="shared" si="1"/>
        <v>84000</v>
      </c>
      <c r="G15" s="196">
        <f t="shared" si="1"/>
        <v>84000</v>
      </c>
      <c r="H15" s="196">
        <f t="shared" si="1"/>
        <v>84000</v>
      </c>
      <c r="I15" s="196">
        <f t="shared" si="1"/>
        <v>84000</v>
      </c>
      <c r="J15" s="196">
        <f t="shared" si="1"/>
        <v>84000</v>
      </c>
      <c r="K15" s="196">
        <f t="shared" si="1"/>
        <v>84000</v>
      </c>
      <c r="L15" s="196">
        <f t="shared" si="1"/>
        <v>84000</v>
      </c>
    </row>
    <row r="16" spans="2:12">
      <c r="B16" s="198" t="s">
        <v>283</v>
      </c>
      <c r="C16" s="196">
        <f>'COSTOS NO OPERACIONALES'!F34</f>
        <v>2640</v>
      </c>
      <c r="D16" s="196">
        <f t="shared" si="0"/>
        <v>2640</v>
      </c>
      <c r="E16" s="196">
        <f t="shared" ref="E16:L16" si="2">D16</f>
        <v>2640</v>
      </c>
      <c r="F16" s="196">
        <f t="shared" si="2"/>
        <v>2640</v>
      </c>
      <c r="G16" s="196">
        <f t="shared" si="2"/>
        <v>2640</v>
      </c>
      <c r="H16" s="196">
        <f t="shared" si="2"/>
        <v>2640</v>
      </c>
      <c r="I16" s="196">
        <f t="shared" si="2"/>
        <v>2640</v>
      </c>
      <c r="J16" s="196">
        <f t="shared" si="2"/>
        <v>2640</v>
      </c>
      <c r="K16" s="196">
        <f t="shared" si="2"/>
        <v>2640</v>
      </c>
      <c r="L16" s="196">
        <f t="shared" si="2"/>
        <v>2640</v>
      </c>
    </row>
    <row r="17" spans="2:12">
      <c r="B17" s="198" t="s">
        <v>284</v>
      </c>
      <c r="C17" s="196">
        <f>'COSTOS NO OPERACIONALES'!F38</f>
        <v>1800</v>
      </c>
      <c r="D17" s="196">
        <f t="shared" si="0"/>
        <v>1800</v>
      </c>
      <c r="E17" s="196">
        <f t="shared" ref="E17:L17" si="3">D17</f>
        <v>1800</v>
      </c>
      <c r="F17" s="196">
        <f t="shared" si="3"/>
        <v>1800</v>
      </c>
      <c r="G17" s="196">
        <f t="shared" si="3"/>
        <v>1800</v>
      </c>
      <c r="H17" s="196">
        <f t="shared" si="3"/>
        <v>1800</v>
      </c>
      <c r="I17" s="196">
        <f t="shared" si="3"/>
        <v>1800</v>
      </c>
      <c r="J17" s="196">
        <f t="shared" si="3"/>
        <v>1800</v>
      </c>
      <c r="K17" s="196">
        <f t="shared" si="3"/>
        <v>1800</v>
      </c>
      <c r="L17" s="196">
        <f t="shared" si="3"/>
        <v>1800</v>
      </c>
    </row>
    <row r="18" spans="2:12">
      <c r="B18" s="198" t="s">
        <v>285</v>
      </c>
      <c r="C18" s="196">
        <f>'COSTOS NO OPERACIONALES'!F39</f>
        <v>9600</v>
      </c>
      <c r="D18" s="196">
        <f t="shared" si="0"/>
        <v>9600</v>
      </c>
      <c r="E18" s="196">
        <f t="shared" ref="E18:L24" si="4">D18</f>
        <v>9600</v>
      </c>
      <c r="F18" s="196">
        <f t="shared" si="4"/>
        <v>9600</v>
      </c>
      <c r="G18" s="196">
        <f t="shared" si="4"/>
        <v>9600</v>
      </c>
      <c r="H18" s="196">
        <f t="shared" si="4"/>
        <v>9600</v>
      </c>
      <c r="I18" s="196">
        <f t="shared" si="4"/>
        <v>9600</v>
      </c>
      <c r="J18" s="196">
        <f t="shared" si="4"/>
        <v>9600</v>
      </c>
      <c r="K18" s="196">
        <f t="shared" si="4"/>
        <v>9600</v>
      </c>
      <c r="L18" s="196">
        <f t="shared" si="4"/>
        <v>9600</v>
      </c>
    </row>
    <row r="19" spans="2:12">
      <c r="B19" s="198" t="s">
        <v>286</v>
      </c>
      <c r="C19" s="196">
        <f>DEPRECIACIONES!E6</f>
        <v>6726</v>
      </c>
      <c r="D19" s="196">
        <f t="shared" si="0"/>
        <v>6726</v>
      </c>
      <c r="E19" s="196">
        <f t="shared" si="4"/>
        <v>6726</v>
      </c>
      <c r="F19" s="196">
        <f t="shared" si="4"/>
        <v>6726</v>
      </c>
      <c r="G19" s="196">
        <f t="shared" si="4"/>
        <v>6726</v>
      </c>
      <c r="H19" s="196">
        <f t="shared" si="4"/>
        <v>6726</v>
      </c>
      <c r="I19" s="196">
        <f t="shared" si="4"/>
        <v>6726</v>
      </c>
      <c r="J19" s="196">
        <f t="shared" si="4"/>
        <v>6726</v>
      </c>
      <c r="K19" s="196">
        <f t="shared" si="4"/>
        <v>6726</v>
      </c>
      <c r="L19" s="196">
        <f t="shared" si="4"/>
        <v>6726</v>
      </c>
    </row>
    <row r="20" spans="2:12">
      <c r="B20" s="198" t="s">
        <v>287</v>
      </c>
      <c r="C20" s="196">
        <f>DEPRECIACIONES!E7</f>
        <v>4100</v>
      </c>
      <c r="D20" s="196">
        <f t="shared" si="0"/>
        <v>4100</v>
      </c>
      <c r="E20" s="196">
        <f t="shared" si="4"/>
        <v>4100</v>
      </c>
      <c r="F20" s="196">
        <f t="shared" si="4"/>
        <v>4100</v>
      </c>
      <c r="G20" s="196">
        <f t="shared" si="4"/>
        <v>4100</v>
      </c>
      <c r="H20" s="196">
        <f t="shared" si="4"/>
        <v>4100</v>
      </c>
      <c r="I20" s="196">
        <f t="shared" si="4"/>
        <v>4100</v>
      </c>
      <c r="J20" s="196">
        <f t="shared" si="4"/>
        <v>4100</v>
      </c>
      <c r="K20" s="196">
        <f t="shared" si="4"/>
        <v>4100</v>
      </c>
      <c r="L20" s="196">
        <f t="shared" si="4"/>
        <v>4100</v>
      </c>
    </row>
    <row r="21" spans="2:12">
      <c r="B21" s="198" t="s">
        <v>288</v>
      </c>
      <c r="C21" s="196">
        <f>DEPRECIACIONES!E8</f>
        <v>2400</v>
      </c>
      <c r="D21" s="196">
        <f t="shared" si="0"/>
        <v>2400</v>
      </c>
      <c r="E21" s="196">
        <f t="shared" si="4"/>
        <v>2400</v>
      </c>
      <c r="F21" s="196">
        <f t="shared" si="4"/>
        <v>2400</v>
      </c>
      <c r="G21" s="196">
        <f t="shared" si="4"/>
        <v>2400</v>
      </c>
      <c r="H21" s="196">
        <f t="shared" si="4"/>
        <v>2400</v>
      </c>
      <c r="I21" s="196">
        <f t="shared" si="4"/>
        <v>2400</v>
      </c>
      <c r="J21" s="196">
        <f t="shared" si="4"/>
        <v>2400</v>
      </c>
      <c r="K21" s="196">
        <f t="shared" si="4"/>
        <v>2400</v>
      </c>
      <c r="L21" s="196">
        <f t="shared" si="4"/>
        <v>2400</v>
      </c>
    </row>
    <row r="22" spans="2:12">
      <c r="B22" s="198" t="s">
        <v>289</v>
      </c>
      <c r="C22" s="196">
        <f>DEPRECIACIONES!E9</f>
        <v>1200</v>
      </c>
      <c r="D22" s="196">
        <f t="shared" si="0"/>
        <v>1200</v>
      </c>
      <c r="E22" s="196">
        <f t="shared" si="4"/>
        <v>1200</v>
      </c>
      <c r="F22" s="196">
        <f t="shared" si="4"/>
        <v>1200</v>
      </c>
      <c r="G22" s="196">
        <f t="shared" si="4"/>
        <v>1200</v>
      </c>
      <c r="H22" s="196">
        <f t="shared" si="4"/>
        <v>1200</v>
      </c>
      <c r="I22" s="196">
        <f t="shared" si="4"/>
        <v>1200</v>
      </c>
      <c r="J22" s="196">
        <f t="shared" si="4"/>
        <v>1200</v>
      </c>
      <c r="K22" s="196">
        <f t="shared" si="4"/>
        <v>1200</v>
      </c>
      <c r="L22" s="196">
        <f t="shared" si="4"/>
        <v>1200</v>
      </c>
    </row>
    <row r="23" spans="2:12">
      <c r="B23" s="198" t="s">
        <v>290</v>
      </c>
      <c r="C23" s="196">
        <f>DEPRECIACIONES!E10</f>
        <v>11628.619000000001</v>
      </c>
      <c r="D23" s="196">
        <f t="shared" si="0"/>
        <v>11628.619000000001</v>
      </c>
      <c r="E23" s="196">
        <f t="shared" si="4"/>
        <v>11628.619000000001</v>
      </c>
      <c r="F23" s="196">
        <f t="shared" si="4"/>
        <v>11628.619000000001</v>
      </c>
      <c r="G23" s="196">
        <f t="shared" si="4"/>
        <v>11628.619000000001</v>
      </c>
      <c r="H23" s="196">
        <f t="shared" si="4"/>
        <v>11628.619000000001</v>
      </c>
      <c r="I23" s="196">
        <f t="shared" si="4"/>
        <v>11628.619000000001</v>
      </c>
      <c r="J23" s="196">
        <f t="shared" si="4"/>
        <v>11628.619000000001</v>
      </c>
      <c r="K23" s="196">
        <f t="shared" si="4"/>
        <v>11628.619000000001</v>
      </c>
      <c r="L23" s="196">
        <f t="shared" si="4"/>
        <v>11628.619000000001</v>
      </c>
    </row>
    <row r="24" spans="2:12">
      <c r="B24" s="198" t="s">
        <v>291</v>
      </c>
      <c r="C24" s="196">
        <f>DEPRECIACIONES!E11</f>
        <v>3494.4</v>
      </c>
      <c r="D24" s="196">
        <f t="shared" si="0"/>
        <v>3494.4</v>
      </c>
      <c r="E24" s="196">
        <f t="shared" si="4"/>
        <v>3494.4</v>
      </c>
      <c r="F24" s="196">
        <f t="shared" si="4"/>
        <v>3494.4</v>
      </c>
      <c r="G24" s="196">
        <f t="shared" si="4"/>
        <v>3494.4</v>
      </c>
      <c r="H24" s="196">
        <f t="shared" si="4"/>
        <v>3494.4</v>
      </c>
      <c r="I24" s="196">
        <f t="shared" si="4"/>
        <v>3494.4</v>
      </c>
      <c r="J24" s="196">
        <f t="shared" si="4"/>
        <v>3494.4</v>
      </c>
      <c r="K24" s="196">
        <f t="shared" si="4"/>
        <v>3494.4</v>
      </c>
      <c r="L24" s="196">
        <f t="shared" si="4"/>
        <v>3494.4</v>
      </c>
    </row>
    <row r="25" spans="2:12">
      <c r="B25" s="198" t="s">
        <v>292</v>
      </c>
      <c r="C25" s="196">
        <f>DEPRECIACIONES!E12</f>
        <v>1100</v>
      </c>
      <c r="D25" s="196">
        <f t="shared" si="0"/>
        <v>1100</v>
      </c>
      <c r="E25" s="196">
        <f t="shared" ref="E25:E30" si="5">D25</f>
        <v>1100</v>
      </c>
      <c r="F25" s="196"/>
      <c r="G25" s="196"/>
      <c r="H25" s="196"/>
      <c r="I25" s="196"/>
      <c r="J25" s="196"/>
      <c r="K25" s="196"/>
      <c r="L25" s="196"/>
    </row>
    <row r="26" spans="2:12">
      <c r="B26" s="198" t="s">
        <v>293</v>
      </c>
      <c r="C26" s="196">
        <f>DEPRECIACIONES!E13</f>
        <v>307</v>
      </c>
      <c r="D26" s="196">
        <f t="shared" si="0"/>
        <v>307</v>
      </c>
      <c r="E26" s="196">
        <f t="shared" si="5"/>
        <v>307</v>
      </c>
      <c r="F26" s="196">
        <f t="shared" ref="F26:L30" si="6">E26</f>
        <v>307</v>
      </c>
      <c r="G26" s="196">
        <f t="shared" si="6"/>
        <v>307</v>
      </c>
      <c r="H26" s="196">
        <f t="shared" si="6"/>
        <v>307</v>
      </c>
      <c r="I26" s="196">
        <f t="shared" si="6"/>
        <v>307</v>
      </c>
      <c r="J26" s="196">
        <f t="shared" si="6"/>
        <v>307</v>
      </c>
      <c r="K26" s="196">
        <f t="shared" si="6"/>
        <v>307</v>
      </c>
      <c r="L26" s="196">
        <f t="shared" si="6"/>
        <v>307</v>
      </c>
    </row>
    <row r="27" spans="2:12">
      <c r="B27" s="198" t="s">
        <v>294</v>
      </c>
      <c r="C27" s="196">
        <f>DEPRECIACIONES!E14</f>
        <v>100</v>
      </c>
      <c r="D27" s="196">
        <f t="shared" si="0"/>
        <v>100</v>
      </c>
      <c r="E27" s="196">
        <f t="shared" si="5"/>
        <v>100</v>
      </c>
      <c r="F27" s="196">
        <f t="shared" si="6"/>
        <v>100</v>
      </c>
      <c r="G27" s="196">
        <f t="shared" si="6"/>
        <v>100</v>
      </c>
      <c r="H27" s="196">
        <f t="shared" si="6"/>
        <v>100</v>
      </c>
      <c r="I27" s="196">
        <f t="shared" si="6"/>
        <v>100</v>
      </c>
      <c r="J27" s="196">
        <f t="shared" si="6"/>
        <v>100</v>
      </c>
      <c r="K27" s="196">
        <f t="shared" si="6"/>
        <v>100</v>
      </c>
      <c r="L27" s="196">
        <f t="shared" si="6"/>
        <v>100</v>
      </c>
    </row>
    <row r="28" spans="2:12">
      <c r="B28" s="198" t="s">
        <v>295</v>
      </c>
      <c r="C28" s="196">
        <f>DEPRECIACIONES!E15</f>
        <v>380</v>
      </c>
      <c r="D28" s="196">
        <f t="shared" si="0"/>
        <v>380</v>
      </c>
      <c r="E28" s="196">
        <f t="shared" si="5"/>
        <v>380</v>
      </c>
      <c r="F28" s="196">
        <f t="shared" si="6"/>
        <v>380</v>
      </c>
      <c r="G28" s="196">
        <f t="shared" si="6"/>
        <v>380</v>
      </c>
      <c r="H28" s="196">
        <f t="shared" si="6"/>
        <v>380</v>
      </c>
      <c r="I28" s="196">
        <f t="shared" si="6"/>
        <v>380</v>
      </c>
      <c r="J28" s="196">
        <f t="shared" si="6"/>
        <v>380</v>
      </c>
      <c r="K28" s="196">
        <f t="shared" si="6"/>
        <v>380</v>
      </c>
      <c r="L28" s="196">
        <f t="shared" si="6"/>
        <v>380</v>
      </c>
    </row>
    <row r="29" spans="2:12">
      <c r="B29" s="198" t="s">
        <v>317</v>
      </c>
      <c r="C29" s="196">
        <f>DEPRECIACIONES!E16</f>
        <v>100</v>
      </c>
      <c r="D29" s="196">
        <f>C29</f>
        <v>100</v>
      </c>
      <c r="E29" s="196">
        <f t="shared" si="5"/>
        <v>100</v>
      </c>
      <c r="F29" s="196">
        <f t="shared" si="6"/>
        <v>100</v>
      </c>
      <c r="G29" s="196">
        <f t="shared" si="6"/>
        <v>100</v>
      </c>
      <c r="H29" s="196">
        <f t="shared" si="6"/>
        <v>100</v>
      </c>
      <c r="I29" s="196">
        <f t="shared" si="6"/>
        <v>100</v>
      </c>
      <c r="J29" s="196">
        <f t="shared" si="6"/>
        <v>100</v>
      </c>
      <c r="K29" s="196">
        <f t="shared" si="6"/>
        <v>100</v>
      </c>
      <c r="L29" s="196">
        <f t="shared" si="6"/>
        <v>100</v>
      </c>
    </row>
    <row r="30" spans="2:12">
      <c r="B30" s="198" t="s">
        <v>296</v>
      </c>
      <c r="C30" s="196">
        <f>DEPRECIACIONES!E17</f>
        <v>50231.697999999997</v>
      </c>
      <c r="D30" s="196">
        <f t="shared" si="0"/>
        <v>50231.697999999997</v>
      </c>
      <c r="E30" s="196">
        <f t="shared" si="5"/>
        <v>50231.697999999997</v>
      </c>
      <c r="F30" s="196">
        <f t="shared" si="6"/>
        <v>50231.697999999997</v>
      </c>
      <c r="G30" s="196">
        <f t="shared" si="6"/>
        <v>50231.697999999997</v>
      </c>
      <c r="H30" s="196">
        <f t="shared" si="6"/>
        <v>50231.697999999997</v>
      </c>
      <c r="I30" s="196">
        <f t="shared" si="6"/>
        <v>50231.697999999997</v>
      </c>
      <c r="J30" s="196">
        <f t="shared" si="6"/>
        <v>50231.697999999997</v>
      </c>
      <c r="K30" s="196">
        <f t="shared" si="6"/>
        <v>50231.697999999997</v>
      </c>
      <c r="L30" s="196">
        <f t="shared" si="6"/>
        <v>50231.697999999997</v>
      </c>
    </row>
    <row r="31" spans="2:12">
      <c r="B31" s="198" t="s">
        <v>189</v>
      </c>
      <c r="C31" s="196">
        <f>PRESTAMO!G7</f>
        <v>141337.59159972231</v>
      </c>
      <c r="D31" s="196">
        <f>PRESTAMO!G8</f>
        <v>132885.40191953667</v>
      </c>
      <c r="E31" s="196">
        <f>PRESTAMO!G9</f>
        <v>123503.47137453058</v>
      </c>
      <c r="F31" s="196">
        <f>PRESTAMO!G10</f>
        <v>113089.52846957385</v>
      </c>
      <c r="G31" s="196">
        <f>PRESTAMO!G11</f>
        <v>101530.05184507188</v>
      </c>
      <c r="H31" s="196">
        <f>PRESTAMO!G12</f>
        <v>88699.032791874692</v>
      </c>
      <c r="I31" s="196">
        <f>PRESTAMO!G13</f>
        <v>74456.601642825801</v>
      </c>
      <c r="J31" s="196">
        <f>PRESTAMO!G14</f>
        <v>58647.503067381542</v>
      </c>
      <c r="K31" s="196">
        <f>PRESTAMO!G15</f>
        <v>41099.403648638407</v>
      </c>
      <c r="L31" s="196">
        <f>PRESTAMO!G16</f>
        <v>21621.013293833534</v>
      </c>
    </row>
    <row r="32" spans="2:12">
      <c r="B32" s="198" t="s">
        <v>297</v>
      </c>
      <c r="C32" s="196">
        <f t="shared" ref="C32:L32" si="7">C4-(SUM(C7:C31))</f>
        <v>5439.0215926056262</v>
      </c>
      <c r="D32" s="196">
        <f t="shared" si="7"/>
        <v>117842.62209319323</v>
      </c>
      <c r="E32" s="196">
        <f t="shared" si="7"/>
        <v>175700.35292012716</v>
      </c>
      <c r="F32" s="196">
        <f t="shared" si="7"/>
        <v>232515.92600909784</v>
      </c>
      <c r="G32" s="196">
        <f t="shared" si="7"/>
        <v>289957.82517880632</v>
      </c>
      <c r="H32" s="196">
        <f t="shared" si="7"/>
        <v>347904.80255973816</v>
      </c>
      <c r="I32" s="196">
        <f t="shared" si="7"/>
        <v>407183.82380502217</v>
      </c>
      <c r="J32" s="196">
        <f t="shared" si="7"/>
        <v>467969.06589563214</v>
      </c>
      <c r="K32" s="196">
        <f t="shared" si="7"/>
        <v>529702.53227858047</v>
      </c>
      <c r="L32" s="196">
        <f t="shared" si="7"/>
        <v>593280.96457590873</v>
      </c>
    </row>
    <row r="33" spans="2:12">
      <c r="B33" s="198" t="s">
        <v>298</v>
      </c>
      <c r="C33" s="196">
        <f>IF(C32&gt;0,C32*0.15,0)</f>
        <v>815.85323889084395</v>
      </c>
      <c r="D33" s="196">
        <f t="shared" ref="D33:L33" si="8">IF(D32&gt;0,D32*0.15,0)</f>
        <v>17676.393313978984</v>
      </c>
      <c r="E33" s="196">
        <f t="shared" si="8"/>
        <v>26355.052938019075</v>
      </c>
      <c r="F33" s="196">
        <f t="shared" si="8"/>
        <v>34877.388901364677</v>
      </c>
      <c r="G33" s="196">
        <f t="shared" si="8"/>
        <v>43493.67377682095</v>
      </c>
      <c r="H33" s="196">
        <f t="shared" si="8"/>
        <v>52185.720383960725</v>
      </c>
      <c r="I33" s="196">
        <f t="shared" si="8"/>
        <v>61077.573570753324</v>
      </c>
      <c r="J33" s="196">
        <f t="shared" si="8"/>
        <v>70195.359884344813</v>
      </c>
      <c r="K33" s="196">
        <f t="shared" si="8"/>
        <v>79455.379841787071</v>
      </c>
      <c r="L33" s="196">
        <f t="shared" si="8"/>
        <v>88992.144686386309</v>
      </c>
    </row>
    <row r="34" spans="2:12">
      <c r="B34" s="198" t="s">
        <v>299</v>
      </c>
      <c r="C34" s="196">
        <f>C32-C33</f>
        <v>4623.1683537147819</v>
      </c>
      <c r="D34" s="196">
        <f t="shared" ref="D34:L34" si="9">D32-D33</f>
        <v>100166.22877921425</v>
      </c>
      <c r="E34" s="196">
        <f t="shared" si="9"/>
        <v>149345.29998210809</v>
      </c>
      <c r="F34" s="196">
        <f t="shared" si="9"/>
        <v>197638.53710773317</v>
      </c>
      <c r="G34" s="196">
        <f t="shared" si="9"/>
        <v>246464.15140198538</v>
      </c>
      <c r="H34" s="196">
        <f t="shared" si="9"/>
        <v>295719.08217577741</v>
      </c>
      <c r="I34" s="196">
        <f t="shared" si="9"/>
        <v>346106.25023426884</v>
      </c>
      <c r="J34" s="196">
        <f t="shared" si="9"/>
        <v>397773.70601128734</v>
      </c>
      <c r="K34" s="196">
        <f t="shared" si="9"/>
        <v>450247.15243679343</v>
      </c>
      <c r="L34" s="196">
        <f t="shared" si="9"/>
        <v>504288.81988952239</v>
      </c>
    </row>
    <row r="35" spans="2:12">
      <c r="B35" s="198" t="s">
        <v>300</v>
      </c>
      <c r="C35" s="196">
        <f>IF(C34&gt;0,C34*0.25,0)</f>
        <v>1155.7920884286955</v>
      </c>
      <c r="D35" s="196">
        <f t="shared" ref="D35:L35" si="10">IF(D34&gt;0,D34*0.25,0)</f>
        <v>25041.557194803561</v>
      </c>
      <c r="E35" s="196">
        <f t="shared" si="10"/>
        <v>37336.324995527022</v>
      </c>
      <c r="F35" s="196">
        <f t="shared" si="10"/>
        <v>49409.634276933291</v>
      </c>
      <c r="G35" s="196">
        <f t="shared" si="10"/>
        <v>61616.037850496345</v>
      </c>
      <c r="H35" s="196">
        <f t="shared" si="10"/>
        <v>73929.770543944353</v>
      </c>
      <c r="I35" s="196">
        <f t="shared" si="10"/>
        <v>86526.56255856721</v>
      </c>
      <c r="J35" s="196">
        <f t="shared" si="10"/>
        <v>99443.426502821836</v>
      </c>
      <c r="K35" s="196">
        <f t="shared" si="10"/>
        <v>112561.78810919836</v>
      </c>
      <c r="L35" s="196">
        <f t="shared" si="10"/>
        <v>126072.2049723806</v>
      </c>
    </row>
    <row r="36" spans="2:12">
      <c r="B36" s="195" t="s">
        <v>301</v>
      </c>
      <c r="C36" s="197">
        <f>C34-C35</f>
        <v>3467.3762652860864</v>
      </c>
      <c r="D36" s="197">
        <f t="shared" ref="D36:L36" si="11">D34-D35</f>
        <v>75124.67158441068</v>
      </c>
      <c r="E36" s="197">
        <f t="shared" si="11"/>
        <v>112008.97498658107</v>
      </c>
      <c r="F36" s="197">
        <f t="shared" si="11"/>
        <v>148228.90283079987</v>
      </c>
      <c r="G36" s="197">
        <f t="shared" si="11"/>
        <v>184848.11355148902</v>
      </c>
      <c r="H36" s="197">
        <f t="shared" si="11"/>
        <v>221789.31163183306</v>
      </c>
      <c r="I36" s="197">
        <f t="shared" si="11"/>
        <v>259579.68767570163</v>
      </c>
      <c r="J36" s="197">
        <f t="shared" si="11"/>
        <v>298330.27950846549</v>
      </c>
      <c r="K36" s="197">
        <f t="shared" si="11"/>
        <v>337685.3643275951</v>
      </c>
      <c r="L36" s="197">
        <f t="shared" si="11"/>
        <v>378216.61491714179</v>
      </c>
    </row>
    <row r="38" spans="2:12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>
      <c r="C39" s="6"/>
    </row>
  </sheetData>
  <mergeCells count="1">
    <mergeCell ref="B2:L2"/>
  </mergeCells>
  <phoneticPr fontId="7" type="noConversion"/>
  <pageMargins left="0.75" right="0.75" top="1" bottom="1" header="0" footer="0"/>
  <headerFooter alignWithMargins="0"/>
  <ignoredErrors>
    <ignoredError sqref="C35:L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M33"/>
  <sheetViews>
    <sheetView tabSelected="1" workbookViewId="0">
      <selection activeCell="H36" sqref="H36"/>
    </sheetView>
  </sheetViews>
  <sheetFormatPr baseColWidth="10" defaultRowHeight="12.75"/>
  <cols>
    <col min="2" max="2" width="33.28515625" bestFit="1" customWidth="1"/>
    <col min="3" max="3" width="11.85546875" bestFit="1" customWidth="1"/>
    <col min="4" max="10" width="10" bestFit="1" customWidth="1"/>
    <col min="11" max="13" width="11.28515625" bestFit="1" customWidth="1"/>
  </cols>
  <sheetData>
    <row r="2" spans="2:13" ht="18">
      <c r="B2" s="237" t="s">
        <v>200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2:13">
      <c r="B3" s="131" t="s">
        <v>180</v>
      </c>
      <c r="C3" s="199">
        <v>0</v>
      </c>
      <c r="D3" s="199">
        <v>1</v>
      </c>
      <c r="E3" s="199">
        <v>2</v>
      </c>
      <c r="F3" s="199">
        <v>3</v>
      </c>
      <c r="G3" s="199">
        <v>4</v>
      </c>
      <c r="H3" s="199">
        <v>5</v>
      </c>
      <c r="I3" s="199">
        <v>6</v>
      </c>
      <c r="J3" s="199">
        <v>7</v>
      </c>
      <c r="K3" s="199">
        <v>8</v>
      </c>
      <c r="L3" s="199">
        <v>9</v>
      </c>
      <c r="M3" s="199">
        <v>10</v>
      </c>
    </row>
    <row r="4" spans="2:13">
      <c r="B4" s="131" t="s">
        <v>181</v>
      </c>
      <c r="C4" s="200"/>
      <c r="D4" s="201">
        <f>SUM(D5:D7)</f>
        <v>495269.03452672798</v>
      </c>
      <c r="E4" s="201">
        <f>SUM(E5:E7)</f>
        <v>632121.47506076191</v>
      </c>
      <c r="F4" s="201">
        <f t="shared" ref="F4:M4" si="0">SUM(F5:F7)</f>
        <v>697224.23302589869</v>
      </c>
      <c r="G4" s="201">
        <f t="shared" si="0"/>
        <v>758716.18920720892</v>
      </c>
      <c r="H4" s="201">
        <f t="shared" si="0"/>
        <v>820828.97698838427</v>
      </c>
      <c r="I4" s="201">
        <f t="shared" si="0"/>
        <v>882231.23406417551</v>
      </c>
      <c r="J4" s="201">
        <f t="shared" si="0"/>
        <v>943612.17521880521</v>
      </c>
      <c r="K4" s="201">
        <f t="shared" si="0"/>
        <v>1004992.4768958001</v>
      </c>
      <c r="L4" s="201">
        <f t="shared" si="0"/>
        <v>1065643.603735086</v>
      </c>
      <c r="M4" s="201">
        <f t="shared" si="0"/>
        <v>1126272.8553292402</v>
      </c>
    </row>
    <row r="5" spans="2:13">
      <c r="B5" s="130" t="s">
        <v>184</v>
      </c>
      <c r="C5" s="200"/>
      <c r="D5" s="200">
        <f>(DEMANDA!B84*DEMANDA!C25*DEMANDA!C23)+(DEMANDA!B84*DEMANDA!C24*DEMANDA!C22)</f>
        <v>237572.16924671998</v>
      </c>
      <c r="E5" s="200">
        <f>(DEMANDA!B85*DEMANDA!C25*DEMANDA!C23)+(DEMANDA!B85*DEMANDA!C24*DEMANDA!C22)</f>
        <v>304092.37663580157</v>
      </c>
      <c r="F5" s="200">
        <f>(DEMANDA!B86*DEMANDA!C25*DEMANDA!C23)+(DEMANDA!B86*DEMANDA!C24*DEMANDA!C22)</f>
        <v>335784.50401331403</v>
      </c>
      <c r="G5" s="200">
        <f>(DEMANDA!B87*DEMANDA!C25*DEMANDA!C23)+(DEMANDA!B87*DEMANDA!C24*DEMANDA!C22)</f>
        <v>366431.78899047937</v>
      </c>
      <c r="H5" s="200">
        <f>(DEMANDA!B88*DEMANDA!C25*DEMANDA!C23)+(DEMANDA!B88*DEMANDA!C24*DEMANDA!C22)</f>
        <v>397047.7286956344</v>
      </c>
      <c r="I5" s="200">
        <f>(DEMANDA!B89*DEMANDA!C25*DEMANDA!C23)+(DEMANDA!B89*DEMANDA!C24*DEMANDA!C22)</f>
        <v>427662.72804262902</v>
      </c>
      <c r="J5" s="200">
        <f>(DEMANDA!B90*DEMANDA!C25*DEMANDA!C23)+(DEMANDA!B90*DEMANDA!C24*DEMANDA!C22)</f>
        <v>458277.69917887886</v>
      </c>
      <c r="K5" s="200">
        <f>(DEMANDA!B91*DEMANDA!C25*DEMANDA!C23)+(DEMANDA!B91*DEMANDA!C24*DEMANDA!C22)</f>
        <v>488892.6694688063</v>
      </c>
      <c r="L5" s="200">
        <f>(DEMANDA!B92*DEMANDA!C25*DEMANDA!C23)+(DEMANDA!B92*DEMANDA!C24*DEMANDA!C22)</f>
        <v>519507.63973334408</v>
      </c>
      <c r="M5" s="200">
        <f>(DEMANDA!B93*DEMANDA!C25*DEMANDA!C23)+(DEMANDA!B93*DEMANDA!C24*DEMANDA!C22)</f>
        <v>550122.60999712022</v>
      </c>
    </row>
    <row r="6" spans="2:13">
      <c r="B6" s="132" t="s">
        <v>185</v>
      </c>
      <c r="C6" s="200"/>
      <c r="D6" s="200">
        <f>(DEMANDA!C84*DEMANDA!G22)</f>
        <v>36457.782669000007</v>
      </c>
      <c r="E6" s="200">
        <f>DEMANDA!C85*DEMANDA!G22</f>
        <v>44843.072682870014</v>
      </c>
      <c r="F6" s="200">
        <f>DEMANDA!C86*DEMANDA!G22</f>
        <v>48740.409650186106</v>
      </c>
      <c r="G6" s="200">
        <f>DEMANDA!C87*DEMANDA!G22</f>
        <v>51044.796719345599</v>
      </c>
      <c r="H6" s="200">
        <f>DEMANDA!C88*DEMANDA!G22</f>
        <v>54030.550944940376</v>
      </c>
      <c r="I6" s="200">
        <f>DEMANDA!C89*DEMANDA!G22</f>
        <v>56307.590531848211</v>
      </c>
      <c r="J6" s="200">
        <f>DEMANDA!C90*DEMANDA!G22</f>
        <v>58563.368679595464</v>
      </c>
      <c r="K6" s="200">
        <f>DEMANDA!C91*DEMANDA!G22</f>
        <v>60818.508984167886</v>
      </c>
      <c r="L6" s="200">
        <f>DEMANDA!C92*DEMANDA!G22</f>
        <v>62344.474500065051</v>
      </c>
      <c r="M6" s="200">
        <f>DEMANDA!C93*DEMANDA!G22</f>
        <v>63848.564772301965</v>
      </c>
    </row>
    <row r="7" spans="2:13">
      <c r="B7" s="132" t="s">
        <v>186</v>
      </c>
      <c r="C7" s="200"/>
      <c r="D7" s="200">
        <f>((DEMANDA!D84*DEMANDA!$C$40*DEMANDA!$C$51)+(DEMANDA!D84*DEMANDA!$C$41*DEMANDA!$C$52)+(DEMANDA!D84*DEMANDA!$C$42*DEMANDA!C53)+(DEMANDA!D84*DEMANDA!$C$43*DEMANDA!$C$54)+(DEMANDA!D84*DEMANDA!$C$44*DEMANDA!$C$55))+(DEMANDA!E84*DEMANDA!$C$57)</f>
        <v>221239.08261100797</v>
      </c>
      <c r="E7" s="200">
        <f>((DEMANDA!D85*DEMANDA!C40*DEMANDA!C51)+(DEMANDA!D85*DEMANDA!C41*DEMANDA!C52)+(DEMANDA!D85*DEMANDA!C42*DEMANDA!C53)+(DEMANDA!D85*DEMANDA!C43*DEMANDA!C54)+(DEMANDA!D85*DEMANDA!C44*DEMANDA!C55))+(DEMANDA!E85*DEMANDA!C57)</f>
        <v>283186.02574209025</v>
      </c>
      <c r="F7" s="200">
        <f>((DEMANDA!D86*DEMANDA!C40*DEMANDA!C51)+(DEMANDA!D86*DEMANDA!C41*DEMANDA!C52)+(DEMANDA!D86*DEMANDA!C42*DEMANDA!C53)+(DEMANDA!D86*DEMANDA!C43*DEMANDA!C54)+(DEMANDA!D86*DEMANDA!C44*DEMANDA!C55))+(DEMANDA!C57*DEMANDA!E86)</f>
        <v>312699.31936239864</v>
      </c>
      <c r="G7" s="200">
        <f>((DEMANDA!D87*DEMANDA!C40*DEMANDA!C51)+(DEMANDA!D87*DEMANDA!C41*DEMANDA!C52)+(DEMANDA!D87*DEMANDA!C42*DEMANDA!C53)+(DEMANDA!D87*DEMANDA!C43*DEMANDA!C54)+(DEMANDA!D87*DEMANDA!C44*DEMANDA!C55))+(DEMANDA!C57*DEMANDA!E87)</f>
        <v>341239.60349738394</v>
      </c>
      <c r="H7" s="200">
        <f>((DEMANDA!D88*DEMANDA!C40*DEMANDA!C51)+(DEMANDA!D88*DEMANDA!C41*DEMANDA!C52)+(DEMANDA!D88*DEMANDA!C42*DEMANDA!C53)+(DEMANDA!D88*DEMANDA!C43*DEMANDA!C54)+(DEMANDA!D88*DEMANDA!C44*DEMANDA!C55))+(DEMANDA!C57*DEMANDA!E88)</f>
        <v>369750.6973478095</v>
      </c>
      <c r="I7" s="200">
        <f>((DEMANDA!D89*DEMANDA!C40*DEMANDA!C51)+(DEMANDA!D89*DEMANDA!C41*DEMANDA!C52)+(DEMANDA!D89*DEMANDA!C42*DEMANDA!C53)+(DEMANDA!D89*DEMANDA!C43*DEMANDA!C54)+(DEMANDA!D89*DEMANDA!C44*DEMANDA!C55))+(DEMANDA!C57*DEMANDA!E89)</f>
        <v>398260.91548969829</v>
      </c>
      <c r="J7" s="200">
        <f>((DEMANDA!D90*DEMANDA!C40*DEMANDA!C51)+(DEMANDA!D90*DEMANDA!C41*DEMANDA!C52)+(DEMANDA!D90*DEMANDA!C42*DEMANDA!C53)+(DEMANDA!D90*DEMANDA!C43*DEMANDA!C54)+(DEMANDA!D90*DEMANDA!C44*DEMANDA!C55))+(DEMANDA!C57*DEMANDA!E90)</f>
        <v>426771.10736033093</v>
      </c>
      <c r="K7" s="200">
        <f>((DEMANDA!D91*DEMANDA!C40*DEMANDA!C51)+(DEMANDA!D91*DEMANDA!C41*DEMANDA!C52)+(DEMANDA!D91*DEMANDA!C42*DEMANDA!C53)+(DEMANDA!D91*DEMANDA!C43*DEMANDA!C54)+(DEMANDA!D91*DEMANDA!C44*DEMANDA!C55))+(DEMANDA!C57*DEMANDA!E91)</f>
        <v>455281.29844282591</v>
      </c>
      <c r="L7" s="200">
        <f>((DEMANDA!D92*DEMANDA!C40*DEMANDA!C51)+(DEMANDA!D92*DEMANDA!C41*DEMANDA!C52)+(DEMANDA!D92*DEMANDA!C42*DEMANDA!C53)+(DEMANDA!D92*DEMANDA!C43*DEMANDA!C54)+(DEMANDA!D92*DEMANDA!C44*DEMANDA!C55))+(DEMANDA!C57*DEMANDA!E92)</f>
        <v>483791.48950167676</v>
      </c>
      <c r="M7" s="200">
        <f>((DEMANDA!D93*DEMANDA!C40*DEMANDA!C51)+(DEMANDA!D93*DEMANDA!C41*DEMANDA!C52)+(DEMANDA!D93*DEMANDA!C42*DEMANDA!C53)+(DEMANDA!D93*DEMANDA!C43*DEMANDA!C54)+(DEMANDA!D93*DEMANDA!C44*DEMANDA!C55))+(DEMANDA!C57*DEMANDA!E93)</f>
        <v>512301.68055981817</v>
      </c>
    </row>
    <row r="8" spans="2:13">
      <c r="B8" s="131" t="s">
        <v>182</v>
      </c>
      <c r="C8" s="200"/>
      <c r="D8" s="201">
        <f>SUM(D9:D12)</f>
        <v>489830.01293412229</v>
      </c>
      <c r="E8" s="201">
        <f t="shared" ref="E8:M8" si="1">SUM(E9:E12)</f>
        <v>514278.85296756861</v>
      </c>
      <c r="F8" s="201">
        <f t="shared" si="1"/>
        <v>521523.88010577153</v>
      </c>
      <c r="G8" s="201">
        <f t="shared" si="1"/>
        <v>526200.26319811097</v>
      </c>
      <c r="H8" s="201">
        <f t="shared" si="1"/>
        <v>530871.15180957806</v>
      </c>
      <c r="I8" s="201">
        <f t="shared" si="1"/>
        <v>534326.43150443747</v>
      </c>
      <c r="J8" s="201">
        <f t="shared" si="1"/>
        <v>536428.35141378304</v>
      </c>
      <c r="K8" s="201">
        <f t="shared" si="1"/>
        <v>537023.41100016795</v>
      </c>
      <c r="L8" s="201">
        <f t="shared" si="1"/>
        <v>535941.07145650545</v>
      </c>
      <c r="M8" s="201">
        <f t="shared" si="1"/>
        <v>532991.89075333148</v>
      </c>
    </row>
    <row r="9" spans="2:13">
      <c r="B9" s="130" t="s">
        <v>187</v>
      </c>
      <c r="C9" s="200"/>
      <c r="D9" s="200">
        <f>'COSTOS OPERACIONALES'!E25</f>
        <v>168684.70433440001</v>
      </c>
      <c r="E9" s="200">
        <f>'COSTOS OPERACIONALES'!D35</f>
        <v>201585.73404803197</v>
      </c>
      <c r="F9" s="200">
        <f>'COSTOS OPERACIONALES'!D36</f>
        <v>218212.69173124095</v>
      </c>
      <c r="G9" s="200">
        <f>'COSTOS OPERACIONALES'!D37</f>
        <v>234403.0177285372</v>
      </c>
      <c r="H9" s="200">
        <f>'COSTOS OPERACIONALES'!D38</f>
        <v>250633.38296450611</v>
      </c>
      <c r="I9" s="200">
        <f>'COSTOS OPERACIONALES'!D39</f>
        <v>266919.68171256268</v>
      </c>
      <c r="J9" s="200">
        <f>'COSTOS OPERACIONALES'!D40</f>
        <v>283264.03277095722</v>
      </c>
      <c r="K9" s="200">
        <f>'COSTOS OPERACIONALES'!D41</f>
        <v>299668.19093278644</v>
      </c>
      <c r="L9" s="200">
        <f>'COSTOS OPERACIONALES'!D42</f>
        <v>316133.95080786711</v>
      </c>
      <c r="M9" s="200">
        <f>'COSTOS OPERACIONALES'!D43</f>
        <v>332663.16045949794</v>
      </c>
    </row>
    <row r="10" spans="2:13">
      <c r="B10" s="130" t="s">
        <v>188</v>
      </c>
      <c r="C10" s="200"/>
      <c r="D10" s="200">
        <f>'COSTOS NO OPERACIONALES'!F41</f>
        <v>98040</v>
      </c>
      <c r="E10" s="200">
        <f>D10</f>
        <v>98040</v>
      </c>
      <c r="F10" s="200">
        <f>E10</f>
        <v>98040</v>
      </c>
      <c r="G10" s="200">
        <f t="shared" ref="G10:M10" si="2">F10</f>
        <v>98040</v>
      </c>
      <c r="H10" s="200">
        <f t="shared" si="2"/>
        <v>98040</v>
      </c>
      <c r="I10" s="200">
        <f t="shared" si="2"/>
        <v>98040</v>
      </c>
      <c r="J10" s="200">
        <f t="shared" si="2"/>
        <v>98040</v>
      </c>
      <c r="K10" s="200">
        <f t="shared" si="2"/>
        <v>98040</v>
      </c>
      <c r="L10" s="200">
        <f t="shared" si="2"/>
        <v>98040</v>
      </c>
      <c r="M10" s="200">
        <f t="shared" si="2"/>
        <v>98040</v>
      </c>
    </row>
    <row r="11" spans="2:13">
      <c r="B11" s="130" t="s">
        <v>189</v>
      </c>
      <c r="C11" s="200"/>
      <c r="D11" s="200">
        <f>PRESTAMO!G7</f>
        <v>141337.59159972231</v>
      </c>
      <c r="E11" s="200">
        <f>PRESTAMO!G8</f>
        <v>132885.40191953667</v>
      </c>
      <c r="F11" s="200">
        <f>PRESTAMO!G9</f>
        <v>123503.47137453058</v>
      </c>
      <c r="G11" s="200">
        <f>PRESTAMO!G10</f>
        <v>113089.52846957385</v>
      </c>
      <c r="H11" s="200">
        <f>PRESTAMO!G11</f>
        <v>101530.05184507188</v>
      </c>
      <c r="I11" s="200">
        <f>PRESTAMO!G12</f>
        <v>88699.032791874692</v>
      </c>
      <c r="J11" s="200">
        <f>PRESTAMO!G13</f>
        <v>74456.601642825801</v>
      </c>
      <c r="K11" s="200">
        <f>PRESTAMO!G14</f>
        <v>58647.503067381542</v>
      </c>
      <c r="L11" s="200">
        <f>PRESTAMO!G15</f>
        <v>41099.403648638407</v>
      </c>
      <c r="M11" s="200">
        <f>PRESTAMO!G16</f>
        <v>21621.013293833534</v>
      </c>
    </row>
    <row r="12" spans="2:13">
      <c r="B12" s="130" t="s">
        <v>190</v>
      </c>
      <c r="C12" s="200"/>
      <c r="D12" s="200">
        <f>DEPRECIACIONES!E18</f>
        <v>81767.717000000004</v>
      </c>
      <c r="E12" s="200">
        <f>D12</f>
        <v>81767.717000000004</v>
      </c>
      <c r="F12" s="200">
        <f>E12</f>
        <v>81767.717000000004</v>
      </c>
      <c r="G12" s="200">
        <f>(DEPRECIACIONES!E18-DEPRECIACIONES!E12)</f>
        <v>80667.717000000004</v>
      </c>
      <c r="H12" s="200">
        <f t="shared" ref="H12:M12" si="3">G12</f>
        <v>80667.717000000004</v>
      </c>
      <c r="I12" s="200">
        <f t="shared" si="3"/>
        <v>80667.717000000004</v>
      </c>
      <c r="J12" s="200">
        <f t="shared" si="3"/>
        <v>80667.717000000004</v>
      </c>
      <c r="K12" s="200">
        <f t="shared" si="3"/>
        <v>80667.717000000004</v>
      </c>
      <c r="L12" s="200">
        <f t="shared" si="3"/>
        <v>80667.717000000004</v>
      </c>
      <c r="M12" s="200">
        <f t="shared" si="3"/>
        <v>80667.717000000004</v>
      </c>
    </row>
    <row r="13" spans="2:13">
      <c r="B13" s="130" t="s">
        <v>195</v>
      </c>
      <c r="C13" s="200"/>
      <c r="D13" s="200">
        <f>D4-D8</f>
        <v>5439.0215926056844</v>
      </c>
      <c r="E13" s="200">
        <f t="shared" ref="E13:M13" si="4">E4-E8</f>
        <v>117842.62209319329</v>
      </c>
      <c r="F13" s="200">
        <f t="shared" si="4"/>
        <v>175700.35292012716</v>
      </c>
      <c r="G13" s="200">
        <f t="shared" si="4"/>
        <v>232515.92600909795</v>
      </c>
      <c r="H13" s="200">
        <f t="shared" si="4"/>
        <v>289957.8251788062</v>
      </c>
      <c r="I13" s="200">
        <f t="shared" si="4"/>
        <v>347904.80255973805</v>
      </c>
      <c r="J13" s="200">
        <f t="shared" si="4"/>
        <v>407183.82380502217</v>
      </c>
      <c r="K13" s="200">
        <f t="shared" si="4"/>
        <v>467969.06589563214</v>
      </c>
      <c r="L13" s="200">
        <f t="shared" si="4"/>
        <v>529702.53227858059</v>
      </c>
      <c r="M13" s="200">
        <f t="shared" si="4"/>
        <v>593280.96457590873</v>
      </c>
    </row>
    <row r="14" spans="2:13">
      <c r="B14" s="130" t="s">
        <v>196</v>
      </c>
      <c r="C14" s="200"/>
      <c r="D14" s="200">
        <f>IF(D13&gt;0,D13*0.15,0)</f>
        <v>815.85323889085259</v>
      </c>
      <c r="E14" s="200">
        <f t="shared" ref="E14:M14" si="5">IF(E13&gt;0,E13*0.15,0)</f>
        <v>17676.393313978992</v>
      </c>
      <c r="F14" s="200">
        <f t="shared" si="5"/>
        <v>26355.052938019075</v>
      </c>
      <c r="G14" s="200">
        <f t="shared" si="5"/>
        <v>34877.388901364691</v>
      </c>
      <c r="H14" s="200">
        <f t="shared" si="5"/>
        <v>43493.673776820928</v>
      </c>
      <c r="I14" s="200">
        <f t="shared" si="5"/>
        <v>52185.720383960703</v>
      </c>
      <c r="J14" s="200">
        <f t="shared" si="5"/>
        <v>61077.573570753324</v>
      </c>
      <c r="K14" s="200">
        <f t="shared" si="5"/>
        <v>70195.359884344813</v>
      </c>
      <c r="L14" s="200">
        <f t="shared" si="5"/>
        <v>79455.379841787086</v>
      </c>
      <c r="M14" s="200">
        <f t="shared" si="5"/>
        <v>88992.144686386309</v>
      </c>
    </row>
    <row r="15" spans="2:13">
      <c r="B15" s="130" t="s">
        <v>197</v>
      </c>
      <c r="C15" s="200"/>
      <c r="D15" s="200">
        <f>D13-D14</f>
        <v>4623.1683537148319</v>
      </c>
      <c r="E15" s="200">
        <f t="shared" ref="E15:M15" si="6">E13-E14</f>
        <v>100166.2287792143</v>
      </c>
      <c r="F15" s="200">
        <f t="shared" si="6"/>
        <v>149345.29998210809</v>
      </c>
      <c r="G15" s="200">
        <f t="shared" si="6"/>
        <v>197638.53710773325</v>
      </c>
      <c r="H15" s="200">
        <f t="shared" si="6"/>
        <v>246464.15140198526</v>
      </c>
      <c r="I15" s="200">
        <f t="shared" si="6"/>
        <v>295719.08217577735</v>
      </c>
      <c r="J15" s="200">
        <f t="shared" si="6"/>
        <v>346106.25023426884</v>
      </c>
      <c r="K15" s="200">
        <f t="shared" si="6"/>
        <v>397773.70601128734</v>
      </c>
      <c r="L15" s="200">
        <f t="shared" si="6"/>
        <v>450247.15243679349</v>
      </c>
      <c r="M15" s="200">
        <f t="shared" si="6"/>
        <v>504288.81988952239</v>
      </c>
    </row>
    <row r="16" spans="2:13">
      <c r="B16" s="130" t="s">
        <v>198</v>
      </c>
      <c r="C16" s="200"/>
      <c r="D16" s="200">
        <f>IF(D15&gt;0,D15*0.25,0)</f>
        <v>1155.792088428708</v>
      </c>
      <c r="E16" s="200">
        <f t="shared" ref="E16:M16" si="7">IF(E15&gt;0,E15*0.25,0)</f>
        <v>25041.557194803576</v>
      </c>
      <c r="F16" s="200">
        <f t="shared" si="7"/>
        <v>37336.324995527022</v>
      </c>
      <c r="G16" s="200">
        <f t="shared" si="7"/>
        <v>49409.634276933313</v>
      </c>
      <c r="H16" s="200">
        <f t="shared" si="7"/>
        <v>61616.037850496316</v>
      </c>
      <c r="I16" s="200">
        <f t="shared" si="7"/>
        <v>73929.770543944338</v>
      </c>
      <c r="J16" s="200">
        <f t="shared" si="7"/>
        <v>86526.56255856721</v>
      </c>
      <c r="K16" s="200">
        <f t="shared" si="7"/>
        <v>99443.426502821836</v>
      </c>
      <c r="L16" s="200">
        <f t="shared" si="7"/>
        <v>112561.78810919837</v>
      </c>
      <c r="M16" s="200">
        <f t="shared" si="7"/>
        <v>126072.2049723806</v>
      </c>
    </row>
    <row r="17" spans="2:13">
      <c r="B17" s="131" t="s">
        <v>183</v>
      </c>
      <c r="C17" s="200"/>
      <c r="D17" s="201">
        <f>D15-D16</f>
        <v>3467.3762652861242</v>
      </c>
      <c r="E17" s="201">
        <f t="shared" ref="E17:M17" si="8">E15-E16</f>
        <v>75124.671584410724</v>
      </c>
      <c r="F17" s="201">
        <f t="shared" si="8"/>
        <v>112008.97498658107</v>
      </c>
      <c r="G17" s="201">
        <f t="shared" si="8"/>
        <v>148228.90283079993</v>
      </c>
      <c r="H17" s="201">
        <f t="shared" si="8"/>
        <v>184848.11355148896</v>
      </c>
      <c r="I17" s="201">
        <f t="shared" si="8"/>
        <v>221789.31163183303</v>
      </c>
      <c r="J17" s="201">
        <f t="shared" si="8"/>
        <v>259579.68767570163</v>
      </c>
      <c r="K17" s="201">
        <f t="shared" si="8"/>
        <v>298330.27950846549</v>
      </c>
      <c r="L17" s="201">
        <f t="shared" si="8"/>
        <v>337685.3643275951</v>
      </c>
      <c r="M17" s="201">
        <f t="shared" si="8"/>
        <v>378216.61491714179</v>
      </c>
    </row>
    <row r="18" spans="2:13">
      <c r="B18" s="130" t="s">
        <v>190</v>
      </c>
      <c r="C18" s="200"/>
      <c r="D18" s="200">
        <f>D12</f>
        <v>81767.717000000004</v>
      </c>
      <c r="E18" s="200">
        <f>E12</f>
        <v>81767.717000000004</v>
      </c>
      <c r="F18" s="200">
        <f t="shared" ref="F18:M18" si="9">F12</f>
        <v>81767.717000000004</v>
      </c>
      <c r="G18" s="200">
        <f t="shared" si="9"/>
        <v>80667.717000000004</v>
      </c>
      <c r="H18" s="200">
        <f t="shared" si="9"/>
        <v>80667.717000000004</v>
      </c>
      <c r="I18" s="200">
        <f t="shared" si="9"/>
        <v>80667.717000000004</v>
      </c>
      <c r="J18" s="200">
        <f t="shared" si="9"/>
        <v>80667.717000000004</v>
      </c>
      <c r="K18" s="200">
        <f t="shared" si="9"/>
        <v>80667.717000000004</v>
      </c>
      <c r="L18" s="200">
        <f t="shared" si="9"/>
        <v>80667.717000000004</v>
      </c>
      <c r="M18" s="200">
        <f t="shared" si="9"/>
        <v>80667.717000000004</v>
      </c>
    </row>
    <row r="19" spans="2:13">
      <c r="B19" s="130" t="s">
        <v>194</v>
      </c>
      <c r="C19" s="200">
        <f>-'INVERSION INICIAL'!K57</f>
        <v>-1828984.15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2:13">
      <c r="B20" s="130" t="s">
        <v>191</v>
      </c>
      <c r="C20" s="200">
        <f>'CAPITAL DE TRABAJO'!C7</f>
        <v>-6568.9876587314957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>
        <f>-C20</f>
        <v>6568.9876587314957</v>
      </c>
    </row>
    <row r="21" spans="2:13">
      <c r="B21" s="130" t="s">
        <v>193</v>
      </c>
      <c r="C21" s="200">
        <f>PRESTAMO!C7</f>
        <v>1284887.1963611119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2:13">
      <c r="B22" s="130" t="s">
        <v>192</v>
      </c>
      <c r="C22" s="200"/>
      <c r="D22" s="200">
        <f>PRESTAMO!H7</f>
        <v>76838.088001687691</v>
      </c>
      <c r="E22" s="200">
        <f>PRESTAMO!H8</f>
        <v>85290.277681873325</v>
      </c>
      <c r="F22" s="200">
        <f>PRESTAMO!H9</f>
        <v>94672.208226879418</v>
      </c>
      <c r="G22" s="200">
        <f>PRESTAMO!H10</f>
        <v>105086.15113183614</v>
      </c>
      <c r="H22" s="200">
        <f>PRESTAMO!H11</f>
        <v>116645.62775633812</v>
      </c>
      <c r="I22" s="200">
        <f>PRESTAMO!H12</f>
        <v>129476.6468095353</v>
      </c>
      <c r="J22" s="200">
        <f>PRESTAMO!H13</f>
        <v>143719.07795858418</v>
      </c>
      <c r="K22" s="200">
        <f>PRESTAMO!H14</f>
        <v>159528.17653402846</v>
      </c>
      <c r="L22" s="200">
        <f>PRESTAMO!H15</f>
        <v>177076.2759527716</v>
      </c>
      <c r="M22" s="200">
        <f>PRESTAMO!H16</f>
        <v>196554.66630757647</v>
      </c>
    </row>
    <row r="23" spans="2:13">
      <c r="B23" s="132" t="s">
        <v>262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>
        <f>'VALOR DE DESECHO'!H20</f>
        <v>718706.98</v>
      </c>
    </row>
    <row r="24" spans="2:13">
      <c r="B24" s="131" t="s">
        <v>199</v>
      </c>
      <c r="C24" s="200">
        <f>SUM(C19:C21)</f>
        <v>-550665.94129761937</v>
      </c>
      <c r="D24" s="200">
        <f>D17+D18-D22</f>
        <v>8397.0052635984321</v>
      </c>
      <c r="E24" s="200">
        <f t="shared" ref="E24:L24" si="10">E17+E18-E22</f>
        <v>71602.110902537388</v>
      </c>
      <c r="F24" s="200">
        <f t="shared" si="10"/>
        <v>99104.483759701659</v>
      </c>
      <c r="G24" s="200">
        <f t="shared" si="10"/>
        <v>123810.46869896378</v>
      </c>
      <c r="H24" s="200">
        <f t="shared" si="10"/>
        <v>148870.20279515086</v>
      </c>
      <c r="I24" s="200">
        <f t="shared" si="10"/>
        <v>172980.38182229773</v>
      </c>
      <c r="J24" s="200">
        <f t="shared" si="10"/>
        <v>196528.32671711745</v>
      </c>
      <c r="K24" s="200">
        <f t="shared" si="10"/>
        <v>219469.81997443704</v>
      </c>
      <c r="L24" s="200">
        <f t="shared" si="10"/>
        <v>241276.80537482351</v>
      </c>
      <c r="M24" s="200">
        <f>M17+M18+M20-M22+M23</f>
        <v>987605.63326829684</v>
      </c>
    </row>
    <row r="26" spans="2:13">
      <c r="E26" s="6"/>
    </row>
    <row r="27" spans="2:13">
      <c r="B27" s="95" t="s">
        <v>479</v>
      </c>
      <c r="C27" s="97">
        <f>TMAR!C15</f>
        <v>0.19931000000000004</v>
      </c>
    </row>
    <row r="28" spans="2:13">
      <c r="B28" s="96" t="s">
        <v>477</v>
      </c>
      <c r="C28" s="98">
        <f>(NPV(C27,D24:M24))+C24</f>
        <v>55317.543896206073</v>
      </c>
    </row>
    <row r="29" spans="2:13">
      <c r="B29" s="3" t="s">
        <v>478</v>
      </c>
      <c r="C29" s="97">
        <f>IRR(C24:M24)</f>
        <v>0.21703184595260183</v>
      </c>
      <c r="D29" s="98"/>
    </row>
    <row r="30" spans="2:13">
      <c r="E30" s="6"/>
      <c r="F30" s="6"/>
      <c r="G30" s="6"/>
      <c r="H30" s="6"/>
      <c r="I30" s="6"/>
      <c r="J30" s="6"/>
      <c r="K30" s="6"/>
      <c r="L30" s="6"/>
      <c r="M30" s="6"/>
    </row>
    <row r="31" spans="2:13">
      <c r="D31" s="6"/>
      <c r="E31" s="6"/>
      <c r="F31" s="6"/>
      <c r="G31" s="6"/>
      <c r="H31" s="6"/>
      <c r="I31" s="6"/>
      <c r="J31" s="6"/>
      <c r="K31" s="6"/>
      <c r="L31" s="6"/>
      <c r="M31" s="6"/>
    </row>
    <row r="33" spans="4:13"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1">
    <mergeCell ref="B2:M2"/>
  </mergeCells>
  <phoneticPr fontId="7" type="noConversion"/>
  <pageMargins left="0.75" right="0.75" top="1" bottom="1" header="0" footer="0"/>
  <headerFooter alignWithMargins="0"/>
  <ignoredErrors>
    <ignoredError sqref="E11:F11 H11 D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DEMANDA</vt:lpstr>
      <vt:lpstr>INVERSION INICIAL</vt:lpstr>
      <vt:lpstr>INGRESOS</vt:lpstr>
      <vt:lpstr>CAPITAL DE TRABAJO</vt:lpstr>
      <vt:lpstr>COSTOS OPERACIONALES</vt:lpstr>
      <vt:lpstr>COSTOS NO OPERACIONALES</vt:lpstr>
      <vt:lpstr>DEPRECIACIONES</vt:lpstr>
      <vt:lpstr>ESTADO DE PERDIDAS Y GANANCIAS</vt:lpstr>
      <vt:lpstr>FLUJO DE CAJA</vt:lpstr>
      <vt:lpstr>PRESTAMO</vt:lpstr>
      <vt:lpstr>VALOR DE DESECHO</vt:lpstr>
      <vt:lpstr>TMAR</vt:lpstr>
      <vt:lpstr>PAYBACK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silgivar</cp:lastModifiedBy>
  <dcterms:created xsi:type="dcterms:W3CDTF">2010-02-01T05:31:02Z</dcterms:created>
  <dcterms:modified xsi:type="dcterms:W3CDTF">2010-06-29T17:34:44Z</dcterms:modified>
</cp:coreProperties>
</file>