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785"/>
  </bookViews>
  <sheets>
    <sheet name="inversion inicial y gastos" sheetId="2" r:id="rId1"/>
    <sheet name="sueldos" sheetId="1" r:id="rId2"/>
    <sheet name="demanda" sheetId="17" r:id="rId3"/>
    <sheet name="CAPITAL DE TRABAJO" sheetId="5" r:id="rId4"/>
    <sheet name="TABLA AMORT" sheetId="11" r:id="rId5"/>
    <sheet name="VALOR DE DESECHO" sheetId="10" r:id="rId6"/>
    <sheet name="EE RR y flujo de caja" sheetId="12" r:id="rId7"/>
    <sheet name="PAYBACK" sheetId="16" r:id="rId8"/>
    <sheet name="CAPM" sheetId="7" r:id="rId9"/>
    <sheet name="CB_DATA_" sheetId="14" state="veryHidden" r:id="rId10"/>
    <sheet name="PUNTO DE EQUILIBRIO" sheetId="18" r:id="rId11"/>
  </sheets>
  <definedNames>
    <definedName name="CB_3fe51910ceda4514b26ca082990f2fb1" localSheetId="9" hidden="1">#N/A</definedName>
    <definedName name="CB_e1e2b6b0ac6747568c5c1613ae7d4f60" localSheetId="6" hidden="1">'EE RR y flujo de caja'!$C$38</definedName>
    <definedName name="CBWorkbookPriority" hidden="1">-1258193995</definedName>
    <definedName name="CBx_154128d2066b4a2d9201d3eab720a876" localSheetId="9" hidden="1">"'CB_DATA_'!$A$1"</definedName>
    <definedName name="CBx_497f7641deff49d9b348de32bdf3e697" localSheetId="9" hidden="1">"'COSTOS VARIA'!$A$1"</definedName>
    <definedName name="CBx_5d216f9435c44bde8913d9cab4381488" localSheetId="9" hidden="1">"'EE RR'!$A$1"</definedName>
    <definedName name="CBx_Sheet_Guid" localSheetId="9" hidden="1">"'154128d2-066b-4a2d-9201-d3eab720a876"</definedName>
    <definedName name="CBx_Sheet_Guid" localSheetId="6" hidden="1">"'5d216f94-35c4-4bde-8913-d9cab4381488"</definedName>
    <definedName name="CBx_StorageType" localSheetId="9" hidden="1">1</definedName>
    <definedName name="CBx_StorageType" localSheetId="6" hidden="1">1</definedName>
  </definedNames>
  <calcPr calcId="125725"/>
</workbook>
</file>

<file path=xl/calcChain.xml><?xml version="1.0" encoding="utf-8"?>
<calcChain xmlns="http://schemas.openxmlformats.org/spreadsheetml/2006/main">
  <c r="B26" i="17"/>
  <c r="B25"/>
  <c r="B24"/>
  <c r="J22" i="2"/>
  <c r="C12" i="18"/>
  <c r="C14" s="1"/>
  <c r="B12"/>
  <c r="B15"/>
  <c r="B6"/>
  <c r="B4"/>
  <c r="B14" i="17"/>
  <c r="D10"/>
  <c r="B8"/>
  <c r="D16" i="2"/>
  <c r="K30"/>
  <c r="B23" i="5"/>
  <c r="C20"/>
  <c r="C19"/>
  <c r="L31" i="2"/>
  <c r="K31"/>
  <c r="K13"/>
  <c r="J30"/>
  <c r="J29"/>
  <c r="J28"/>
  <c r="I41"/>
  <c r="J13"/>
  <c r="J6"/>
  <c r="D19" i="5"/>
  <c r="E19" s="1"/>
  <c r="F19" s="1"/>
  <c r="G19" s="1"/>
  <c r="J9" i="2"/>
  <c r="D23" i="5"/>
  <c r="E23" s="1"/>
  <c r="F23" s="1"/>
  <c r="G23" s="1"/>
  <c r="H23" s="1"/>
  <c r="I23" s="1"/>
  <c r="J23" s="1"/>
  <c r="K23" s="1"/>
  <c r="L23" s="1"/>
  <c r="M23" s="1"/>
  <c r="N23" s="1"/>
  <c r="N22"/>
  <c r="I30" i="2"/>
  <c r="I37"/>
  <c r="I36"/>
  <c r="I29"/>
  <c r="I28"/>
  <c r="I31"/>
  <c r="I34"/>
  <c r="B24" i="5"/>
  <c r="C24" s="1"/>
  <c r="D24" s="1"/>
  <c r="E24" s="1"/>
  <c r="F24" s="1"/>
  <c r="G24" s="1"/>
  <c r="H24" s="1"/>
  <c r="I24" s="1"/>
  <c r="J24" s="1"/>
  <c r="K24" s="1"/>
  <c r="L24" s="1"/>
  <c r="M24" s="1"/>
  <c r="N24" s="1"/>
  <c r="B21"/>
  <c r="C21"/>
  <c r="D21" s="1"/>
  <c r="E21" s="1"/>
  <c r="F21" s="1"/>
  <c r="G21" s="1"/>
  <c r="H21" s="1"/>
  <c r="I21" s="1"/>
  <c r="J21" s="1"/>
  <c r="K21" s="1"/>
  <c r="L21" s="1"/>
  <c r="M21" s="1"/>
  <c r="N21" s="1"/>
  <c r="J8" i="2"/>
  <c r="J7"/>
  <c r="I5"/>
  <c r="I4"/>
  <c r="I3"/>
  <c r="J3"/>
  <c r="K3"/>
  <c r="B18" i="5"/>
  <c r="C18" s="1"/>
  <c r="D18" s="1"/>
  <c r="E18" s="1"/>
  <c r="F18" s="1"/>
  <c r="G18" s="1"/>
  <c r="H18" s="1"/>
  <c r="I18" s="1"/>
  <c r="J18" s="1"/>
  <c r="K18" s="1"/>
  <c r="L18" s="1"/>
  <c r="M18" s="1"/>
  <c r="N18" s="1"/>
  <c r="B17"/>
  <c r="C17" s="1"/>
  <c r="J6" i="1"/>
  <c r="B11" i="7"/>
  <c r="B15" s="1"/>
  <c r="C37" i="12" s="1"/>
  <c r="B13" i="7"/>
  <c r="B11" i="17"/>
  <c r="B12"/>
  <c r="B19"/>
  <c r="B7" i="7"/>
  <c r="B14"/>
  <c r="F20" i="12"/>
  <c r="G20"/>
  <c r="H20"/>
  <c r="D7" i="1"/>
  <c r="F9" i="17"/>
  <c r="G9"/>
  <c r="F8"/>
  <c r="G8"/>
  <c r="F7"/>
  <c r="G7"/>
  <c r="D9"/>
  <c r="C6"/>
  <c r="B5"/>
  <c r="B7"/>
  <c r="K14" i="2"/>
  <c r="K9"/>
  <c r="D12" i="12"/>
  <c r="E12" s="1"/>
  <c r="F12" s="1"/>
  <c r="G12" s="1"/>
  <c r="H12" s="1"/>
  <c r="K11" i="2"/>
  <c r="L6" i="1"/>
  <c r="I6"/>
  <c r="I5"/>
  <c r="G6"/>
  <c r="G7"/>
  <c r="K8" i="2"/>
  <c r="D15" i="12"/>
  <c r="E15" s="1"/>
  <c r="F15" s="1"/>
  <c r="G15" s="1"/>
  <c r="H15" s="1"/>
  <c r="K7" i="2"/>
  <c r="D13" i="12"/>
  <c r="E13" s="1"/>
  <c r="F13" s="1"/>
  <c r="G13" s="1"/>
  <c r="H13" s="1"/>
  <c r="F10" i="17"/>
  <c r="L7" i="1"/>
  <c r="I8"/>
  <c r="J15" i="2"/>
  <c r="D13"/>
  <c r="C26"/>
  <c r="D12"/>
  <c r="D11"/>
  <c r="D9"/>
  <c r="D8"/>
  <c r="D7"/>
  <c r="D6"/>
  <c r="C25"/>
  <c r="D5"/>
  <c r="C24"/>
  <c r="D4"/>
  <c r="C23"/>
  <c r="D3"/>
  <c r="A8" i="1"/>
  <c r="C8"/>
  <c r="D4"/>
  <c r="D5"/>
  <c r="D8"/>
  <c r="B15" i="5"/>
  <c r="D6" i="1"/>
  <c r="F6"/>
  <c r="D3"/>
  <c r="K6"/>
  <c r="H6"/>
  <c r="K5"/>
  <c r="H4"/>
  <c r="K4"/>
  <c r="H3"/>
  <c r="J3"/>
  <c r="K3"/>
  <c r="G3"/>
  <c r="F4"/>
  <c r="G4"/>
  <c r="G8"/>
  <c r="G5"/>
  <c r="F3"/>
  <c r="J4"/>
  <c r="L4"/>
  <c r="B4" i="10"/>
  <c r="D4"/>
  <c r="F4" s="1"/>
  <c r="F24" i="2"/>
  <c r="E24"/>
  <c r="J31"/>
  <c r="E23"/>
  <c r="F23"/>
  <c r="E25"/>
  <c r="F25"/>
  <c r="D17" i="12"/>
  <c r="E17" s="1"/>
  <c r="F26" i="2"/>
  <c r="E26"/>
  <c r="C22"/>
  <c r="D14" i="12"/>
  <c r="E14" s="1"/>
  <c r="F14" s="1"/>
  <c r="G14" s="1"/>
  <c r="H14" s="1"/>
  <c r="K6" i="2"/>
  <c r="B16" i="5"/>
  <c r="C16"/>
  <c r="D16" s="1"/>
  <c r="D17" i="2"/>
  <c r="E22"/>
  <c r="E27"/>
  <c r="B25" i="5"/>
  <c r="C25" s="1"/>
  <c r="D25" s="1"/>
  <c r="E25" s="1"/>
  <c r="F25" s="1"/>
  <c r="G25" s="1"/>
  <c r="H25" s="1"/>
  <c r="I25" s="1"/>
  <c r="J25" s="1"/>
  <c r="K25" s="1"/>
  <c r="L25" s="1"/>
  <c r="M25" s="1"/>
  <c r="N25" s="1"/>
  <c r="B5" i="10"/>
  <c r="I5" s="1"/>
  <c r="F30" i="12" s="1"/>
  <c r="F22" i="2"/>
  <c r="D10" i="12"/>
  <c r="F27" i="2"/>
  <c r="D18" i="12"/>
  <c r="D5" i="10"/>
  <c r="F5" s="1"/>
  <c r="G5" s="1"/>
  <c r="E10" i="12"/>
  <c r="E18"/>
  <c r="F18" s="1"/>
  <c r="G18" s="1"/>
  <c r="H18" s="1"/>
  <c r="D16"/>
  <c r="D27" s="1"/>
  <c r="F10"/>
  <c r="G10"/>
  <c r="H10"/>
  <c r="C29"/>
  <c r="B14" i="18"/>
  <c r="C13"/>
  <c r="C16" s="1"/>
  <c r="C15"/>
  <c r="B13"/>
  <c r="B16" s="1"/>
  <c r="D16" s="1"/>
  <c r="J5" i="1"/>
  <c r="J8"/>
  <c r="F5"/>
  <c r="F8"/>
  <c r="D9" i="12"/>
  <c r="E9" s="1"/>
  <c r="F9" s="1"/>
  <c r="G9" s="1"/>
  <c r="H9" s="1"/>
  <c r="H5" i="1"/>
  <c r="L5"/>
  <c r="L3"/>
  <c r="K8"/>
  <c r="H8"/>
  <c r="L8"/>
  <c r="C15" i="5"/>
  <c r="B26"/>
  <c r="B7" s="1"/>
  <c r="B8" s="1"/>
  <c r="B27" i="17"/>
  <c r="G10"/>
  <c r="C4" i="5"/>
  <c r="D4"/>
  <c r="E4" s="1"/>
  <c r="B16" i="17"/>
  <c r="B21"/>
  <c r="B15"/>
  <c r="B20"/>
  <c r="D8" i="12"/>
  <c r="E8" s="1"/>
  <c r="K10" i="2"/>
  <c r="K15" s="1"/>
  <c r="D15" i="5"/>
  <c r="E15" s="1"/>
  <c r="H10" i="17"/>
  <c r="B17"/>
  <c r="B22"/>
  <c r="B28"/>
  <c r="B29"/>
  <c r="D6" i="12"/>
  <c r="E6"/>
  <c r="F6" s="1"/>
  <c r="G6" s="1"/>
  <c r="H6" s="1"/>
  <c r="G11" i="17"/>
  <c r="H11"/>
  <c r="B7" i="18"/>
  <c r="C6" s="1"/>
  <c r="D11" i="12"/>
  <c r="I11" i="17"/>
  <c r="C5" i="5"/>
  <c r="D5" s="1"/>
  <c r="H12" i="17"/>
  <c r="E11" i="12"/>
  <c r="F11" s="1"/>
  <c r="G11" s="1"/>
  <c r="H11" s="1"/>
  <c r="C6" i="5"/>
  <c r="D6" l="1"/>
  <c r="E5"/>
  <c r="F5" s="1"/>
  <c r="F15"/>
  <c r="F8" i="12"/>
  <c r="E7"/>
  <c r="E16" i="5"/>
  <c r="F16" s="1"/>
  <c r="G16" s="1"/>
  <c r="H16" s="1"/>
  <c r="I16" s="1"/>
  <c r="J16" s="1"/>
  <c r="K16" s="1"/>
  <c r="L16" s="1"/>
  <c r="M16" s="1"/>
  <c r="N16" s="1"/>
  <c r="E16" i="12"/>
  <c r="E27" s="1"/>
  <c r="F17"/>
  <c r="G4" i="10"/>
  <c r="G6" s="1"/>
  <c r="H33" i="12" s="1"/>
  <c r="D6" i="10"/>
  <c r="D17" i="5"/>
  <c r="E17" s="1"/>
  <c r="F17" s="1"/>
  <c r="G17" s="1"/>
  <c r="H17" s="1"/>
  <c r="I17" s="1"/>
  <c r="J17" s="1"/>
  <c r="K17" s="1"/>
  <c r="L17" s="1"/>
  <c r="M17" s="1"/>
  <c r="N17" s="1"/>
  <c r="C26"/>
  <c r="C7" s="1"/>
  <c r="I19"/>
  <c r="J19" s="1"/>
  <c r="K19" s="1"/>
  <c r="L19" s="1"/>
  <c r="M19" s="1"/>
  <c r="N19" s="1"/>
  <c r="H19"/>
  <c r="C8"/>
  <c r="E6"/>
  <c r="F4"/>
  <c r="C31" i="12"/>
  <c r="B9" i="5"/>
  <c r="C30" i="2" s="1"/>
  <c r="B5" i="18"/>
  <c r="B8" s="1"/>
  <c r="B9" s="1"/>
  <c r="D7" i="12"/>
  <c r="D19" s="1"/>
  <c r="B5" i="16" l="1"/>
  <c r="E4" i="11"/>
  <c r="G4" i="5"/>
  <c r="F6"/>
  <c r="F7" i="12"/>
  <c r="G8"/>
  <c r="E26" i="5"/>
  <c r="E7" s="1"/>
  <c r="H31" i="12"/>
  <c r="G17"/>
  <c r="F16"/>
  <c r="F27" s="1"/>
  <c r="G15" i="5"/>
  <c r="F26"/>
  <c r="F7" s="1"/>
  <c r="E8"/>
  <c r="C9"/>
  <c r="D26"/>
  <c r="D7" s="1"/>
  <c r="D8" s="1"/>
  <c r="D9" s="1"/>
  <c r="E19" i="12"/>
  <c r="H4" i="5" l="1"/>
  <c r="G6"/>
  <c r="E9"/>
  <c r="F19" i="12"/>
  <c r="F22" s="1"/>
  <c r="G26" i="5"/>
  <c r="G7" s="1"/>
  <c r="H15"/>
  <c r="H17" i="12"/>
  <c r="H16" s="1"/>
  <c r="H27" s="1"/>
  <c r="G16"/>
  <c r="G27" s="1"/>
  <c r="H8"/>
  <c r="H7" s="1"/>
  <c r="H19" s="1"/>
  <c r="H22" s="1"/>
  <c r="G7"/>
  <c r="G19" s="1"/>
  <c r="G22" s="1"/>
  <c r="D5" i="11"/>
  <c r="D21" i="12" s="1"/>
  <c r="D20" s="1"/>
  <c r="D22" s="1"/>
  <c r="B6" i="11"/>
  <c r="C32" i="12"/>
  <c r="C34" s="1"/>
  <c r="B5" i="11"/>
  <c r="F8" i="5"/>
  <c r="F9" s="1"/>
  <c r="D23" i="12" l="1"/>
  <c r="D24" s="1"/>
  <c r="D25" s="1"/>
  <c r="D26" s="1"/>
  <c r="H23"/>
  <c r="H26"/>
  <c r="H34" s="1"/>
  <c r="C10" i="16" s="1"/>
  <c r="H24" i="12"/>
  <c r="H25" s="1"/>
  <c r="H6" i="5"/>
  <c r="I4"/>
  <c r="B7" i="11"/>
  <c r="C5"/>
  <c r="G23" i="12"/>
  <c r="G24" s="1"/>
  <c r="G25" s="1"/>
  <c r="G26" s="1"/>
  <c r="G34" s="1"/>
  <c r="C9" i="16" s="1"/>
  <c r="H26" i="5"/>
  <c r="H7" s="1"/>
  <c r="I15"/>
  <c r="F23" i="12"/>
  <c r="F24" s="1"/>
  <c r="F25" s="1"/>
  <c r="F26" s="1"/>
  <c r="F34" s="1"/>
  <c r="C8" i="16" s="1"/>
  <c r="G8" i="5"/>
  <c r="G9" s="1"/>
  <c r="D34" i="12" l="1"/>
  <c r="D28"/>
  <c r="E5" i="11"/>
  <c r="H8" i="5"/>
  <c r="H9" s="1"/>
  <c r="J15"/>
  <c r="I26"/>
  <c r="I7" s="1"/>
  <c r="I6"/>
  <c r="J4"/>
  <c r="I8" l="1"/>
  <c r="I9" s="1"/>
  <c r="K15"/>
  <c r="J26"/>
  <c r="J7" s="1"/>
  <c r="D6" i="11"/>
  <c r="C6" i="16"/>
  <c r="K4" i="5"/>
  <c r="J6"/>
  <c r="J8" s="1"/>
  <c r="J9" s="1"/>
  <c r="E6" i="16" l="1"/>
  <c r="D6"/>
  <c r="L15" i="5"/>
  <c r="K26"/>
  <c r="K7" s="1"/>
  <c r="L4"/>
  <c r="K6"/>
  <c r="K8" s="1"/>
  <c r="K9" s="1"/>
  <c r="E21" i="12"/>
  <c r="E20" s="1"/>
  <c r="E22" s="1"/>
  <c r="C6" i="11"/>
  <c r="E23" i="12" l="1"/>
  <c r="E24" s="1"/>
  <c r="E25" s="1"/>
  <c r="E26" s="1"/>
  <c r="E34" s="1"/>
  <c r="L6" i="5"/>
  <c r="M4"/>
  <c r="M15"/>
  <c r="L26"/>
  <c r="L7" s="1"/>
  <c r="E28" i="12"/>
  <c r="E6" i="11"/>
  <c r="C7" i="16" l="1"/>
  <c r="C38" i="12"/>
  <c r="F39"/>
  <c r="F38"/>
  <c r="C39"/>
  <c r="N4" i="5"/>
  <c r="N6" s="1"/>
  <c r="M6"/>
  <c r="M8" s="1"/>
  <c r="M9" s="1"/>
  <c r="M26"/>
  <c r="M7" s="1"/>
  <c r="N15"/>
  <c r="N26" s="1"/>
  <c r="N7" s="1"/>
  <c r="L8"/>
  <c r="L9" s="1"/>
  <c r="E7" i="16" l="1"/>
  <c r="E8" s="1"/>
  <c r="E9" s="1"/>
  <c r="E10" s="1"/>
  <c r="D7"/>
  <c r="D8" s="1"/>
  <c r="D9" s="1"/>
  <c r="D10" s="1"/>
  <c r="N8" i="5"/>
  <c r="N9" s="1"/>
</calcChain>
</file>

<file path=xl/sharedStrings.xml><?xml version="1.0" encoding="utf-8"?>
<sst xmlns="http://schemas.openxmlformats.org/spreadsheetml/2006/main" count="309" uniqueCount="236">
  <si>
    <t>Gerente general</t>
  </si>
  <si>
    <t>Secretaria Ejecutiva</t>
  </si>
  <si>
    <t>TOTAL:</t>
  </si>
  <si>
    <t>Activo</t>
  </si>
  <si>
    <t>aporte patronal</t>
  </si>
  <si>
    <t>vacaciones</t>
  </si>
  <si>
    <t xml:space="preserve">sueldo </t>
  </si>
  <si>
    <t>por empleado</t>
  </si>
  <si>
    <t>mensual</t>
  </si>
  <si>
    <t>aporte</t>
  </si>
  <si>
    <t>patronal</t>
  </si>
  <si>
    <t>funciones que</t>
  </si>
  <si>
    <t>desempeñan</t>
  </si>
  <si>
    <t>No de</t>
  </si>
  <si>
    <t>personas</t>
  </si>
  <si>
    <t xml:space="preserve">fondos de </t>
  </si>
  <si>
    <t>reserva</t>
  </si>
  <si>
    <t xml:space="preserve">sueldo total </t>
  </si>
  <si>
    <t>anual</t>
  </si>
  <si>
    <t>13er</t>
  </si>
  <si>
    <t>sueldo</t>
  </si>
  <si>
    <t>14to</t>
  </si>
  <si>
    <t>TOTAL</t>
  </si>
  <si>
    <t>Método: Déficit Acumulado Maximo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</si>
  <si>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</si>
  <si>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</si>
  <si>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</si>
  <si>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</si>
  <si>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</si>
  <si>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</si>
  <si>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</si>
  <si>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</si>
  <si>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</si>
  <si>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</si>
  <si>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</si>
  <si>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</si>
  <si>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</si>
  <si>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Egreso Mensual</t>
  </si>
  <si>
    <t>Saldo Mensual</t>
  </si>
  <si>
    <t>Saldo Acumulado</t>
  </si>
  <si>
    <t>TMAR</t>
  </si>
  <si>
    <t>rf</t>
  </si>
  <si>
    <t>B</t>
  </si>
  <si>
    <t>rm</t>
  </si>
  <si>
    <t>RP Ecuador</t>
  </si>
  <si>
    <t>Ke</t>
  </si>
  <si>
    <t>Kd</t>
  </si>
  <si>
    <t>T</t>
  </si>
  <si>
    <t>L</t>
  </si>
  <si>
    <t>VALOR DE DESECHO: MÉTODO CONTABLE</t>
  </si>
  <si>
    <t>ACTIVOS</t>
  </si>
  <si>
    <t> VALOR DE COMPRA</t>
  </si>
  <si>
    <t> VIDA CONTABLE</t>
  </si>
  <si>
    <t>DEPRECIACIÓN ANUAL </t>
  </si>
  <si>
    <t>AÑOS DEPRECIANDOSE</t>
  </si>
  <si>
    <t>DEPRECIACIÓN ACUMULADA </t>
  </si>
  <si>
    <t>VALOR EN LIBROS </t>
  </si>
  <si>
    <t>Equio. Comp</t>
  </si>
  <si>
    <t>DEPRECIACIÓN ACUMULADA ($)</t>
  </si>
  <si>
    <t>VALOR DE DESECHO</t>
  </si>
  <si>
    <t>TABLA DE AMORTIZACIÓN : PRESTAMO</t>
  </si>
  <si>
    <t>PERIODO</t>
  </si>
  <si>
    <t>PAGO</t>
  </si>
  <si>
    <t>INTERÉS</t>
  </si>
  <si>
    <t>SALDO INSOLUTO</t>
  </si>
  <si>
    <t xml:space="preserve">TASA DE INTERÉS BANCARIA : </t>
  </si>
  <si>
    <t>Estado de Resultado y Flujo de Caja</t>
  </si>
  <si>
    <t>AÑOS</t>
  </si>
  <si>
    <t>(+) Ventas</t>
  </si>
  <si>
    <t>E</t>
  </si>
  <si>
    <t>GASTOS OPERACIONALES</t>
  </si>
  <si>
    <t>A</t>
  </si>
  <si>
    <t>(-) Gastos Administrativos</t>
  </si>
  <si>
    <t>D</t>
  </si>
  <si>
    <t>(-) Gastos de Servicios Basicos</t>
  </si>
  <si>
    <t>O</t>
  </si>
  <si>
    <t>(-) Gastos de Publicidad</t>
  </si>
  <si>
    <t>DEPRECIACIONES</t>
  </si>
  <si>
    <t>R</t>
  </si>
  <si>
    <t>U</t>
  </si>
  <si>
    <t>(=) UTILIDAD OPERATIVA($)</t>
  </si>
  <si>
    <t>GASTOS NO OPERATIVOS</t>
  </si>
  <si>
    <t>(-) Gastos Por Interés</t>
  </si>
  <si>
    <t>(-) Impuestos (25%)</t>
  </si>
  <si>
    <t>(=)UTILIDAD NETA</t>
  </si>
  <si>
    <t xml:space="preserve">(+) Depreciacion </t>
  </si>
  <si>
    <t>(-) Amortizacion</t>
  </si>
  <si>
    <t>(-) Inversión Inicial</t>
  </si>
  <si>
    <t>(-)(+) Capital de trabajo</t>
  </si>
  <si>
    <t>(+) Prestamo</t>
  </si>
  <si>
    <t>(+) Valor de Desecho</t>
  </si>
  <si>
    <t>(=) FLUJO DE CAJA ($)</t>
  </si>
  <si>
    <t>VAN</t>
  </si>
  <si>
    <t>TIR</t>
  </si>
  <si>
    <t>Payback</t>
  </si>
  <si>
    <t>FLUJO DE CAJA</t>
  </si>
  <si>
    <t>agentes de bienes raices</t>
  </si>
  <si>
    <t>oficial de informacion</t>
  </si>
  <si>
    <t>contadora externa</t>
  </si>
  <si>
    <t>Cant.</t>
  </si>
  <si>
    <t>Costo unitario</t>
  </si>
  <si>
    <t>Costo total</t>
  </si>
  <si>
    <t>computadoras</t>
  </si>
  <si>
    <t>impresoras</t>
  </si>
  <si>
    <t>escritorios</t>
  </si>
  <si>
    <t>sillas tipo secretaria</t>
  </si>
  <si>
    <t xml:space="preserve">teléfonos </t>
  </si>
  <si>
    <t>sillas de espera</t>
  </si>
  <si>
    <t>medidores de luz</t>
  </si>
  <si>
    <t>suministros de oficina</t>
  </si>
  <si>
    <t>dispensador de agua</t>
  </si>
  <si>
    <t>ventilador</t>
  </si>
  <si>
    <t>archivador</t>
  </si>
  <si>
    <t>pagina web</t>
  </si>
  <si>
    <t>publicidad</t>
  </si>
  <si>
    <t>internet</t>
  </si>
  <si>
    <t>luz</t>
  </si>
  <si>
    <t>agua</t>
  </si>
  <si>
    <t>alquileres</t>
  </si>
  <si>
    <t>activos requeridos e inversion inicial</t>
  </si>
  <si>
    <t>total</t>
  </si>
  <si>
    <t>parcial</t>
  </si>
  <si>
    <t>servicios básicos</t>
  </si>
  <si>
    <t>telefono</t>
  </si>
  <si>
    <t>sueldos</t>
  </si>
  <si>
    <t>rubro</t>
  </si>
  <si>
    <t>desglose de rubros</t>
  </si>
  <si>
    <t>Guayaquil</t>
  </si>
  <si>
    <t>El Oro</t>
  </si>
  <si>
    <t>Manabí</t>
  </si>
  <si>
    <t>alquiler</t>
  </si>
  <si>
    <t>mantenimiento pag web</t>
  </si>
  <si>
    <t>dominio pagina web</t>
  </si>
  <si>
    <t>movilizacion</t>
  </si>
  <si>
    <t>movilización</t>
  </si>
  <si>
    <t>total por mes</t>
  </si>
  <si>
    <t>teléfono</t>
  </si>
  <si>
    <t>activo</t>
  </si>
  <si>
    <t>total clientes por año</t>
  </si>
  <si>
    <t>total clientes por mes</t>
  </si>
  <si>
    <t>Ciudad</t>
  </si>
  <si>
    <t>población objetivo</t>
  </si>
  <si>
    <t>clientes reales Manabí (4.5%)</t>
  </si>
  <si>
    <t>clientes reales El Oro (1.4%)</t>
  </si>
  <si>
    <t>aceptación (86%)</t>
  </si>
  <si>
    <t>arriendan vivienda (75%)</t>
  </si>
  <si>
    <t>comparten con 1 persona(28%)</t>
  </si>
  <si>
    <t>comparten con 2 personas(48%)</t>
  </si>
  <si>
    <t>comparten con 3 personas(24%)</t>
  </si>
  <si>
    <t>total viviendas</t>
  </si>
  <si>
    <t>Número de viviendas por mes</t>
  </si>
  <si>
    <t>1 dormitorio ($150)</t>
  </si>
  <si>
    <t>2 dormitorios ($250)</t>
  </si>
  <si>
    <t>INGRESOS MENSUALES POR PROVEEDORES</t>
  </si>
  <si>
    <t>INGRESOS MENSUALES POR ESTUDIANTES</t>
  </si>
  <si>
    <t>INGRESO TOTAL MENSUAL</t>
  </si>
  <si>
    <t>diciembre</t>
  </si>
  <si>
    <t>gastos de constitucion</t>
  </si>
  <si>
    <t>guayaquil</t>
  </si>
  <si>
    <t>costo</t>
  </si>
  <si>
    <t>vida util</t>
  </si>
  <si>
    <t>dep. mensual</t>
  </si>
  <si>
    <t>dep. anual</t>
  </si>
  <si>
    <t>ingresos anuales</t>
  </si>
  <si>
    <t>Ingreso Guayaquil</t>
  </si>
  <si>
    <t>Ingreso provincias</t>
  </si>
  <si>
    <t>ingreso total</t>
  </si>
  <si>
    <t>inversion total</t>
  </si>
  <si>
    <t>banco del pichincha</t>
  </si>
  <si>
    <t>tasa</t>
  </si>
  <si>
    <t>pago mensual</t>
  </si>
  <si>
    <t>(-) Gastos de movilizacion</t>
  </si>
  <si>
    <t>(-) Gastos de alquiler</t>
  </si>
  <si>
    <t>(-) Aporte patronal</t>
  </si>
  <si>
    <t>AMORTIZACION</t>
  </si>
  <si>
    <t>(-)15%particip. Trabajadores</t>
  </si>
  <si>
    <t>(=) UTILID. ANTES IMPUESTOS</t>
  </si>
  <si>
    <t>(=)UTILIDAD DESPUES DE INTERESES</t>
  </si>
  <si>
    <t>crédito para  microempresarios</t>
  </si>
  <si>
    <t>S</t>
  </si>
  <si>
    <t>(-) reposición de eq. Computacion</t>
  </si>
  <si>
    <t>viviendas</t>
  </si>
  <si>
    <t>ingresos mes</t>
  </si>
  <si>
    <t>ing. Año</t>
  </si>
  <si>
    <t>ing. Provincias</t>
  </si>
  <si>
    <t>crecimiento</t>
  </si>
  <si>
    <t>(-) Gastos Varios(suministrs, pag web)</t>
  </si>
  <si>
    <t>CCPP</t>
  </si>
  <si>
    <t>CIUDAD</t>
  </si>
  <si>
    <t>Mueb y Eq Ofic</t>
  </si>
  <si>
    <t>inversion inicial</t>
  </si>
  <si>
    <t>flujo de caja acumulado</t>
  </si>
  <si>
    <t>recuperacion de la inversion</t>
  </si>
  <si>
    <t>sueldos y salarios</t>
  </si>
  <si>
    <t>depreciación</t>
  </si>
  <si>
    <t>tabla de depreciación</t>
  </si>
  <si>
    <t>61 colegios</t>
  </si>
  <si>
    <t>75 colegios</t>
  </si>
  <si>
    <t>visita 3 colegios diarios</t>
  </si>
  <si>
    <t>5000 volantes por provincia</t>
  </si>
  <si>
    <t>charla</t>
  </si>
  <si>
    <t>manabi</t>
  </si>
  <si>
    <t>el oro</t>
  </si>
  <si>
    <t>inicio de año</t>
  </si>
  <si>
    <t>4 clasificados semanales</t>
  </si>
  <si>
    <t>10000 volantes para provincias</t>
  </si>
  <si>
    <t>primeros 4 meses</t>
  </si>
  <si>
    <t>(-) Gasto en teléfono</t>
  </si>
  <si>
    <t>% de recuperacion</t>
  </si>
  <si>
    <t>recuperacion</t>
  </si>
  <si>
    <t>(-) Dep.muebles y Eq. De Oficina</t>
  </si>
  <si>
    <t>(-) Dep. Equipo de Computacion</t>
  </si>
  <si>
    <t>30 Afiches para univesidades</t>
  </si>
  <si>
    <t>entrega</t>
  </si>
  <si>
    <t>3000 volantes para universidades</t>
  </si>
  <si>
    <t>Charla</t>
  </si>
  <si>
    <t>Charlas Provincias</t>
  </si>
  <si>
    <t>Propagandas periodicos y TV (El Oro y Manabi)</t>
  </si>
  <si>
    <t>participación (3%)</t>
  </si>
  <si>
    <t>costos fijos</t>
  </si>
  <si>
    <t>Precio promedio</t>
  </si>
  <si>
    <t>3 dormitorios ($350)</t>
  </si>
  <si>
    <t>Costos Variables Unitarios</t>
  </si>
  <si>
    <t>participacion 70%</t>
  </si>
  <si>
    <t>PTO. EQUILIBRIO</t>
  </si>
  <si>
    <t>Provincias</t>
  </si>
  <si>
    <t>Total</t>
  </si>
  <si>
    <t>Cálculo Demanda Anual</t>
  </si>
  <si>
    <t>Punto de Equilibrio Anual</t>
  </si>
  <si>
    <t>Punto de Equilibrio Mensual</t>
  </si>
  <si>
    <t>precio</t>
  </si>
  <si>
    <t>ESTRATIFICACIÓN DEMANDA</t>
  </si>
  <si>
    <t>número de clientes</t>
  </si>
  <si>
    <t>DETALLE DE EGRESOS</t>
  </si>
  <si>
    <t>ing. Por mes</t>
  </si>
  <si>
    <t>gastos operativos</t>
  </si>
</sst>
</file>

<file path=xl/styles.xml><?xml version="1.0" encoding="utf-8"?>
<styleSheet xmlns="http://schemas.openxmlformats.org/spreadsheetml/2006/main">
  <numFmts count="11">
    <numFmt numFmtId="165" formatCode="&quot;$&quot;\ #,##0_);[Red]\(&quot;$&quot;\ #,##0\)"/>
    <numFmt numFmtId="173" formatCode="0.0"/>
    <numFmt numFmtId="180" formatCode="0;[Red]0"/>
    <numFmt numFmtId="181" formatCode="&quot;$&quot;\ #,##0.00"/>
    <numFmt numFmtId="189" formatCode="#,##0.0000"/>
    <numFmt numFmtId="192" formatCode="0.0%"/>
    <numFmt numFmtId="198" formatCode="[$$-300A]\ #.##0"/>
    <numFmt numFmtId="199" formatCode="[$$-300A]\ #.##0.000"/>
    <numFmt numFmtId="201" formatCode="[$$-300A]\ #.##0.00"/>
    <numFmt numFmtId="202" formatCode="[$$-240A]\ #.##0"/>
    <numFmt numFmtId="211" formatCode="[$$-300A]\ #.##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 tint="4.9989318521683403E-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rgb="FF000000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7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right"/>
    </xf>
    <xf numFmtId="9" fontId="0" fillId="0" borderId="0" xfId="0" applyNumberFormat="1"/>
    <xf numFmtId="0" fontId="4" fillId="0" borderId="0" xfId="0" applyFont="1" applyBorder="1"/>
    <xf numFmtId="2" fontId="0" fillId="0" borderId="0" xfId="0" applyNumberFormat="1"/>
    <xf numFmtId="0" fontId="8" fillId="0" borderId="0" xfId="0" applyFont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181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9" fillId="0" borderId="0" xfId="0" applyFont="1" applyFill="1" applyBorder="1" applyAlignment="1">
      <alignment horizontal="center"/>
    </xf>
    <xf numFmtId="4" fontId="0" fillId="0" borderId="0" xfId="0" applyNumberFormat="1"/>
    <xf numFmtId="4" fontId="7" fillId="0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7" xfId="0" applyNumberFormat="1" applyBorder="1" applyAlignment="1">
      <alignment horizontal="right"/>
    </xf>
    <xf numFmtId="0" fontId="0" fillId="0" borderId="0" xfId="0" applyBorder="1" applyAlignment="1"/>
    <xf numFmtId="0" fontId="10" fillId="2" borderId="4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2" fontId="7" fillId="0" borderId="3" xfId="0" applyNumberFormat="1" applyFont="1" applyBorder="1" applyAlignment="1">
      <alignment horizontal="right" vertical="top" wrapText="1"/>
    </xf>
    <xf numFmtId="2" fontId="7" fillId="0" borderId="9" xfId="0" applyNumberFormat="1" applyFont="1" applyBorder="1" applyAlignment="1">
      <alignment horizontal="right" vertical="top" wrapText="1"/>
    </xf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98" fontId="0" fillId="0" borderId="10" xfId="0" applyNumberFormat="1" applyBorder="1"/>
    <xf numFmtId="198" fontId="0" fillId="0" borderId="11" xfId="0" applyNumberFormat="1" applyBorder="1"/>
    <xf numFmtId="198" fontId="0" fillId="0" borderId="4" xfId="0" applyNumberFormat="1" applyBorder="1"/>
    <xf numFmtId="198" fontId="0" fillId="0" borderId="12" xfId="0" applyNumberFormat="1" applyBorder="1"/>
    <xf numFmtId="198" fontId="0" fillId="0" borderId="13" xfId="0" applyNumberFormat="1" applyBorder="1"/>
    <xf numFmtId="198" fontId="0" fillId="0" borderId="9" xfId="0" applyNumberFormat="1" applyBorder="1"/>
    <xf numFmtId="198" fontId="0" fillId="0" borderId="0" xfId="0" applyNumberFormat="1"/>
    <xf numFmtId="198" fontId="0" fillId="0" borderId="0" xfId="0" applyNumberFormat="1" applyBorder="1"/>
    <xf numFmtId="198" fontId="5" fillId="0" borderId="1" xfId="0" applyNumberFormat="1" applyFont="1" applyBorder="1" applyAlignment="1">
      <alignment vertical="center"/>
    </xf>
    <xf numFmtId="201" fontId="0" fillId="0" borderId="0" xfId="0" applyNumberFormat="1"/>
    <xf numFmtId="199" fontId="0" fillId="0" borderId="0" xfId="0" applyNumberFormat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6" xfId="0" applyFill="1" applyBorder="1"/>
    <xf numFmtId="0" fontId="0" fillId="0" borderId="17" xfId="0" applyFill="1" applyBorder="1"/>
    <xf numFmtId="0" fontId="0" fillId="0" borderId="8" xfId="0" applyBorder="1"/>
    <xf numFmtId="0" fontId="0" fillId="0" borderId="17" xfId="0" applyBorder="1"/>
    <xf numFmtId="0" fontId="0" fillId="0" borderId="10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/>
    <xf numFmtId="202" fontId="0" fillId="0" borderId="13" xfId="0" applyNumberFormat="1" applyBorder="1"/>
    <xf numFmtId="202" fontId="0" fillId="0" borderId="11" xfId="0" applyNumberFormat="1" applyBorder="1"/>
    <xf numFmtId="0" fontId="0" fillId="0" borderId="14" xfId="0" applyBorder="1"/>
    <xf numFmtId="2" fontId="0" fillId="0" borderId="2" xfId="0" applyNumberFormat="1" applyBorder="1"/>
    <xf numFmtId="1" fontId="0" fillId="0" borderId="14" xfId="0" applyNumberFormat="1" applyBorder="1"/>
    <xf numFmtId="1" fontId="0" fillId="0" borderId="3" xfId="0" applyNumberFormat="1" applyBorder="1"/>
    <xf numFmtId="1" fontId="0" fillId="0" borderId="2" xfId="0" applyNumberFormat="1" applyBorder="1"/>
    <xf numFmtId="1" fontId="0" fillId="0" borderId="0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1" xfId="0" applyNumberFormat="1" applyBorder="1"/>
    <xf numFmtId="1" fontId="0" fillId="0" borderId="4" xfId="0" applyNumberFormat="1" applyBorder="1"/>
    <xf numFmtId="0" fontId="4" fillId="3" borderId="14" xfId="0" applyFont="1" applyFill="1" applyBorder="1" applyAlignment="1">
      <alignment horizontal="center"/>
    </xf>
    <xf numFmtId="0" fontId="0" fillId="0" borderId="15" xfId="0" applyFill="1" applyBorder="1"/>
    <xf numFmtId="0" fontId="4" fillId="0" borderId="14" xfId="0" applyFont="1" applyFill="1" applyBorder="1" applyAlignment="1">
      <alignment horizontal="center"/>
    </xf>
    <xf numFmtId="180" fontId="0" fillId="0" borderId="0" xfId="0" applyNumberFormat="1" applyFill="1" applyBorder="1" applyAlignment="1">
      <alignment horizontal="center"/>
    </xf>
    <xf numFmtId="180" fontId="0" fillId="0" borderId="8" xfId="0" applyNumberFormat="1" applyFill="1" applyBorder="1" applyAlignment="1">
      <alignment horizontal="center"/>
    </xf>
    <xf numFmtId="1" fontId="0" fillId="0" borderId="9" xfId="0" applyNumberFormat="1" applyBorder="1"/>
    <xf numFmtId="0" fontId="2" fillId="0" borderId="0" xfId="1" applyAlignment="1" applyProtection="1"/>
    <xf numFmtId="0" fontId="4" fillId="0" borderId="14" xfId="0" applyFont="1" applyBorder="1"/>
    <xf numFmtId="181" fontId="12" fillId="0" borderId="0" xfId="0" applyNumberFormat="1" applyFont="1" applyBorder="1" applyAlignment="1">
      <alignment horizontal="right"/>
    </xf>
    <xf numFmtId="4" fontId="0" fillId="0" borderId="1" xfId="0" applyNumberFormat="1" applyFill="1" applyBorder="1"/>
    <xf numFmtId="4" fontId="0" fillId="0" borderId="1" xfId="0" applyNumberFormat="1" applyFill="1" applyBorder="1" applyAlignment="1">
      <alignment horizontal="right"/>
    </xf>
    <xf numFmtId="4" fontId="0" fillId="0" borderId="6" xfId="0" applyNumberFormat="1" applyFill="1" applyBorder="1"/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/>
    <xf numFmtId="2" fontId="8" fillId="0" borderId="1" xfId="0" applyNumberFormat="1" applyFont="1" applyFill="1" applyBorder="1" applyAlignment="1">
      <alignment horizontal="right"/>
    </xf>
    <xf numFmtId="0" fontId="12" fillId="0" borderId="0" xfId="0" applyFont="1" applyFill="1" applyBorder="1"/>
    <xf numFmtId="1" fontId="0" fillId="0" borderId="10" xfId="0" applyNumberFormat="1" applyBorder="1"/>
    <xf numFmtId="0" fontId="13" fillId="3" borderId="1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98" fontId="13" fillId="3" borderId="1" xfId="0" applyNumberFormat="1" applyFont="1" applyFill="1" applyBorder="1" applyAlignment="1">
      <alignment vertical="center"/>
    </xf>
    <xf numFmtId="0" fontId="4" fillId="3" borderId="3" xfId="0" applyFont="1" applyFill="1" applyBorder="1"/>
    <xf numFmtId="0" fontId="7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4" fillId="0" borderId="16" xfId="0" applyFont="1" applyBorder="1"/>
    <xf numFmtId="10" fontId="0" fillId="0" borderId="9" xfId="0" applyNumberFormat="1" applyBorder="1"/>
    <xf numFmtId="10" fontId="0" fillId="0" borderId="3" xfId="0" applyNumberFormat="1" applyBorder="1"/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/>
    <xf numFmtId="0" fontId="4" fillId="4" borderId="14" xfId="0" applyFont="1" applyFill="1" applyBorder="1" applyAlignment="1"/>
    <xf numFmtId="0" fontId="4" fillId="4" borderId="2" xfId="0" applyFont="1" applyFill="1" applyBorder="1" applyAlignment="1">
      <alignment horizontal="center"/>
    </xf>
    <xf numFmtId="198" fontId="4" fillId="4" borderId="3" xfId="0" applyNumberFormat="1" applyFont="1" applyFill="1" applyBorder="1" applyAlignment="1">
      <alignment horizontal="center"/>
    </xf>
    <xf numFmtId="198" fontId="4" fillId="4" borderId="3" xfId="0" applyNumberFormat="1" applyFont="1" applyFill="1" applyBorder="1"/>
    <xf numFmtId="198" fontId="4" fillId="4" borderId="2" xfId="0" applyNumberFormat="1" applyFont="1" applyFill="1" applyBorder="1"/>
    <xf numFmtId="0" fontId="6" fillId="4" borderId="1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4" fillId="4" borderId="14" xfId="0" applyFont="1" applyFill="1" applyBorder="1"/>
    <xf numFmtId="0" fontId="15" fillId="0" borderId="0" xfId="0" applyFont="1"/>
    <xf numFmtId="0" fontId="15" fillId="0" borderId="0" xfId="0" applyFont="1" applyAlignment="1"/>
    <xf numFmtId="0" fontId="0" fillId="0" borderId="0" xfId="0" applyFont="1"/>
    <xf numFmtId="2" fontId="16" fillId="0" borderId="4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0" fontId="16" fillId="0" borderId="13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49" fontId="12" fillId="3" borderId="18" xfId="0" applyNumberFormat="1" applyFont="1" applyFill="1" applyBorder="1" applyAlignment="1">
      <alignment horizontal="right"/>
    </xf>
    <xf numFmtId="0" fontId="18" fillId="3" borderId="5" xfId="0" applyFont="1" applyFill="1" applyBorder="1"/>
    <xf numFmtId="0" fontId="8" fillId="3" borderId="1" xfId="0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right"/>
    </xf>
    <xf numFmtId="0" fontId="12" fillId="4" borderId="5" xfId="0" applyFont="1" applyFill="1" applyBorder="1"/>
    <xf numFmtId="0" fontId="8" fillId="4" borderId="1" xfId="0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right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9" fillId="5" borderId="11" xfId="0" applyFont="1" applyFill="1" applyBorder="1"/>
    <xf numFmtId="0" fontId="19" fillId="5" borderId="11" xfId="0" applyFont="1" applyFill="1" applyBorder="1" applyAlignment="1">
      <alignment horizontal="center"/>
    </xf>
    <xf numFmtId="0" fontId="9" fillId="5" borderId="4" xfId="0" applyFont="1" applyFill="1" applyBorder="1"/>
    <xf numFmtId="0" fontId="4" fillId="3" borderId="21" xfId="0" applyFont="1" applyFill="1" applyBorder="1"/>
    <xf numFmtId="4" fontId="4" fillId="3" borderId="19" xfId="0" applyNumberFormat="1" applyFont="1" applyFill="1" applyBorder="1"/>
    <xf numFmtId="4" fontId="4" fillId="3" borderId="22" xfId="0" applyNumberFormat="1" applyFont="1" applyFill="1" applyBorder="1"/>
    <xf numFmtId="4" fontId="4" fillId="0" borderId="19" xfId="0" applyNumberFormat="1" applyFont="1" applyFill="1" applyBorder="1"/>
    <xf numFmtId="4" fontId="4" fillId="0" borderId="22" xfId="0" applyNumberFormat="1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4" fontId="0" fillId="0" borderId="25" xfId="0" applyNumberFormat="1" applyFill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2" fontId="8" fillId="0" borderId="18" xfId="0" applyNumberFormat="1" applyFont="1" applyBorder="1" applyAlignment="1">
      <alignment horizontal="right"/>
    </xf>
    <xf numFmtId="0" fontId="12" fillId="4" borderId="26" xfId="0" applyFont="1" applyFill="1" applyBorder="1"/>
    <xf numFmtId="181" fontId="12" fillId="0" borderId="27" xfId="0" applyNumberFormat="1" applyFont="1" applyBorder="1" applyAlignment="1">
      <alignment horizontal="right"/>
    </xf>
    <xf numFmtId="181" fontId="12" fillId="0" borderId="28" xfId="0" applyNumberFormat="1" applyFont="1" applyBorder="1" applyAlignment="1">
      <alignment horizontal="right"/>
    </xf>
    <xf numFmtId="0" fontId="4" fillId="4" borderId="20" xfId="0" applyFont="1" applyFill="1" applyBorder="1" applyAlignment="1">
      <alignment horizontal="center"/>
    </xf>
    <xf numFmtId="0" fontId="4" fillId="0" borderId="2" xfId="0" applyFont="1" applyBorder="1"/>
    <xf numFmtId="2" fontId="7" fillId="0" borderId="9" xfId="0" applyNumberFormat="1" applyFont="1" applyBorder="1" applyAlignment="1">
      <alignment horizontal="center" vertical="top" wrapText="1"/>
    </xf>
    <xf numFmtId="198" fontId="0" fillId="0" borderId="11" xfId="0" applyNumberFormat="1" applyBorder="1" applyAlignment="1">
      <alignment horizontal="right"/>
    </xf>
    <xf numFmtId="165" fontId="0" fillId="0" borderId="4" xfId="0" applyNumberFormat="1" applyFill="1" applyBorder="1" applyAlignment="1">
      <alignment horizontal="right"/>
    </xf>
    <xf numFmtId="0" fontId="20" fillId="0" borderId="0" xfId="0" applyFont="1"/>
    <xf numFmtId="0" fontId="20" fillId="0" borderId="0" xfId="0" applyFont="1" applyFill="1" applyBorder="1" applyAlignment="1"/>
    <xf numFmtId="173" fontId="0" fillId="0" borderId="0" xfId="0" applyNumberFormat="1"/>
    <xf numFmtId="0" fontId="4" fillId="0" borderId="15" xfId="0" applyFont="1" applyBorder="1"/>
    <xf numFmtId="0" fontId="4" fillId="0" borderId="17" xfId="0" applyFont="1" applyBorder="1"/>
    <xf numFmtId="0" fontId="10" fillId="2" borderId="3" xfId="0" applyFont="1" applyFill="1" applyBorder="1"/>
    <xf numFmtId="9" fontId="0" fillId="0" borderId="10" xfId="0" applyNumberFormat="1" applyBorder="1"/>
    <xf numFmtId="9" fontId="0" fillId="0" borderId="4" xfId="0" applyNumberFormat="1" applyBorder="1"/>
    <xf numFmtId="3" fontId="21" fillId="0" borderId="0" xfId="0" applyNumberFormat="1" applyFont="1"/>
    <xf numFmtId="198" fontId="8" fillId="0" borderId="1" xfId="0" applyNumberFormat="1" applyFont="1" applyBorder="1" applyAlignment="1">
      <alignment horizontal="right"/>
    </xf>
    <xf numFmtId="0" fontId="3" fillId="0" borderId="0" xfId="0" applyFont="1"/>
    <xf numFmtId="211" fontId="0" fillId="0" borderId="2" xfId="0" applyNumberFormat="1" applyBorder="1"/>
    <xf numFmtId="198" fontId="0" fillId="4" borderId="2" xfId="0" applyNumberFormat="1" applyFill="1" applyBorder="1"/>
    <xf numFmtId="211" fontId="0" fillId="4" borderId="3" xfId="0" applyNumberForma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89" fontId="0" fillId="0" borderId="0" xfId="0" applyNumberFormat="1" applyBorder="1"/>
    <xf numFmtId="0" fontId="22" fillId="4" borderId="3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0" fillId="4" borderId="3" xfId="0" applyFill="1" applyBorder="1"/>
    <xf numFmtId="1" fontId="0" fillId="4" borderId="2" xfId="0" applyNumberFormat="1" applyFill="1" applyBorder="1"/>
    <xf numFmtId="0" fontId="23" fillId="0" borderId="4" xfId="0" applyFont="1" applyBorder="1"/>
    <xf numFmtId="10" fontId="23" fillId="0" borderId="9" xfId="0" applyNumberFormat="1" applyFont="1" applyBorder="1" applyAlignment="1">
      <alignment horizontal="right"/>
    </xf>
    <xf numFmtId="2" fontId="23" fillId="0" borderId="9" xfId="0" applyNumberFormat="1" applyFont="1" applyBorder="1" applyAlignment="1">
      <alignment horizontal="right"/>
    </xf>
    <xf numFmtId="9" fontId="4" fillId="4" borderId="0" xfId="0" applyNumberFormat="1" applyFont="1" applyFill="1" applyAlignment="1">
      <alignment horizontal="right"/>
    </xf>
    <xf numFmtId="2" fontId="0" fillId="0" borderId="13" xfId="0" applyNumberFormat="1" applyFill="1" applyBorder="1"/>
    <xf numFmtId="10" fontId="1" fillId="0" borderId="9" xfId="2" applyNumberFormat="1" applyFont="1" applyFill="1" applyBorder="1" applyAlignment="1">
      <alignment horizontal="center"/>
    </xf>
    <xf numFmtId="10" fontId="7" fillId="0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right"/>
    </xf>
    <xf numFmtId="0" fontId="4" fillId="4" borderId="11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2" fontId="0" fillId="0" borderId="13" xfId="0" applyNumberFormat="1" applyBorder="1"/>
    <xf numFmtId="2" fontId="0" fillId="0" borderId="9" xfId="0" applyNumberFormat="1" applyBorder="1"/>
    <xf numFmtId="9" fontId="0" fillId="0" borderId="16" xfId="0" applyNumberFormat="1" applyBorder="1" applyAlignment="1">
      <alignment horizontal="left" indent="7"/>
    </xf>
    <xf numFmtId="1" fontId="0" fillId="4" borderId="3" xfId="0" applyNumberFormat="1" applyFill="1" applyBorder="1"/>
    <xf numFmtId="0" fontId="4" fillId="4" borderId="14" xfId="0" applyFont="1" applyFill="1" applyBorder="1" applyAlignment="1">
      <alignment horizontal="left" indent="7"/>
    </xf>
    <xf numFmtId="0" fontId="24" fillId="4" borderId="1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211" fontId="0" fillId="4" borderId="4" xfId="0" applyNumberFormat="1" applyFill="1" applyBorder="1"/>
    <xf numFmtId="0" fontId="7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211" fontId="7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16" fillId="0" borderId="0" xfId="0" applyFont="1"/>
    <xf numFmtId="0" fontId="16" fillId="4" borderId="17" xfId="0" applyFont="1" applyFill="1" applyBorder="1"/>
    <xf numFmtId="211" fontId="16" fillId="4" borderId="8" xfId="0" applyNumberFormat="1" applyFont="1" applyFill="1" applyBorder="1"/>
    <xf numFmtId="211" fontId="16" fillId="4" borderId="4" xfId="0" applyNumberFormat="1" applyFont="1" applyFill="1" applyBorder="1"/>
    <xf numFmtId="211" fontId="0" fillId="3" borderId="3" xfId="0" applyNumberFormat="1" applyFill="1" applyBorder="1"/>
    <xf numFmtId="211" fontId="0" fillId="0" borderId="0" xfId="0" applyNumberFormat="1"/>
    <xf numFmtId="211" fontId="4" fillId="0" borderId="3" xfId="0" applyNumberFormat="1" applyFont="1" applyBorder="1" applyAlignment="1">
      <alignment horizontal="center"/>
    </xf>
    <xf numFmtId="211" fontId="0" fillId="0" borderId="3" xfId="0" applyNumberFormat="1" applyBorder="1"/>
    <xf numFmtId="211" fontId="4" fillId="4" borderId="3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1" fontId="16" fillId="0" borderId="1" xfId="0" applyNumberFormat="1" applyFont="1" applyBorder="1"/>
    <xf numFmtId="0" fontId="16" fillId="0" borderId="30" xfId="0" applyFont="1" applyBorder="1"/>
    <xf numFmtId="1" fontId="16" fillId="0" borderId="31" xfId="0" applyNumberFormat="1" applyFont="1" applyBorder="1"/>
    <xf numFmtId="1" fontId="16" fillId="0" borderId="32" xfId="0" applyNumberFormat="1" applyFont="1" applyBorder="1"/>
    <xf numFmtId="0" fontId="16" fillId="0" borderId="23" xfId="0" applyFont="1" applyBorder="1"/>
    <xf numFmtId="1" fontId="16" fillId="0" borderId="6" xfId="0" applyNumberFormat="1" applyFont="1" applyBorder="1"/>
    <xf numFmtId="0" fontId="16" fillId="0" borderId="23" xfId="0" applyFont="1" applyFill="1" applyBorder="1"/>
    <xf numFmtId="0" fontId="16" fillId="0" borderId="24" xfId="0" applyFont="1" applyFill="1" applyBorder="1"/>
    <xf numFmtId="1" fontId="16" fillId="0" borderId="7" xfId="0" applyNumberFormat="1" applyFont="1" applyBorder="1"/>
    <xf numFmtId="1" fontId="16" fillId="0" borderId="25" xfId="0" applyNumberFormat="1" applyFont="1" applyBorder="1"/>
    <xf numFmtId="211" fontId="0" fillId="4" borderId="2" xfId="0" applyNumberFormat="1" applyFill="1" applyBorder="1"/>
    <xf numFmtId="192" fontId="1" fillId="0" borderId="2" xfId="2" applyNumberFormat="1" applyFont="1" applyBorder="1"/>
    <xf numFmtId="0" fontId="20" fillId="0" borderId="33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211" fontId="0" fillId="0" borderId="29" xfId="0" applyNumberFormat="1" applyBorder="1" applyAlignment="1">
      <alignment horizontal="center"/>
    </xf>
    <xf numFmtId="211" fontId="0" fillId="0" borderId="12" xfId="0" applyNumberFormat="1" applyBorder="1" applyAlignment="1">
      <alignment horizontal="center"/>
    </xf>
    <xf numFmtId="211" fontId="0" fillId="0" borderId="0" xfId="0" applyNumberFormat="1" applyBorder="1" applyAlignment="1">
      <alignment horizontal="center"/>
    </xf>
    <xf numFmtId="211" fontId="0" fillId="0" borderId="13" xfId="0" applyNumberFormat="1" applyBorder="1" applyAlignment="1">
      <alignment horizontal="center"/>
    </xf>
    <xf numFmtId="211" fontId="0" fillId="0" borderId="20" xfId="0" applyNumberFormat="1" applyBorder="1" applyAlignment="1">
      <alignment horizontal="center"/>
    </xf>
    <xf numFmtId="211" fontId="0" fillId="0" borderId="2" xfId="0" applyNumberFormat="1" applyBorder="1" applyAlignment="1">
      <alignment horizontal="center"/>
    </xf>
    <xf numFmtId="211" fontId="0" fillId="0" borderId="14" xfId="0" applyNumberFormat="1" applyBorder="1" applyAlignment="1">
      <alignment horizontal="center"/>
    </xf>
    <xf numFmtId="211" fontId="0" fillId="0" borderId="8" xfId="0" applyNumberFormat="1" applyBorder="1" applyAlignment="1">
      <alignment horizontal="center"/>
    </xf>
    <xf numFmtId="211" fontId="0" fillId="0" borderId="9" xfId="0" applyNumberFormat="1" applyBorder="1" applyAlignment="1">
      <alignment horizontal="center"/>
    </xf>
    <xf numFmtId="0" fontId="7" fillId="0" borderId="14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 wrapText="1"/>
    </xf>
    <xf numFmtId="0" fontId="25" fillId="4" borderId="14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34" xfId="0" applyFont="1" applyFill="1" applyBorder="1" applyAlignment="1">
      <alignment horizontal="center"/>
    </xf>
    <xf numFmtId="2" fontId="7" fillId="4" borderId="14" xfId="0" applyNumberFormat="1" applyFont="1" applyFill="1" applyBorder="1" applyAlignment="1">
      <alignment horizontal="justify" vertical="top" wrapText="1"/>
    </xf>
    <xf numFmtId="2" fontId="7" fillId="4" borderId="20" xfId="0" applyNumberFormat="1" applyFont="1" applyFill="1" applyBorder="1" applyAlignment="1">
      <alignment horizontal="justify" vertical="top" wrapText="1"/>
    </xf>
    <xf numFmtId="2" fontId="7" fillId="4" borderId="2" xfId="0" applyNumberFormat="1" applyFont="1" applyFill="1" applyBorder="1" applyAlignment="1">
      <alignment horizontal="justify" vertical="top" wrapText="1"/>
    </xf>
    <xf numFmtId="0" fontId="12" fillId="4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justify" vertical="justify" wrapText="1"/>
    </xf>
    <xf numFmtId="0" fontId="4" fillId="0" borderId="0" xfId="0" applyFont="1" applyAlignment="1">
      <alignment horizontal="center"/>
    </xf>
    <xf numFmtId="0" fontId="26" fillId="4" borderId="14" xfId="0" applyFont="1" applyFill="1" applyBorder="1" applyAlignment="1">
      <alignment horizontal="center" vertical="top" wrapText="1"/>
    </xf>
    <xf numFmtId="0" fontId="26" fillId="4" borderId="2" xfId="0" applyFont="1" applyFill="1" applyBorder="1" applyAlignment="1">
      <alignment horizontal="center" vertical="top" wrapText="1"/>
    </xf>
    <xf numFmtId="0" fontId="20" fillId="4" borderId="14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25</xdr:row>
      <xdr:rowOff>1</xdr:rowOff>
    </xdr:from>
    <xdr:to>
      <xdr:col>0</xdr:col>
      <xdr:colOff>259773</xdr:colOff>
      <xdr:row>34</xdr:row>
      <xdr:rowOff>8659</xdr:rowOff>
    </xdr:to>
    <xdr:sp macro="" textlink="">
      <xdr:nvSpPr>
        <xdr:cNvPr id="2" name="1 CuadroTexto"/>
        <xdr:cNvSpPr txBox="1"/>
      </xdr:nvSpPr>
      <xdr:spPr>
        <a:xfrm>
          <a:off x="8659" y="4849092"/>
          <a:ext cx="251114" cy="17404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rtlCol="0" anchor="ctr"/>
        <a:lstStyle/>
        <a:p>
          <a:r>
            <a:rPr lang="es-ES" sz="1100" b="1">
              <a:latin typeface="Arial" pitchFamily="34" charset="0"/>
              <a:cs typeface="Arial" pitchFamily="34" charset="0"/>
            </a:rPr>
            <a:t>FLUJO</a:t>
          </a:r>
          <a:r>
            <a:rPr lang="es-ES" sz="1100" b="1" baseline="0">
              <a:latin typeface="Arial" pitchFamily="34" charset="0"/>
              <a:cs typeface="Arial" pitchFamily="34" charset="0"/>
            </a:rPr>
            <a:t> DE CAJA</a:t>
          </a:r>
          <a:endParaRPr lang="es-E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A21" sqref="A21:F27"/>
    </sheetView>
  </sheetViews>
  <sheetFormatPr baseColWidth="10" defaultRowHeight="15"/>
  <cols>
    <col min="1" max="1" width="7.5703125" customWidth="1"/>
    <col min="2" max="2" width="22.28515625" customWidth="1"/>
    <col min="3" max="3" width="14.28515625" customWidth="1"/>
    <col min="4" max="4" width="13.28515625" customWidth="1"/>
    <col min="5" max="5" width="13.85546875" customWidth="1"/>
    <col min="6" max="6" width="12.28515625" customWidth="1"/>
    <col min="7" max="7" width="16.7109375" customWidth="1"/>
    <col min="8" max="8" width="30.140625" customWidth="1"/>
    <col min="9" max="9" width="11.85546875" customWidth="1"/>
    <col min="10" max="10" width="13.28515625" customWidth="1"/>
    <col min="11" max="11" width="11.28515625" customWidth="1"/>
    <col min="14" max="14" width="11.85546875" customWidth="1"/>
  </cols>
  <sheetData>
    <row r="1" spans="1:12" ht="27" customHeight="1" thickBot="1">
      <c r="A1" s="249" t="s">
        <v>119</v>
      </c>
      <c r="B1" s="249"/>
      <c r="C1" s="249"/>
      <c r="H1" s="177" t="s">
        <v>235</v>
      </c>
    </row>
    <row r="2" spans="1:12" ht="23.25" customHeight="1" thickBot="1">
      <c r="A2" s="119" t="s">
        <v>99</v>
      </c>
      <c r="B2" s="120" t="s">
        <v>3</v>
      </c>
      <c r="C2" s="121" t="s">
        <v>100</v>
      </c>
      <c r="D2" s="121" t="s">
        <v>101</v>
      </c>
      <c r="E2" s="20"/>
      <c r="H2" s="122" t="s">
        <v>125</v>
      </c>
      <c r="I2" s="120" t="s">
        <v>121</v>
      </c>
      <c r="J2" s="120" t="s">
        <v>135</v>
      </c>
      <c r="K2" s="123" t="s">
        <v>18</v>
      </c>
    </row>
    <row r="3" spans="1:12" ht="25.5" customHeight="1">
      <c r="A3" s="42">
        <v>5</v>
      </c>
      <c r="B3" s="42" t="s">
        <v>102</v>
      </c>
      <c r="C3" s="56">
        <v>504</v>
      </c>
      <c r="D3" s="56">
        <f>C3*A3</f>
        <v>2520</v>
      </c>
      <c r="E3" s="63"/>
      <c r="H3" s="67" t="s">
        <v>136</v>
      </c>
      <c r="I3" s="56">
        <f>+J22+J23+J24</f>
        <v>70</v>
      </c>
      <c r="J3" s="56">
        <f>+I3</f>
        <v>70</v>
      </c>
      <c r="K3" s="59">
        <f>+J3*12</f>
        <v>840</v>
      </c>
    </row>
    <row r="4" spans="1:12" ht="25.5" customHeight="1">
      <c r="A4" s="43">
        <v>3</v>
      </c>
      <c r="B4" s="43" t="s">
        <v>103</v>
      </c>
      <c r="C4" s="57">
        <v>60</v>
      </c>
      <c r="D4" s="57">
        <f>C4*A4</f>
        <v>180</v>
      </c>
      <c r="E4" s="63"/>
      <c r="H4" s="68" t="s">
        <v>116</v>
      </c>
      <c r="I4" s="57">
        <f>+L22+L23+L24</f>
        <v>37</v>
      </c>
      <c r="J4" s="57"/>
      <c r="K4" s="60"/>
    </row>
    <row r="5" spans="1:12" ht="25.5" customHeight="1">
      <c r="A5" s="43">
        <v>7</v>
      </c>
      <c r="B5" s="43" t="s">
        <v>104</v>
      </c>
      <c r="C5" s="57">
        <v>100</v>
      </c>
      <c r="D5" s="57">
        <f>+C5*A5</f>
        <v>700</v>
      </c>
      <c r="E5" s="63"/>
      <c r="H5" s="68" t="s">
        <v>117</v>
      </c>
      <c r="I5" s="57">
        <f>+K22+K23+K24</f>
        <v>15</v>
      </c>
      <c r="J5" s="57"/>
      <c r="K5" s="60"/>
    </row>
    <row r="6" spans="1:12" ht="25.5" customHeight="1">
      <c r="A6" s="43">
        <v>7</v>
      </c>
      <c r="B6" s="43" t="s">
        <v>105</v>
      </c>
      <c r="C6" s="57">
        <v>45</v>
      </c>
      <c r="D6" s="57">
        <f>+C6*A6</f>
        <v>315</v>
      </c>
      <c r="E6" s="63"/>
      <c r="H6" s="69" t="s">
        <v>122</v>
      </c>
      <c r="I6" s="43"/>
      <c r="J6" s="57">
        <f>+I5+I4</f>
        <v>52</v>
      </c>
      <c r="K6" s="60">
        <f>+J6*12</f>
        <v>624</v>
      </c>
    </row>
    <row r="7" spans="1:12" ht="25.5" customHeight="1">
      <c r="A7" s="43">
        <v>7</v>
      </c>
      <c r="B7" s="43" t="s">
        <v>106</v>
      </c>
      <c r="C7" s="57">
        <v>18</v>
      </c>
      <c r="D7" s="57">
        <f>+C7*A7</f>
        <v>126</v>
      </c>
      <c r="E7" s="63"/>
      <c r="H7" s="68" t="s">
        <v>118</v>
      </c>
      <c r="I7" s="57"/>
      <c r="J7" s="57">
        <f>+I22+I23+I24</f>
        <v>830</v>
      </c>
      <c r="K7" s="60">
        <f>+J7*12</f>
        <v>9960</v>
      </c>
    </row>
    <row r="8" spans="1:12" ht="23.25" customHeight="1">
      <c r="A8" s="43">
        <v>8</v>
      </c>
      <c r="B8" s="43" t="s">
        <v>107</v>
      </c>
      <c r="C8" s="57">
        <v>6</v>
      </c>
      <c r="D8" s="57">
        <f>+C8*A8</f>
        <v>48</v>
      </c>
      <c r="E8" s="63"/>
      <c r="H8" s="68" t="s">
        <v>115</v>
      </c>
      <c r="I8" s="57"/>
      <c r="J8" s="57">
        <f>+M22+M23+M24</f>
        <v>85</v>
      </c>
      <c r="K8" s="60">
        <f>+J8*12</f>
        <v>1020</v>
      </c>
    </row>
    <row r="9" spans="1:12" ht="23.25" customHeight="1">
      <c r="A9" s="43">
        <v>3</v>
      </c>
      <c r="B9" s="43" t="s">
        <v>108</v>
      </c>
      <c r="C9" s="57">
        <v>40</v>
      </c>
      <c r="D9" s="57">
        <f>+C9*A9</f>
        <v>120</v>
      </c>
      <c r="E9" s="63"/>
      <c r="H9" s="69" t="s">
        <v>134</v>
      </c>
      <c r="I9" s="43"/>
      <c r="J9" s="57">
        <f>+N22</f>
        <v>90</v>
      </c>
      <c r="K9" s="60">
        <f>+J9*12</f>
        <v>1080</v>
      </c>
    </row>
    <row r="10" spans="1:12" ht="23.25" customHeight="1">
      <c r="A10" s="43"/>
      <c r="B10" s="43" t="s">
        <v>109</v>
      </c>
      <c r="C10" s="57">
        <v>80</v>
      </c>
      <c r="D10" s="57">
        <v>80</v>
      </c>
      <c r="E10" s="63"/>
      <c r="H10" s="69" t="s">
        <v>124</v>
      </c>
      <c r="I10" s="43"/>
      <c r="J10" s="57"/>
      <c r="K10" s="60">
        <f>sueldos!L8</f>
        <v>44175</v>
      </c>
    </row>
    <row r="11" spans="1:12" ht="23.25" customHeight="1">
      <c r="A11" s="43">
        <v>1</v>
      </c>
      <c r="B11" s="43" t="s">
        <v>110</v>
      </c>
      <c r="C11" s="57">
        <v>50</v>
      </c>
      <c r="D11" s="57">
        <f>+C11*A11</f>
        <v>50</v>
      </c>
      <c r="E11" s="63"/>
      <c r="H11" s="69" t="s">
        <v>131</v>
      </c>
      <c r="I11" s="43"/>
      <c r="J11" s="78">
        <v>5</v>
      </c>
      <c r="K11" s="77">
        <f>+J11*12</f>
        <v>60</v>
      </c>
    </row>
    <row r="12" spans="1:12" ht="23.25" customHeight="1">
      <c r="A12" s="43">
        <v>1</v>
      </c>
      <c r="B12" s="43" t="s">
        <v>111</v>
      </c>
      <c r="C12" s="57">
        <v>18</v>
      </c>
      <c r="D12" s="57">
        <f>+C12*A12</f>
        <v>18</v>
      </c>
      <c r="E12" s="63"/>
      <c r="H12" s="69" t="s">
        <v>132</v>
      </c>
      <c r="I12" s="43"/>
      <c r="J12" s="78"/>
      <c r="K12" s="77">
        <v>36</v>
      </c>
    </row>
    <row r="13" spans="1:12" ht="23.25" customHeight="1">
      <c r="A13" s="43">
        <v>1</v>
      </c>
      <c r="B13" s="43" t="s">
        <v>112</v>
      </c>
      <c r="C13" s="57">
        <v>90</v>
      </c>
      <c r="D13" s="57">
        <f>+C13*A13</f>
        <v>90</v>
      </c>
      <c r="E13" s="63"/>
      <c r="H13" s="69" t="s">
        <v>114</v>
      </c>
      <c r="I13" s="43"/>
      <c r="J13" s="57">
        <f>7*4*4</f>
        <v>112</v>
      </c>
      <c r="K13" s="60">
        <f>+J13*12+J31+I31+K31+L31</f>
        <v>2982.333333333333</v>
      </c>
      <c r="L13" t="s">
        <v>204</v>
      </c>
    </row>
    <row r="14" spans="1:12" ht="23.25" customHeight="1" thickBot="1">
      <c r="A14" s="43"/>
      <c r="B14" s="74" t="s">
        <v>113</v>
      </c>
      <c r="C14" s="57"/>
      <c r="D14" s="57">
        <v>241</v>
      </c>
      <c r="E14" s="63"/>
      <c r="H14" s="70" t="s">
        <v>109</v>
      </c>
      <c r="I14" s="44"/>
      <c r="J14" s="58">
        <v>30</v>
      </c>
      <c r="K14" s="61">
        <f>+J14*12</f>
        <v>360</v>
      </c>
    </row>
    <row r="15" spans="1:12" ht="23.25" customHeight="1" thickBot="1">
      <c r="A15" s="43"/>
      <c r="B15" s="74" t="s">
        <v>114</v>
      </c>
      <c r="C15" s="57"/>
      <c r="D15" s="57">
        <v>3000</v>
      </c>
      <c r="E15" s="63" t="s">
        <v>217</v>
      </c>
      <c r="H15" s="253" t="s">
        <v>120</v>
      </c>
      <c r="I15" s="254"/>
      <c r="J15" s="125">
        <f>SUM(J6:J14)</f>
        <v>1204</v>
      </c>
      <c r="K15" s="126">
        <f>SUM(K6:K14)</f>
        <v>60297.333333333336</v>
      </c>
    </row>
    <row r="16" spans="1:12" ht="23.25" customHeight="1" thickBot="1">
      <c r="A16" s="44"/>
      <c r="B16" s="75" t="s">
        <v>157</v>
      </c>
      <c r="C16" s="58"/>
      <c r="D16" s="58">
        <f>500+660+250+250+1000</f>
        <v>2660</v>
      </c>
      <c r="E16" s="63"/>
      <c r="H16" s="11"/>
    </row>
    <row r="17" spans="1:14" ht="23.25" customHeight="1" thickBot="1">
      <c r="A17" s="250" t="s">
        <v>120</v>
      </c>
      <c r="B17" s="251"/>
      <c r="C17" s="252"/>
      <c r="D17" s="124">
        <f>SUM(D3:D16)</f>
        <v>10148</v>
      </c>
      <c r="E17" s="63"/>
    </row>
    <row r="18" spans="1:14" ht="23.25" customHeight="1">
      <c r="A18" s="11"/>
      <c r="B18" s="45"/>
      <c r="C18" s="45"/>
      <c r="D18" s="46"/>
    </row>
    <row r="19" spans="1:14">
      <c r="A19" s="10"/>
      <c r="B19" s="10"/>
      <c r="C19" s="10"/>
      <c r="D19" s="10"/>
    </row>
    <row r="20" spans="1:14" ht="23.25" customHeight="1" thickBot="1">
      <c r="A20" s="47"/>
      <c r="B20" s="178" t="s">
        <v>195</v>
      </c>
      <c r="C20" s="47"/>
      <c r="D20" s="47"/>
      <c r="H20" s="177" t="s">
        <v>126</v>
      </c>
    </row>
    <row r="21" spans="1:14" ht="19.5" customHeight="1" thickBot="1">
      <c r="A21" s="127"/>
      <c r="B21" s="128" t="s">
        <v>137</v>
      </c>
      <c r="C21" s="128" t="s">
        <v>159</v>
      </c>
      <c r="D21" s="129" t="s">
        <v>160</v>
      </c>
      <c r="E21" s="121" t="s">
        <v>161</v>
      </c>
      <c r="F21" s="130" t="s">
        <v>162</v>
      </c>
      <c r="H21" s="131" t="s">
        <v>188</v>
      </c>
      <c r="I21" s="120" t="s">
        <v>130</v>
      </c>
      <c r="J21" s="120" t="s">
        <v>123</v>
      </c>
      <c r="K21" s="172" t="s">
        <v>117</v>
      </c>
      <c r="L21" s="120" t="s">
        <v>116</v>
      </c>
      <c r="M21" s="172" t="s">
        <v>115</v>
      </c>
      <c r="N21" s="120" t="s">
        <v>133</v>
      </c>
    </row>
    <row r="22" spans="1:14" ht="19.5" customHeight="1">
      <c r="A22" s="43">
        <v>5</v>
      </c>
      <c r="B22" s="2" t="s">
        <v>102</v>
      </c>
      <c r="C22" s="175">
        <f>+D3</f>
        <v>2520</v>
      </c>
      <c r="D22" s="92">
        <v>3</v>
      </c>
      <c r="E22" s="87">
        <f>+C22/D22/12</f>
        <v>70</v>
      </c>
      <c r="F22" s="85">
        <f>+C22/D22</f>
        <v>840</v>
      </c>
      <c r="G22" s="48"/>
      <c r="H22" s="67" t="s">
        <v>127</v>
      </c>
      <c r="I22" s="42">
        <v>330</v>
      </c>
      <c r="J22" s="42">
        <f>25+25</f>
        <v>50</v>
      </c>
      <c r="K22" s="51">
        <v>5</v>
      </c>
      <c r="L22" s="73">
        <v>25</v>
      </c>
      <c r="M22" s="73">
        <v>35</v>
      </c>
      <c r="N22" s="73">
        <v>90</v>
      </c>
    </row>
    <row r="23" spans="1:14" ht="19.5" customHeight="1">
      <c r="A23" s="43">
        <v>3</v>
      </c>
      <c r="B23" s="2" t="s">
        <v>103</v>
      </c>
      <c r="C23" s="175">
        <f>+D4</f>
        <v>180</v>
      </c>
      <c r="D23" s="92">
        <v>3</v>
      </c>
      <c r="E23" s="87">
        <f>+C23/D23/12</f>
        <v>5</v>
      </c>
      <c r="F23" s="85">
        <f>+C23/D23</f>
        <v>60</v>
      </c>
      <c r="G23" s="48"/>
      <c r="H23" s="68" t="s">
        <v>128</v>
      </c>
      <c r="I23" s="43">
        <v>250</v>
      </c>
      <c r="J23" s="43">
        <v>10</v>
      </c>
      <c r="K23" s="52">
        <v>5</v>
      </c>
      <c r="L23" s="74">
        <v>6</v>
      </c>
      <c r="M23" s="74">
        <v>25</v>
      </c>
      <c r="N23" s="74"/>
    </row>
    <row r="24" spans="1:14" ht="19.5" customHeight="1" thickBot="1">
      <c r="A24" s="43">
        <v>7</v>
      </c>
      <c r="B24" s="2" t="s">
        <v>104</v>
      </c>
      <c r="C24" s="175">
        <f>+D5</f>
        <v>700</v>
      </c>
      <c r="D24" s="92">
        <v>10</v>
      </c>
      <c r="E24" s="87">
        <f>+C24/D24/12</f>
        <v>5.833333333333333</v>
      </c>
      <c r="F24" s="85">
        <f>+C24/D24</f>
        <v>70</v>
      </c>
      <c r="G24" s="48"/>
      <c r="H24" s="72" t="s">
        <v>129</v>
      </c>
      <c r="I24" s="44">
        <v>250</v>
      </c>
      <c r="J24" s="44">
        <v>10</v>
      </c>
      <c r="K24" s="53">
        <v>5</v>
      </c>
      <c r="L24" s="75">
        <v>6</v>
      </c>
      <c r="M24" s="75">
        <v>25</v>
      </c>
      <c r="N24" s="75"/>
    </row>
    <row r="25" spans="1:14" ht="19.5" customHeight="1">
      <c r="A25" s="43">
        <v>7</v>
      </c>
      <c r="B25" s="2" t="s">
        <v>105</v>
      </c>
      <c r="C25" s="175">
        <f>+D6</f>
        <v>315</v>
      </c>
      <c r="D25" s="92">
        <v>10</v>
      </c>
      <c r="E25" s="87">
        <f>+C25/D25/12</f>
        <v>2.625</v>
      </c>
      <c r="F25" s="85">
        <f>+C25/D25</f>
        <v>31.5</v>
      </c>
      <c r="G25" s="48"/>
    </row>
    <row r="26" spans="1:14" ht="19.5" customHeight="1" thickBot="1">
      <c r="A26" s="44">
        <v>1</v>
      </c>
      <c r="B26" s="71" t="s">
        <v>112</v>
      </c>
      <c r="C26" s="176">
        <f>+D13</f>
        <v>90</v>
      </c>
      <c r="D26" s="93">
        <v>10</v>
      </c>
      <c r="E26" s="88">
        <f>+C26/D26/12</f>
        <v>0.75</v>
      </c>
      <c r="F26" s="94">
        <f>+C26/D26</f>
        <v>9</v>
      </c>
      <c r="G26" s="48"/>
    </row>
    <row r="27" spans="1:14" ht="19.5" customHeight="1" thickBot="1">
      <c r="A27" s="250" t="s">
        <v>120</v>
      </c>
      <c r="B27" s="251"/>
      <c r="C27" s="251"/>
      <c r="D27" s="252"/>
      <c r="E27" s="190">
        <f>SUM(E22:E26)</f>
        <v>84.208333333333329</v>
      </c>
      <c r="F27" s="189">
        <f>SUM(F22:F26)</f>
        <v>1010.5</v>
      </c>
      <c r="H27" s="194" t="s">
        <v>203</v>
      </c>
      <c r="I27" s="195" t="s">
        <v>114</v>
      </c>
      <c r="J27" s="194" t="s">
        <v>134</v>
      </c>
      <c r="K27" s="194" t="s">
        <v>213</v>
      </c>
      <c r="L27" s="195" t="s">
        <v>215</v>
      </c>
    </row>
    <row r="28" spans="1:14" ht="18.75" customHeight="1">
      <c r="A28" s="11"/>
      <c r="B28" s="45"/>
      <c r="C28" s="46"/>
      <c r="D28" s="46"/>
      <c r="H28" s="180" t="s">
        <v>202</v>
      </c>
      <c r="I28" s="42">
        <f>30*5</f>
        <v>150</v>
      </c>
      <c r="J28" s="86">
        <f>10*I36</f>
        <v>203.33333333333331</v>
      </c>
      <c r="K28" s="67"/>
      <c r="L28" s="42">
        <v>300</v>
      </c>
    </row>
    <row r="29" spans="1:14" ht="17.25" customHeight="1" thickBot="1">
      <c r="A29" s="2"/>
      <c r="B29" s="2"/>
      <c r="C29" s="2"/>
      <c r="D29" s="2"/>
      <c r="H29" s="116" t="s">
        <v>201</v>
      </c>
      <c r="I29" s="43">
        <f>30*5</f>
        <v>150</v>
      </c>
      <c r="J29" s="52">
        <f>10*I37</f>
        <v>250</v>
      </c>
      <c r="K29" s="68"/>
      <c r="L29" s="43">
        <v>300</v>
      </c>
    </row>
    <row r="30" spans="1:14" ht="15.75" thickBot="1">
      <c r="B30" s="121" t="s">
        <v>167</v>
      </c>
      <c r="C30" s="80">
        <f>-(D17-'CAPITAL DE TRABAJO'!B9)</f>
        <v>-14764.208333333332</v>
      </c>
      <c r="H30" s="181" t="s">
        <v>158</v>
      </c>
      <c r="I30" s="44">
        <f>2*30</f>
        <v>60</v>
      </c>
      <c r="J30" s="53">
        <f>15*5</f>
        <v>75</v>
      </c>
      <c r="K30" s="72">
        <f>50*3</f>
        <v>150</v>
      </c>
      <c r="L30" s="44"/>
    </row>
    <row r="31" spans="1:14" ht="15.75" thickBot="1">
      <c r="H31" s="194" t="s">
        <v>120</v>
      </c>
      <c r="I31" s="190">
        <f>SUM(I28:I30)</f>
        <v>360</v>
      </c>
      <c r="J31" s="247">
        <f>SUM(J28:J30)</f>
        <v>528.33333333333326</v>
      </c>
      <c r="K31" s="190">
        <f>+K30</f>
        <v>150</v>
      </c>
      <c r="L31" s="216">
        <f>SUM(L28:L29)</f>
        <v>600</v>
      </c>
    </row>
    <row r="32" spans="1:14">
      <c r="H32" s="9"/>
      <c r="J32" s="48"/>
    </row>
    <row r="33" spans="7:10">
      <c r="J33" s="48"/>
    </row>
    <row r="34" spans="7:10">
      <c r="H34" t="s">
        <v>205</v>
      </c>
      <c r="I34">
        <f>30*10</f>
        <v>300</v>
      </c>
    </row>
    <row r="36" spans="7:10">
      <c r="G36" t="s">
        <v>128</v>
      </c>
      <c r="H36" t="s">
        <v>196</v>
      </c>
      <c r="I36" s="179">
        <f>61/3</f>
        <v>20.333333333333332</v>
      </c>
      <c r="J36" s="9" t="s">
        <v>198</v>
      </c>
    </row>
    <row r="37" spans="7:10">
      <c r="G37" t="s">
        <v>129</v>
      </c>
      <c r="H37" t="s">
        <v>197</v>
      </c>
      <c r="I37">
        <f>75/3</f>
        <v>25</v>
      </c>
    </row>
    <row r="38" spans="7:10">
      <c r="H38" t="s">
        <v>200</v>
      </c>
    </row>
    <row r="40" spans="7:10">
      <c r="H40" t="s">
        <v>199</v>
      </c>
    </row>
    <row r="41" spans="7:10">
      <c r="H41" t="s">
        <v>214</v>
      </c>
      <c r="I41">
        <f>30*6</f>
        <v>180</v>
      </c>
    </row>
    <row r="42" spans="7:10">
      <c r="H42" t="s">
        <v>212</v>
      </c>
    </row>
  </sheetData>
  <mergeCells count="4">
    <mergeCell ref="A1:C1"/>
    <mergeCell ref="A27:D27"/>
    <mergeCell ref="H15:I15"/>
    <mergeCell ref="A17:C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I23" sqref="I23"/>
    </sheetView>
  </sheetViews>
  <sheetFormatPr baseColWidth="10" defaultRowHeight="15"/>
  <cols>
    <col min="1" max="1" width="27.5703125" customWidth="1"/>
  </cols>
  <sheetData>
    <row r="1" spans="1:4" ht="15.75" thickBot="1"/>
    <row r="2" spans="1:4" ht="15.75" thickBot="1">
      <c r="A2" s="250" t="s">
        <v>224</v>
      </c>
      <c r="B2" s="252"/>
    </row>
    <row r="3" spans="1:4">
      <c r="A3" s="42" t="s">
        <v>220</v>
      </c>
      <c r="B3" s="51">
        <v>275</v>
      </c>
    </row>
    <row r="4" spans="1:4">
      <c r="A4" s="43" t="s">
        <v>219</v>
      </c>
      <c r="B4" s="52">
        <f>sueldos!L8</f>
        <v>44175</v>
      </c>
    </row>
    <row r="5" spans="1:4" ht="15.75" thickBot="1">
      <c r="A5" s="43" t="s">
        <v>222</v>
      </c>
      <c r="B5" s="208">
        <f>(B6+B7)/D16</f>
        <v>11.53100397251735</v>
      </c>
    </row>
    <row r="6" spans="1:4">
      <c r="A6" s="43" t="s">
        <v>133</v>
      </c>
      <c r="B6" s="52">
        <f>'inversion inicial y gastos'!K9</f>
        <v>1080</v>
      </c>
      <c r="C6" s="300">
        <f>B6+B7</f>
        <v>1920</v>
      </c>
    </row>
    <row r="7" spans="1:4" ht="15.75" thickBot="1">
      <c r="A7" s="43" t="s">
        <v>123</v>
      </c>
      <c r="B7" s="52">
        <f>'inversion inicial y gastos'!K3</f>
        <v>840</v>
      </c>
      <c r="C7" s="301"/>
    </row>
    <row r="8" spans="1:4">
      <c r="A8" s="43" t="s">
        <v>228</v>
      </c>
      <c r="B8" s="208">
        <f>B4/(B3-B5)</f>
        <v>167.66678685560433</v>
      </c>
    </row>
    <row r="9" spans="1:4" ht="15.75" thickBot="1">
      <c r="A9" s="44" t="s">
        <v>229</v>
      </c>
      <c r="B9" s="209">
        <f>B8/12</f>
        <v>13.972232237967027</v>
      </c>
    </row>
    <row r="10" spans="1:4" ht="15.75" thickBot="1"/>
    <row r="11" spans="1:4" ht="15.75" thickBot="1">
      <c r="A11" s="213" t="s">
        <v>227</v>
      </c>
      <c r="B11" s="214" t="s">
        <v>127</v>
      </c>
      <c r="C11" s="215" t="s">
        <v>225</v>
      </c>
    </row>
    <row r="12" spans="1:4" ht="15.75" thickBot="1">
      <c r="A12" s="54" t="s">
        <v>232</v>
      </c>
      <c r="B12" s="82">
        <f>demanda!D10</f>
        <v>193.68</v>
      </c>
      <c r="C12" s="83">
        <f>demanda!B8</f>
        <v>268.84115999999995</v>
      </c>
    </row>
    <row r="13" spans="1:4">
      <c r="A13" s="210">
        <v>0.28000000000000003</v>
      </c>
      <c r="B13" s="87">
        <f>B12*A13/2</f>
        <v>27.115200000000005</v>
      </c>
      <c r="C13" s="85">
        <f>C12*A13/2</f>
        <v>37.637762399999993</v>
      </c>
    </row>
    <row r="14" spans="1:4">
      <c r="A14" s="210">
        <v>0.48</v>
      </c>
      <c r="B14" s="87">
        <f>B12*A14/3</f>
        <v>30.988799999999998</v>
      </c>
      <c r="C14" s="85">
        <f>C12*A14/3</f>
        <v>43.014585599999997</v>
      </c>
    </row>
    <row r="15" spans="1:4" ht="15.75" thickBot="1">
      <c r="A15" s="210">
        <v>0.24</v>
      </c>
      <c r="B15" s="87">
        <f>B12*A15/4</f>
        <v>11.620799999999999</v>
      </c>
      <c r="C15" s="85">
        <f>C12*A15/4</f>
        <v>16.130469599999998</v>
      </c>
    </row>
    <row r="16" spans="1:4" ht="15.75" thickBot="1">
      <c r="A16" s="212" t="s">
        <v>226</v>
      </c>
      <c r="B16" s="211">
        <f>SUM(B13:B15)</f>
        <v>69.724800000000002</v>
      </c>
      <c r="C16" s="197">
        <f>SUM(C13:C15)</f>
        <v>96.782817599999987</v>
      </c>
      <c r="D16" s="211">
        <f>B16+C16</f>
        <v>166.5076176</v>
      </c>
    </row>
  </sheetData>
  <mergeCells count="2">
    <mergeCell ref="C6:C7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C3" sqref="C3"/>
    </sheetView>
  </sheetViews>
  <sheetFormatPr baseColWidth="10" defaultRowHeight="15"/>
  <cols>
    <col min="1" max="1" width="9.85546875" customWidth="1"/>
    <col min="2" max="2" width="25.5703125" customWidth="1"/>
    <col min="3" max="4" width="11.85546875" customWidth="1"/>
    <col min="5" max="5" width="16.28515625" hidden="1" customWidth="1"/>
    <col min="6" max="6" width="12.42578125" customWidth="1"/>
    <col min="7" max="7" width="12.5703125" bestFit="1" customWidth="1"/>
    <col min="8" max="8" width="9.42578125" customWidth="1"/>
    <col min="9" max="9" width="10" customWidth="1"/>
    <col min="11" max="11" width="12" customWidth="1"/>
    <col min="12" max="12" width="12.7109375" customWidth="1"/>
    <col min="13" max="13" width="12.5703125" bestFit="1" customWidth="1"/>
  </cols>
  <sheetData>
    <row r="1" spans="1:13" ht="11.25" customHeight="1">
      <c r="A1" s="106" t="s">
        <v>13</v>
      </c>
      <c r="B1" s="106" t="s">
        <v>11</v>
      </c>
      <c r="C1" s="106" t="s">
        <v>6</v>
      </c>
      <c r="D1" s="106" t="s">
        <v>6</v>
      </c>
      <c r="E1" s="256" t="s">
        <v>4</v>
      </c>
      <c r="F1" s="107" t="s">
        <v>9</v>
      </c>
      <c r="G1" s="107" t="s">
        <v>6</v>
      </c>
      <c r="H1" s="107" t="s">
        <v>19</v>
      </c>
      <c r="I1" s="107" t="s">
        <v>21</v>
      </c>
      <c r="J1" s="255" t="s">
        <v>5</v>
      </c>
      <c r="K1" s="107" t="s">
        <v>15</v>
      </c>
      <c r="L1" s="107" t="s">
        <v>17</v>
      </c>
    </row>
    <row r="2" spans="1:13" ht="12" customHeight="1">
      <c r="A2" s="108" t="s">
        <v>14</v>
      </c>
      <c r="B2" s="108" t="s">
        <v>12</v>
      </c>
      <c r="C2" s="108" t="s">
        <v>7</v>
      </c>
      <c r="D2" s="108" t="s">
        <v>8</v>
      </c>
      <c r="E2" s="256"/>
      <c r="F2" s="109" t="s">
        <v>10</v>
      </c>
      <c r="G2" s="109" t="s">
        <v>18</v>
      </c>
      <c r="H2" s="109" t="s">
        <v>20</v>
      </c>
      <c r="I2" s="109" t="s">
        <v>20</v>
      </c>
      <c r="J2" s="255"/>
      <c r="K2" s="109" t="s">
        <v>16</v>
      </c>
      <c r="L2" s="109" t="s">
        <v>18</v>
      </c>
    </row>
    <row r="3" spans="1:13" s="1" customFormat="1" ht="18.75" customHeight="1">
      <c r="A3" s="4">
        <v>1</v>
      </c>
      <c r="B3" s="5" t="s">
        <v>0</v>
      </c>
      <c r="C3" s="64">
        <v>700</v>
      </c>
      <c r="D3" s="64">
        <f>C3*A3</f>
        <v>700</v>
      </c>
      <c r="E3" s="64"/>
      <c r="F3" s="64">
        <f>D3*0.1135</f>
        <v>79.45</v>
      </c>
      <c r="G3" s="64">
        <f>+D3*12</f>
        <v>8400</v>
      </c>
      <c r="H3" s="64">
        <f>D3</f>
        <v>700</v>
      </c>
      <c r="I3" s="64">
        <v>240</v>
      </c>
      <c r="J3" s="64">
        <f>(D3*12)/24</f>
        <v>350</v>
      </c>
      <c r="K3" s="64">
        <f>D3</f>
        <v>700</v>
      </c>
      <c r="L3" s="64">
        <f t="shared" ref="L3:L8" si="0">SUM(G3:J3)</f>
        <v>9690</v>
      </c>
    </row>
    <row r="4" spans="1:13" s="1" customFormat="1" ht="21" customHeight="1">
      <c r="A4" s="4">
        <v>1</v>
      </c>
      <c r="B4" s="5" t="s">
        <v>1</v>
      </c>
      <c r="C4" s="64">
        <v>320</v>
      </c>
      <c r="D4" s="64">
        <f>C4*A4</f>
        <v>320</v>
      </c>
      <c r="E4" s="64"/>
      <c r="F4" s="64">
        <f>D4*0.1135</f>
        <v>36.32</v>
      </c>
      <c r="G4" s="64">
        <f>+D4*12</f>
        <v>3840</v>
      </c>
      <c r="H4" s="64">
        <f>D4</f>
        <v>320</v>
      </c>
      <c r="I4" s="64">
        <v>240</v>
      </c>
      <c r="J4" s="64">
        <f>(D4*12)/24</f>
        <v>160</v>
      </c>
      <c r="K4" s="64">
        <f>D4</f>
        <v>320</v>
      </c>
      <c r="L4" s="64">
        <f t="shared" si="0"/>
        <v>4560</v>
      </c>
    </row>
    <row r="5" spans="1:13" s="1" customFormat="1" ht="21" customHeight="1">
      <c r="A5" s="4">
        <v>3</v>
      </c>
      <c r="B5" s="5" t="s">
        <v>96</v>
      </c>
      <c r="C5" s="64">
        <v>450</v>
      </c>
      <c r="D5" s="64">
        <f>C5*A5</f>
        <v>1350</v>
      </c>
      <c r="E5" s="64"/>
      <c r="F5" s="64">
        <f>D5*0.1135</f>
        <v>153.22499999999999</v>
      </c>
      <c r="G5" s="64">
        <f>+D5*12</f>
        <v>16200</v>
      </c>
      <c r="H5" s="64">
        <f>D5</f>
        <v>1350</v>
      </c>
      <c r="I5" s="64">
        <f>240*A5</f>
        <v>720</v>
      </c>
      <c r="J5" s="64">
        <f>(D5*12)/24</f>
        <v>675</v>
      </c>
      <c r="K5" s="64">
        <f>D5</f>
        <v>1350</v>
      </c>
      <c r="L5" s="64">
        <f t="shared" si="0"/>
        <v>18945</v>
      </c>
      <c r="M5" s="66"/>
    </row>
    <row r="6" spans="1:13" s="1" customFormat="1" ht="20.25" customHeight="1">
      <c r="A6" s="4">
        <v>2</v>
      </c>
      <c r="B6" s="6" t="s">
        <v>97</v>
      </c>
      <c r="C6" s="64">
        <v>300</v>
      </c>
      <c r="D6" s="64">
        <f>C6*A6</f>
        <v>600</v>
      </c>
      <c r="E6" s="64"/>
      <c r="F6" s="64">
        <f>D6*0.1135</f>
        <v>68.100000000000009</v>
      </c>
      <c r="G6" s="64">
        <f>+D6*12</f>
        <v>7200</v>
      </c>
      <c r="H6" s="64">
        <f>D6</f>
        <v>600</v>
      </c>
      <c r="I6" s="64">
        <f>240*A6</f>
        <v>480</v>
      </c>
      <c r="J6" s="64">
        <f>(D6*12)/24</f>
        <v>300</v>
      </c>
      <c r="K6" s="64">
        <f>D6</f>
        <v>600</v>
      </c>
      <c r="L6" s="64">
        <f t="shared" si="0"/>
        <v>8580</v>
      </c>
    </row>
    <row r="7" spans="1:13" s="1" customFormat="1" ht="20.25" customHeight="1">
      <c r="A7" s="4">
        <v>1</v>
      </c>
      <c r="B7" s="5" t="s">
        <v>98</v>
      </c>
      <c r="C7" s="64">
        <v>200</v>
      </c>
      <c r="D7" s="64">
        <f>+C7</f>
        <v>200</v>
      </c>
      <c r="E7" s="64"/>
      <c r="F7" s="64">
        <v>0</v>
      </c>
      <c r="G7" s="64">
        <f>+D7*12</f>
        <v>2400</v>
      </c>
      <c r="H7" s="64">
        <v>0</v>
      </c>
      <c r="I7" s="64">
        <v>0</v>
      </c>
      <c r="J7" s="64">
        <v>0</v>
      </c>
      <c r="K7" s="64">
        <v>0</v>
      </c>
      <c r="L7" s="64">
        <f t="shared" si="0"/>
        <v>2400</v>
      </c>
    </row>
    <row r="8" spans="1:13" ht="20.25" customHeight="1">
      <c r="A8" s="110">
        <f>SUM(A3:A7)</f>
        <v>8</v>
      </c>
      <c r="B8" s="110" t="s">
        <v>2</v>
      </c>
      <c r="C8" s="111">
        <f>SUM(C3:C7)</f>
        <v>1970</v>
      </c>
      <c r="D8" s="111">
        <f>SUM(D3:D7)</f>
        <v>3170</v>
      </c>
      <c r="E8" s="111"/>
      <c r="F8" s="111">
        <f>+F3+F4+F5+F6+F7</f>
        <v>337.09500000000003</v>
      </c>
      <c r="G8" s="111">
        <f>SUM(G3:G7)</f>
        <v>38040</v>
      </c>
      <c r="H8" s="111">
        <f>+H3+H4+H5+H6+H7</f>
        <v>2970</v>
      </c>
      <c r="I8" s="111">
        <f>+I3+I4+I5+I6+I7</f>
        <v>1680</v>
      </c>
      <c r="J8" s="111">
        <f>+J3+J4+J5+J6+J7</f>
        <v>1485</v>
      </c>
      <c r="K8" s="111">
        <f>+K3+K4+K5+K6+K7</f>
        <v>2970</v>
      </c>
      <c r="L8" s="111">
        <f t="shared" si="0"/>
        <v>44175</v>
      </c>
    </row>
    <row r="9" spans="1:13" ht="29.25" customHeight="1">
      <c r="A9" s="3"/>
      <c r="B9" s="2"/>
      <c r="C9" s="2"/>
      <c r="D9" s="2"/>
      <c r="E9" s="2"/>
      <c r="F9" s="63"/>
      <c r="G9" s="62"/>
      <c r="K9" s="62"/>
    </row>
    <row r="10" spans="1:13">
      <c r="A10" s="2"/>
      <c r="B10" s="2"/>
      <c r="C10" s="2"/>
      <c r="D10" s="2"/>
      <c r="E10" s="2"/>
      <c r="F10" s="2"/>
    </row>
    <row r="14" spans="1:13">
      <c r="C14" s="62"/>
      <c r="D14" s="65"/>
    </row>
  </sheetData>
  <mergeCells count="2">
    <mergeCell ref="J1:J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4" workbookViewId="0">
      <selection activeCell="I25" sqref="I25"/>
    </sheetView>
  </sheetViews>
  <sheetFormatPr baseColWidth="10" defaultRowHeight="15"/>
  <cols>
    <col min="1" max="1" width="28.85546875" customWidth="1"/>
    <col min="2" max="2" width="13.28515625" customWidth="1"/>
    <col min="6" max="6" width="15" customWidth="1"/>
    <col min="7" max="7" width="12.7109375" customWidth="1"/>
    <col min="9" max="9" width="12.7109375" customWidth="1"/>
  </cols>
  <sheetData>
    <row r="1" spans="1:10" ht="15.75" thickBot="1"/>
    <row r="2" spans="1:10" ht="19.5" customHeight="1" thickBot="1">
      <c r="A2" s="257" t="s">
        <v>231</v>
      </c>
      <c r="B2" s="262"/>
      <c r="C2" s="262"/>
      <c r="D2" s="258"/>
    </row>
    <row r="3" spans="1:10" ht="15.75" thickBot="1">
      <c r="A3" s="79" t="s">
        <v>140</v>
      </c>
      <c r="B3" s="13" t="s">
        <v>129</v>
      </c>
      <c r="C3" s="13" t="s">
        <v>128</v>
      </c>
      <c r="D3" s="173" t="s">
        <v>127</v>
      </c>
    </row>
    <row r="4" spans="1:10" ht="15.75" thickBot="1">
      <c r="A4" s="8" t="s">
        <v>141</v>
      </c>
      <c r="B4" s="81">
        <v>8342</v>
      </c>
      <c r="C4" s="82">
        <v>5085</v>
      </c>
      <c r="D4" s="83">
        <v>8608</v>
      </c>
    </row>
    <row r="5" spans="1:10" ht="15.75" thickBot="1">
      <c r="A5" s="8" t="s">
        <v>142</v>
      </c>
      <c r="B5" s="82">
        <f>+B4*0.045</f>
        <v>375.39</v>
      </c>
      <c r="C5" s="84"/>
      <c r="D5" s="86"/>
      <c r="F5" s="257" t="s">
        <v>158</v>
      </c>
      <c r="G5" s="258"/>
    </row>
    <row r="6" spans="1:10" ht="15.75" thickBot="1">
      <c r="A6" s="8" t="s">
        <v>143</v>
      </c>
      <c r="B6" s="84"/>
      <c r="C6" s="82">
        <f>+C4*0.014</f>
        <v>71.19</v>
      </c>
      <c r="D6" s="87"/>
      <c r="F6" s="54" t="s">
        <v>181</v>
      </c>
      <c r="G6" s="13" t="s">
        <v>182</v>
      </c>
      <c r="H6" s="13" t="s">
        <v>183</v>
      </c>
    </row>
    <row r="7" spans="1:10" ht="15.75" thickBot="1">
      <c r="A7" s="8" t="s">
        <v>144</v>
      </c>
      <c r="B7" s="259">
        <f>+(B5+C6)*0.86</f>
        <v>384.05879999999996</v>
      </c>
      <c r="C7" s="260"/>
      <c r="D7" s="88"/>
      <c r="F7" s="105">
        <f>+D10*0.28/2/12</f>
        <v>2.2596000000000003</v>
      </c>
      <c r="G7" s="51">
        <f>+F7*150</f>
        <v>338.94000000000005</v>
      </c>
    </row>
    <row r="8" spans="1:10" ht="15.75" thickBot="1">
      <c r="A8" s="8" t="s">
        <v>223</v>
      </c>
      <c r="B8" s="259">
        <f>+B7*0.7</f>
        <v>268.84115999999995</v>
      </c>
      <c r="C8" s="261"/>
      <c r="D8" s="88"/>
      <c r="F8" s="87">
        <f>+D10*0.48/3/12</f>
        <v>2.5823999999999998</v>
      </c>
      <c r="G8" s="52">
        <f>+F8*250</f>
        <v>645.59999999999991</v>
      </c>
    </row>
    <row r="9" spans="1:10" ht="15.75" thickBot="1">
      <c r="A9" s="8" t="s">
        <v>145</v>
      </c>
      <c r="B9" s="84"/>
      <c r="C9" s="84"/>
      <c r="D9" s="82">
        <f>+D4*0.75</f>
        <v>6456</v>
      </c>
      <c r="F9" s="87">
        <f>+D10*0.24/4/12</f>
        <v>0.96839999999999993</v>
      </c>
      <c r="G9" s="52">
        <f>+F9*350</f>
        <v>338.94</v>
      </c>
    </row>
    <row r="10" spans="1:10" ht="15.75" thickBot="1">
      <c r="A10" s="8" t="s">
        <v>218</v>
      </c>
      <c r="B10" s="84"/>
      <c r="C10" s="84"/>
      <c r="D10" s="82">
        <f>+D9*0.03</f>
        <v>193.68</v>
      </c>
      <c r="F10" s="81">
        <f>SUM(F7:F9)</f>
        <v>5.8104000000000005</v>
      </c>
      <c r="G10" s="229">
        <f>SUM(G7:G9)</f>
        <v>1323.48</v>
      </c>
      <c r="H10" s="188">
        <f>+G10*12</f>
        <v>15881.76</v>
      </c>
      <c r="I10" s="233" t="s">
        <v>234</v>
      </c>
    </row>
    <row r="11" spans="1:10" ht="15.75" thickBot="1">
      <c r="A11" s="8" t="s">
        <v>138</v>
      </c>
      <c r="B11" s="259">
        <f>+B8+D10</f>
        <v>462.52115999999995</v>
      </c>
      <c r="C11" s="260"/>
      <c r="D11" s="261"/>
      <c r="F11" s="89" t="s">
        <v>184</v>
      </c>
      <c r="G11" s="229">
        <f>+B28-G10</f>
        <v>4256.6516999999985</v>
      </c>
      <c r="H11" s="188">
        <f>+G11*12</f>
        <v>51079.820399999982</v>
      </c>
      <c r="I11" s="229">
        <f>+H11/4</f>
        <v>12769.955099999996</v>
      </c>
      <c r="J11" t="s">
        <v>206</v>
      </c>
    </row>
    <row r="12" spans="1:10" ht="15.75" thickBot="1">
      <c r="A12" s="8" t="s">
        <v>139</v>
      </c>
      <c r="B12" s="259">
        <f>+B11/12</f>
        <v>38.543429999999994</v>
      </c>
      <c r="C12" s="260"/>
      <c r="D12" s="261"/>
      <c r="G12" s="231" t="s">
        <v>120</v>
      </c>
      <c r="H12" s="232">
        <f>SUM(H10:H11)</f>
        <v>66961.580399999977</v>
      </c>
      <c r="I12" s="230"/>
    </row>
    <row r="13" spans="1:10" ht="22.5" customHeight="1" thickBot="1">
      <c r="A13" s="257" t="s">
        <v>150</v>
      </c>
      <c r="B13" s="262"/>
      <c r="C13" s="262"/>
      <c r="D13" s="258"/>
    </row>
    <row r="14" spans="1:10">
      <c r="A14" s="90" t="s">
        <v>146</v>
      </c>
      <c r="B14" s="263">
        <f>+B12*0.28/2</f>
        <v>5.3960801999999992</v>
      </c>
      <c r="C14" s="263"/>
      <c r="D14" s="264"/>
    </row>
    <row r="15" spans="1:10">
      <c r="A15" s="69" t="s">
        <v>147</v>
      </c>
      <c r="B15" s="265">
        <f>+B12*0.48/3</f>
        <v>6.1669487999999992</v>
      </c>
      <c r="C15" s="265"/>
      <c r="D15" s="266"/>
      <c r="H15" s="21"/>
    </row>
    <row r="16" spans="1:10" ht="15.75" thickBot="1">
      <c r="A16" s="70" t="s">
        <v>148</v>
      </c>
      <c r="B16" s="267">
        <f>+B12*0.24/4</f>
        <v>2.3126057999999996</v>
      </c>
      <c r="C16" s="267"/>
      <c r="D16" s="268"/>
      <c r="H16" s="19"/>
    </row>
    <row r="17" spans="1:11" ht="15.75" thickBot="1">
      <c r="A17" s="91" t="s">
        <v>149</v>
      </c>
      <c r="B17" s="260">
        <f>SUM(B14:B16)</f>
        <v>13.875634799999998</v>
      </c>
      <c r="C17" s="269"/>
      <c r="D17" s="270"/>
      <c r="H17" s="19"/>
    </row>
    <row r="18" spans="1:11" ht="20.25" customHeight="1" thickBot="1">
      <c r="A18" s="257" t="s">
        <v>153</v>
      </c>
      <c r="B18" s="262"/>
      <c r="C18" s="262"/>
      <c r="D18" s="258"/>
      <c r="H18" s="19"/>
    </row>
    <row r="19" spans="1:11">
      <c r="A19" s="90" t="s">
        <v>151</v>
      </c>
      <c r="B19" s="271">
        <f>+B14*150</f>
        <v>809.41202999999985</v>
      </c>
      <c r="C19" s="271"/>
      <c r="D19" s="272"/>
      <c r="H19" s="19"/>
    </row>
    <row r="20" spans="1:11">
      <c r="A20" s="68" t="s">
        <v>152</v>
      </c>
      <c r="B20" s="273">
        <f>+B15*250</f>
        <v>1541.7371999999998</v>
      </c>
      <c r="C20" s="273"/>
      <c r="D20" s="274"/>
    </row>
    <row r="21" spans="1:11" ht="15.75" thickBot="1">
      <c r="A21" s="72" t="s">
        <v>221</v>
      </c>
      <c r="B21" s="278">
        <f>+B16*350</f>
        <v>809.41202999999985</v>
      </c>
      <c r="C21" s="278"/>
      <c r="D21" s="279"/>
    </row>
    <row r="22" spans="1:11" ht="15.75" thickBot="1">
      <c r="A22" s="54" t="s">
        <v>22</v>
      </c>
      <c r="B22" s="275">
        <f>SUM(B19:B21)</f>
        <v>3160.5612599999995</v>
      </c>
      <c r="C22" s="275"/>
      <c r="D22" s="276"/>
    </row>
    <row r="23" spans="1:11" ht="15.75" thickBot="1">
      <c r="A23" s="257" t="s">
        <v>154</v>
      </c>
      <c r="B23" s="262"/>
      <c r="C23" s="262"/>
      <c r="D23" s="258"/>
    </row>
    <row r="24" spans="1:11">
      <c r="A24" s="90" t="s">
        <v>146</v>
      </c>
      <c r="B24" s="271">
        <f>+B8*0.28/2*$B$31</f>
        <v>940.94405999999981</v>
      </c>
      <c r="C24" s="271"/>
      <c r="D24" s="272"/>
      <c r="E24" s="48"/>
      <c r="F24" s="48"/>
      <c r="K24" s="48"/>
    </row>
    <row r="25" spans="1:11">
      <c r="A25" s="69" t="s">
        <v>147</v>
      </c>
      <c r="B25" s="273">
        <f>+B8*0.48/3*B31</f>
        <v>1075.36464</v>
      </c>
      <c r="C25" s="273"/>
      <c r="D25" s="274"/>
      <c r="E25" s="48"/>
      <c r="F25" s="48"/>
      <c r="K25" s="48"/>
    </row>
    <row r="26" spans="1:11" ht="15.75" thickBot="1">
      <c r="A26" s="70" t="s">
        <v>148</v>
      </c>
      <c r="B26" s="278">
        <f>+B8*0.24/4*B31</f>
        <v>403.26173999999992</v>
      </c>
      <c r="C26" s="278"/>
      <c r="D26" s="279"/>
      <c r="E26" s="48"/>
      <c r="F26" s="48"/>
      <c r="K26" s="48"/>
    </row>
    <row r="27" spans="1:11" ht="15.75" thickBot="1">
      <c r="A27" s="91" t="s">
        <v>22</v>
      </c>
      <c r="B27" s="275">
        <f>SUM(B24:B26)</f>
        <v>2419.5704399999995</v>
      </c>
      <c r="C27" s="275"/>
      <c r="D27" s="276"/>
      <c r="E27" s="48"/>
      <c r="F27" s="48"/>
      <c r="K27" s="48"/>
    </row>
    <row r="28" spans="1:11" ht="15.75" thickBot="1">
      <c r="A28" s="76" t="s">
        <v>155</v>
      </c>
      <c r="B28" s="275">
        <f>+B27+B22</f>
        <v>5580.131699999999</v>
      </c>
      <c r="C28" s="275"/>
      <c r="D28" s="276"/>
    </row>
    <row r="29" spans="1:11" ht="15.75" thickBot="1">
      <c r="A29" s="112" t="s">
        <v>163</v>
      </c>
      <c r="B29" s="277">
        <f>+B28*12</f>
        <v>66961.580399999992</v>
      </c>
      <c r="C29" s="275"/>
      <c r="D29" s="276"/>
    </row>
    <row r="30" spans="1:11">
      <c r="A30" s="19"/>
      <c r="C30" s="48"/>
    </row>
    <row r="31" spans="1:11">
      <c r="A31" s="201" t="s">
        <v>230</v>
      </c>
      <c r="B31">
        <v>25</v>
      </c>
      <c r="C31" s="48"/>
    </row>
    <row r="32" spans="1:11">
      <c r="A32" s="19"/>
      <c r="C32" s="48"/>
    </row>
    <row r="33" spans="3:8">
      <c r="C33" s="48"/>
    </row>
    <row r="48" spans="3:8">
      <c r="D48" s="9"/>
      <c r="H48" s="49"/>
    </row>
    <row r="49" spans="2:5">
      <c r="E49" s="49"/>
    </row>
    <row r="53" spans="2:5">
      <c r="B53" s="50"/>
    </row>
    <row r="57" spans="2:5">
      <c r="B57" s="48"/>
      <c r="C57" s="48"/>
    </row>
    <row r="58" spans="2:5">
      <c r="B58" s="48"/>
      <c r="C58" s="48"/>
    </row>
    <row r="59" spans="2:5">
      <c r="B59" s="48"/>
      <c r="C59" s="48"/>
    </row>
    <row r="60" spans="2:5">
      <c r="B60" s="48"/>
      <c r="C60" s="48"/>
    </row>
  </sheetData>
  <mergeCells count="23">
    <mergeCell ref="B20:D20"/>
    <mergeCell ref="B28:D28"/>
    <mergeCell ref="B29:D29"/>
    <mergeCell ref="B21:D21"/>
    <mergeCell ref="A23:D23"/>
    <mergeCell ref="B24:D24"/>
    <mergeCell ref="B25:D25"/>
    <mergeCell ref="B26:D26"/>
    <mergeCell ref="B27:D27"/>
    <mergeCell ref="B22:D22"/>
    <mergeCell ref="B14:D14"/>
    <mergeCell ref="B15:D15"/>
    <mergeCell ref="B16:D16"/>
    <mergeCell ref="B17:D17"/>
    <mergeCell ref="A18:D18"/>
    <mergeCell ref="B19:D19"/>
    <mergeCell ref="F5:G5"/>
    <mergeCell ref="B7:C7"/>
    <mergeCell ref="B11:D11"/>
    <mergeCell ref="A2:D2"/>
    <mergeCell ref="B12:D12"/>
    <mergeCell ref="A13:D13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A14" sqref="A14:N26"/>
    </sheetView>
  </sheetViews>
  <sheetFormatPr baseColWidth="10" defaultRowHeight="15"/>
  <cols>
    <col min="1" max="1" width="22.140625" bestFit="1" customWidth="1"/>
    <col min="2" max="2" width="10.140625" bestFit="1" customWidth="1"/>
    <col min="3" max="3" width="9.140625" bestFit="1" customWidth="1"/>
    <col min="4" max="5" width="10.140625" bestFit="1" customWidth="1"/>
    <col min="6" max="6" width="11.140625" customWidth="1"/>
    <col min="7" max="10" width="10.140625" bestFit="1" customWidth="1"/>
    <col min="11" max="11" width="11.5703125" bestFit="1" customWidth="1"/>
    <col min="12" max="12" width="10" bestFit="1" customWidth="1"/>
    <col min="13" max="13" width="10.85546875" bestFit="1" customWidth="1"/>
    <col min="14" max="14" width="10.28515625" bestFit="1" customWidth="1"/>
  </cols>
  <sheetData>
    <row r="1" spans="1:14" s="134" customFormat="1">
      <c r="A1" s="132"/>
      <c r="B1" s="132"/>
      <c r="C1" s="132"/>
      <c r="D1" s="132"/>
      <c r="E1" s="132"/>
      <c r="F1" s="133" t="s">
        <v>23</v>
      </c>
      <c r="G1" s="133"/>
      <c r="H1" s="133"/>
      <c r="I1" s="133"/>
      <c r="J1" s="132"/>
      <c r="K1" s="132"/>
      <c r="L1" s="132"/>
      <c r="M1" s="132"/>
      <c r="N1" s="132"/>
    </row>
    <row r="2" spans="1:14" s="134" customForma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s="134" customFormat="1">
      <c r="A3" s="217" t="s">
        <v>24</v>
      </c>
      <c r="B3" s="217" t="s">
        <v>156</v>
      </c>
      <c r="C3" s="217" t="s">
        <v>25</v>
      </c>
      <c r="D3" s="217" t="s">
        <v>26</v>
      </c>
      <c r="E3" s="217" t="s">
        <v>27</v>
      </c>
      <c r="F3" s="217" t="s">
        <v>28</v>
      </c>
      <c r="G3" s="217" t="s">
        <v>29</v>
      </c>
      <c r="H3" s="217" t="s">
        <v>30</v>
      </c>
      <c r="I3" s="217" t="s">
        <v>31</v>
      </c>
      <c r="J3" s="217" t="s">
        <v>32</v>
      </c>
      <c r="K3" s="217" t="s">
        <v>33</v>
      </c>
      <c r="L3" s="217" t="s">
        <v>34</v>
      </c>
      <c r="M3" s="217" t="s">
        <v>35</v>
      </c>
      <c r="N3" s="217" t="s">
        <v>36</v>
      </c>
    </row>
    <row r="4" spans="1:14" s="134" customFormat="1">
      <c r="A4" s="218" t="s">
        <v>164</v>
      </c>
      <c r="B4" s="219"/>
      <c r="C4" s="220">
        <f>+demanda!G10</f>
        <v>1323.48</v>
      </c>
      <c r="D4" s="220">
        <f>+C4</f>
        <v>1323.48</v>
      </c>
      <c r="E4" s="220">
        <f t="shared" ref="E4:N4" si="0">+D4</f>
        <v>1323.48</v>
      </c>
      <c r="F4" s="220">
        <f t="shared" si="0"/>
        <v>1323.48</v>
      </c>
      <c r="G4" s="220">
        <f t="shared" si="0"/>
        <v>1323.48</v>
      </c>
      <c r="H4" s="220">
        <f t="shared" si="0"/>
        <v>1323.48</v>
      </c>
      <c r="I4" s="220">
        <f t="shared" si="0"/>
        <v>1323.48</v>
      </c>
      <c r="J4" s="220">
        <f t="shared" si="0"/>
        <v>1323.48</v>
      </c>
      <c r="K4" s="220">
        <f t="shared" si="0"/>
        <v>1323.48</v>
      </c>
      <c r="L4" s="220">
        <f t="shared" si="0"/>
        <v>1323.48</v>
      </c>
      <c r="M4" s="220">
        <f t="shared" si="0"/>
        <v>1323.48</v>
      </c>
      <c r="N4" s="220">
        <f t="shared" si="0"/>
        <v>1323.48</v>
      </c>
    </row>
    <row r="5" spans="1:14" s="134" customFormat="1">
      <c r="A5" s="218" t="s">
        <v>165</v>
      </c>
      <c r="B5" s="219"/>
      <c r="C5" s="220">
        <f>+demanda!I11</f>
        <v>12769.955099999996</v>
      </c>
      <c r="D5" s="220">
        <f>+C5</f>
        <v>12769.955099999996</v>
      </c>
      <c r="E5" s="220">
        <f>+D5</f>
        <v>12769.955099999996</v>
      </c>
      <c r="F5" s="220">
        <f>+E5</f>
        <v>12769.955099999996</v>
      </c>
      <c r="G5" s="220">
        <v>0</v>
      </c>
      <c r="H5" s="220">
        <v>0</v>
      </c>
      <c r="I5" s="220">
        <v>0</v>
      </c>
      <c r="J5" s="220">
        <v>0</v>
      </c>
      <c r="K5" s="220">
        <v>0</v>
      </c>
      <c r="L5" s="220">
        <v>0</v>
      </c>
      <c r="M5" s="220">
        <v>0</v>
      </c>
      <c r="N5" s="220"/>
    </row>
    <row r="6" spans="1:14" s="134" customFormat="1">
      <c r="A6" s="218" t="s">
        <v>166</v>
      </c>
      <c r="B6" s="219"/>
      <c r="C6" s="220">
        <f>SUM(C4:C5)</f>
        <v>14093.435099999995</v>
      </c>
      <c r="D6" s="220">
        <f t="shared" ref="D6:N6" si="1">SUM(D4:D5)</f>
        <v>14093.435099999995</v>
      </c>
      <c r="E6" s="220">
        <f t="shared" si="1"/>
        <v>14093.435099999995</v>
      </c>
      <c r="F6" s="220">
        <f t="shared" si="1"/>
        <v>14093.435099999995</v>
      </c>
      <c r="G6" s="220">
        <f t="shared" si="1"/>
        <v>1323.48</v>
      </c>
      <c r="H6" s="220">
        <f t="shared" si="1"/>
        <v>1323.48</v>
      </c>
      <c r="I6" s="220">
        <f t="shared" si="1"/>
        <v>1323.48</v>
      </c>
      <c r="J6" s="220">
        <f t="shared" si="1"/>
        <v>1323.48</v>
      </c>
      <c r="K6" s="220">
        <f t="shared" si="1"/>
        <v>1323.48</v>
      </c>
      <c r="L6" s="220">
        <f t="shared" si="1"/>
        <v>1323.48</v>
      </c>
      <c r="M6" s="220">
        <f t="shared" si="1"/>
        <v>1323.48</v>
      </c>
      <c r="N6" s="220">
        <f t="shared" si="1"/>
        <v>1323.48</v>
      </c>
    </row>
    <row r="7" spans="1:14" s="134" customFormat="1">
      <c r="A7" s="218" t="s">
        <v>37</v>
      </c>
      <c r="B7" s="221">
        <f>+B26</f>
        <v>4616.208333333333</v>
      </c>
      <c r="C7" s="221">
        <f t="shared" ref="C7:N7" si="2">+C26</f>
        <v>5384.5416666666661</v>
      </c>
      <c r="D7" s="221">
        <f t="shared" si="2"/>
        <v>4458.208333333333</v>
      </c>
      <c r="E7" s="221">
        <f t="shared" si="2"/>
        <v>4458.208333333333</v>
      </c>
      <c r="F7" s="221">
        <f t="shared" si="2"/>
        <v>4458.208333333333</v>
      </c>
      <c r="G7" s="221">
        <f t="shared" si="2"/>
        <v>4458.208333333333</v>
      </c>
      <c r="H7" s="221">
        <f t="shared" si="2"/>
        <v>4683.208333333333</v>
      </c>
      <c r="I7" s="221">
        <f t="shared" si="2"/>
        <v>4458.208333333333</v>
      </c>
      <c r="J7" s="221">
        <f t="shared" si="2"/>
        <v>4458.208333333333</v>
      </c>
      <c r="K7" s="221">
        <f t="shared" si="2"/>
        <v>4458.208333333333</v>
      </c>
      <c r="L7" s="221">
        <f t="shared" si="2"/>
        <v>4458.208333333333</v>
      </c>
      <c r="M7" s="221">
        <f t="shared" si="2"/>
        <v>4458.208333333333</v>
      </c>
      <c r="N7" s="221">
        <f t="shared" si="2"/>
        <v>4494.208333333333</v>
      </c>
    </row>
    <row r="8" spans="1:14" s="134" customFormat="1">
      <c r="A8" s="218" t="s">
        <v>38</v>
      </c>
      <c r="B8" s="222">
        <f>+B4-B7</f>
        <v>-4616.208333333333</v>
      </c>
      <c r="C8" s="220">
        <f>C6-C7</f>
        <v>8708.8934333333291</v>
      </c>
      <c r="D8" s="220">
        <f t="shared" ref="D8:N8" si="3">D6-D7</f>
        <v>9635.226766666663</v>
      </c>
      <c r="E8" s="220">
        <f t="shared" si="3"/>
        <v>9635.226766666663</v>
      </c>
      <c r="F8" s="220">
        <f t="shared" si="3"/>
        <v>9635.226766666663</v>
      </c>
      <c r="G8" s="220">
        <f t="shared" si="3"/>
        <v>-3134.728333333333</v>
      </c>
      <c r="H8" s="220">
        <f t="shared" si="3"/>
        <v>-3359.728333333333</v>
      </c>
      <c r="I8" s="220">
        <f t="shared" si="3"/>
        <v>-3134.728333333333</v>
      </c>
      <c r="J8" s="220">
        <f t="shared" si="3"/>
        <v>-3134.728333333333</v>
      </c>
      <c r="K8" s="220">
        <f t="shared" si="3"/>
        <v>-3134.728333333333</v>
      </c>
      <c r="L8" s="220">
        <f t="shared" si="3"/>
        <v>-3134.728333333333</v>
      </c>
      <c r="M8" s="220">
        <f t="shared" si="3"/>
        <v>-3134.728333333333</v>
      </c>
      <c r="N8" s="220">
        <f t="shared" si="3"/>
        <v>-3170.728333333333</v>
      </c>
    </row>
    <row r="9" spans="1:14" s="134" customFormat="1">
      <c r="A9" s="217" t="s">
        <v>39</v>
      </c>
      <c r="B9" s="223">
        <f>+B8</f>
        <v>-4616.208333333333</v>
      </c>
      <c r="C9" s="223">
        <f>+C8+B9</f>
        <v>4092.6850999999961</v>
      </c>
      <c r="D9" s="223">
        <f t="shared" ref="D9:N9" si="4">+D8+C9</f>
        <v>13727.911866666658</v>
      </c>
      <c r="E9" s="223">
        <f t="shared" si="4"/>
        <v>23363.138633333321</v>
      </c>
      <c r="F9" s="223">
        <f t="shared" si="4"/>
        <v>32998.365399999981</v>
      </c>
      <c r="G9" s="223">
        <f t="shared" si="4"/>
        <v>29863.637066666648</v>
      </c>
      <c r="H9" s="223">
        <f t="shared" si="4"/>
        <v>26503.908733333315</v>
      </c>
      <c r="I9" s="223">
        <f t="shared" si="4"/>
        <v>23369.180399999983</v>
      </c>
      <c r="J9" s="223">
        <f t="shared" si="4"/>
        <v>20234.45206666665</v>
      </c>
      <c r="K9" s="223">
        <f t="shared" si="4"/>
        <v>17099.723733333318</v>
      </c>
      <c r="L9" s="223">
        <f t="shared" si="4"/>
        <v>13964.995399999985</v>
      </c>
      <c r="M9" s="223">
        <f t="shared" si="4"/>
        <v>10830.267066666653</v>
      </c>
      <c r="N9" s="223">
        <f t="shared" si="4"/>
        <v>7659.5387333333201</v>
      </c>
    </row>
    <row r="13" spans="1:14" ht="15.75" thickBot="1">
      <c r="A13" s="224" t="s">
        <v>233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</row>
    <row r="14" spans="1:14" ht="15.75" thickBot="1">
      <c r="A14" s="225"/>
      <c r="B14" s="234" t="s">
        <v>156</v>
      </c>
      <c r="C14" s="234" t="s">
        <v>25</v>
      </c>
      <c r="D14" s="235" t="s">
        <v>26</v>
      </c>
      <c r="E14" s="236" t="s">
        <v>27</v>
      </c>
      <c r="F14" s="235" t="s">
        <v>28</v>
      </c>
      <c r="G14" s="236" t="s">
        <v>29</v>
      </c>
      <c r="H14" s="235" t="s">
        <v>30</v>
      </c>
      <c r="I14" s="236" t="s">
        <v>31</v>
      </c>
      <c r="J14" s="235" t="s">
        <v>32</v>
      </c>
      <c r="K14" s="236" t="s">
        <v>33</v>
      </c>
      <c r="L14" s="235" t="s">
        <v>34</v>
      </c>
      <c r="M14" s="236" t="s">
        <v>35</v>
      </c>
      <c r="N14" s="235" t="s">
        <v>36</v>
      </c>
    </row>
    <row r="15" spans="1:14">
      <c r="A15" s="238" t="s">
        <v>193</v>
      </c>
      <c r="B15" s="239">
        <f>+sueldos!D8</f>
        <v>3170</v>
      </c>
      <c r="C15" s="239">
        <f>+B15</f>
        <v>3170</v>
      </c>
      <c r="D15" s="239">
        <f t="shared" ref="D15:N15" si="5">+C15</f>
        <v>3170</v>
      </c>
      <c r="E15" s="239">
        <f t="shared" si="5"/>
        <v>3170</v>
      </c>
      <c r="F15" s="239">
        <f t="shared" si="5"/>
        <v>3170</v>
      </c>
      <c r="G15" s="239">
        <f t="shared" si="5"/>
        <v>3170</v>
      </c>
      <c r="H15" s="239">
        <f t="shared" si="5"/>
        <v>3170</v>
      </c>
      <c r="I15" s="239">
        <f t="shared" si="5"/>
        <v>3170</v>
      </c>
      <c r="J15" s="239">
        <f t="shared" si="5"/>
        <v>3170</v>
      </c>
      <c r="K15" s="239">
        <f t="shared" si="5"/>
        <v>3170</v>
      </c>
      <c r="L15" s="239">
        <f t="shared" si="5"/>
        <v>3170</v>
      </c>
      <c r="M15" s="239">
        <f t="shared" si="5"/>
        <v>3170</v>
      </c>
      <c r="N15" s="240">
        <f t="shared" si="5"/>
        <v>3170</v>
      </c>
    </row>
    <row r="16" spans="1:14">
      <c r="A16" s="241" t="s">
        <v>122</v>
      </c>
      <c r="B16" s="237">
        <f>+'inversion inicial y gastos'!J6</f>
        <v>52</v>
      </c>
      <c r="C16" s="237">
        <f>+B16</f>
        <v>52</v>
      </c>
      <c r="D16" s="237">
        <f t="shared" ref="D16:N16" si="6">+C16</f>
        <v>52</v>
      </c>
      <c r="E16" s="237">
        <f t="shared" si="6"/>
        <v>52</v>
      </c>
      <c r="F16" s="237">
        <f t="shared" si="6"/>
        <v>52</v>
      </c>
      <c r="G16" s="237">
        <f t="shared" si="6"/>
        <v>52</v>
      </c>
      <c r="H16" s="237">
        <f t="shared" si="6"/>
        <v>52</v>
      </c>
      <c r="I16" s="237">
        <f t="shared" si="6"/>
        <v>52</v>
      </c>
      <c r="J16" s="237">
        <f t="shared" si="6"/>
        <v>52</v>
      </c>
      <c r="K16" s="237">
        <f t="shared" si="6"/>
        <v>52</v>
      </c>
      <c r="L16" s="237">
        <f t="shared" si="6"/>
        <v>52</v>
      </c>
      <c r="M16" s="237">
        <f t="shared" si="6"/>
        <v>52</v>
      </c>
      <c r="N16" s="242">
        <f t="shared" si="6"/>
        <v>52</v>
      </c>
    </row>
    <row r="17" spans="1:14">
      <c r="A17" s="241" t="s">
        <v>130</v>
      </c>
      <c r="B17" s="237">
        <f>+'inversion inicial y gastos'!J7</f>
        <v>830</v>
      </c>
      <c r="C17" s="237">
        <f>+B17</f>
        <v>830</v>
      </c>
      <c r="D17" s="237">
        <f t="shared" ref="D17:N17" si="7">+C17</f>
        <v>830</v>
      </c>
      <c r="E17" s="237">
        <f t="shared" si="7"/>
        <v>830</v>
      </c>
      <c r="F17" s="237">
        <f t="shared" si="7"/>
        <v>830</v>
      </c>
      <c r="G17" s="237">
        <f t="shared" si="7"/>
        <v>830</v>
      </c>
      <c r="H17" s="237">
        <f t="shared" si="7"/>
        <v>830</v>
      </c>
      <c r="I17" s="237">
        <f t="shared" si="7"/>
        <v>830</v>
      </c>
      <c r="J17" s="237">
        <f t="shared" si="7"/>
        <v>830</v>
      </c>
      <c r="K17" s="237">
        <f t="shared" si="7"/>
        <v>830</v>
      </c>
      <c r="L17" s="237">
        <f t="shared" si="7"/>
        <v>830</v>
      </c>
      <c r="M17" s="237">
        <f t="shared" si="7"/>
        <v>830</v>
      </c>
      <c r="N17" s="242">
        <f t="shared" si="7"/>
        <v>830</v>
      </c>
    </row>
    <row r="18" spans="1:14">
      <c r="A18" s="241" t="s">
        <v>115</v>
      </c>
      <c r="B18" s="237">
        <f>+'inversion inicial y gastos'!J8</f>
        <v>85</v>
      </c>
      <c r="C18" s="237">
        <f>+B18</f>
        <v>85</v>
      </c>
      <c r="D18" s="237">
        <f t="shared" ref="D18:N18" si="8">+C18</f>
        <v>85</v>
      </c>
      <c r="E18" s="237">
        <f t="shared" si="8"/>
        <v>85</v>
      </c>
      <c r="F18" s="237">
        <f t="shared" si="8"/>
        <v>85</v>
      </c>
      <c r="G18" s="237">
        <f t="shared" si="8"/>
        <v>85</v>
      </c>
      <c r="H18" s="237">
        <f t="shared" si="8"/>
        <v>85</v>
      </c>
      <c r="I18" s="237">
        <f t="shared" si="8"/>
        <v>85</v>
      </c>
      <c r="J18" s="237">
        <f t="shared" si="8"/>
        <v>85</v>
      </c>
      <c r="K18" s="237">
        <f t="shared" si="8"/>
        <v>85</v>
      </c>
      <c r="L18" s="237">
        <f t="shared" si="8"/>
        <v>85</v>
      </c>
      <c r="M18" s="237">
        <f t="shared" si="8"/>
        <v>85</v>
      </c>
      <c r="N18" s="242">
        <f t="shared" si="8"/>
        <v>85</v>
      </c>
    </row>
    <row r="19" spans="1:14">
      <c r="A19" s="243" t="s">
        <v>134</v>
      </c>
      <c r="B19" s="237"/>
      <c r="C19" s="237">
        <f>'inversion inicial y gastos'!J31</f>
        <v>528.33333333333326</v>
      </c>
      <c r="D19" s="237">
        <f>+'inversion inicial y gastos'!J9</f>
        <v>90</v>
      </c>
      <c r="E19" s="237">
        <f>+D19</f>
        <v>90</v>
      </c>
      <c r="F19" s="237">
        <f t="shared" ref="F19:N19" si="9">+E19</f>
        <v>90</v>
      </c>
      <c r="G19" s="237">
        <f t="shared" si="9"/>
        <v>90</v>
      </c>
      <c r="H19" s="237">
        <f>+G19+'inversion inicial y gastos'!J30+'inversion inicial y gastos'!K30</f>
        <v>315</v>
      </c>
      <c r="I19" s="237">
        <f>+G19</f>
        <v>90</v>
      </c>
      <c r="J19" s="237">
        <f t="shared" si="9"/>
        <v>90</v>
      </c>
      <c r="K19" s="237">
        <f t="shared" si="9"/>
        <v>90</v>
      </c>
      <c r="L19" s="237">
        <f t="shared" si="9"/>
        <v>90</v>
      </c>
      <c r="M19" s="237">
        <f t="shared" si="9"/>
        <v>90</v>
      </c>
      <c r="N19" s="242">
        <f t="shared" si="9"/>
        <v>90</v>
      </c>
    </row>
    <row r="20" spans="1:14">
      <c r="A20" s="243" t="s">
        <v>216</v>
      </c>
      <c r="B20" s="237"/>
      <c r="C20" s="237">
        <f>+'inversion inicial y gastos'!L31</f>
        <v>600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42"/>
    </row>
    <row r="21" spans="1:14">
      <c r="A21" s="243" t="s">
        <v>131</v>
      </c>
      <c r="B21" s="237">
        <f>+'inversion inicial y gastos'!J11</f>
        <v>5</v>
      </c>
      <c r="C21" s="237">
        <f>+B21</f>
        <v>5</v>
      </c>
      <c r="D21" s="237">
        <f t="shared" ref="D21:N21" si="10">+C21</f>
        <v>5</v>
      </c>
      <c r="E21" s="237">
        <f t="shared" si="10"/>
        <v>5</v>
      </c>
      <c r="F21" s="237">
        <f t="shared" si="10"/>
        <v>5</v>
      </c>
      <c r="G21" s="237">
        <f t="shared" si="10"/>
        <v>5</v>
      </c>
      <c r="H21" s="237">
        <f t="shared" si="10"/>
        <v>5</v>
      </c>
      <c r="I21" s="237">
        <f t="shared" si="10"/>
        <v>5</v>
      </c>
      <c r="J21" s="237">
        <f t="shared" si="10"/>
        <v>5</v>
      </c>
      <c r="K21" s="237">
        <f t="shared" si="10"/>
        <v>5</v>
      </c>
      <c r="L21" s="237">
        <f t="shared" si="10"/>
        <v>5</v>
      </c>
      <c r="M21" s="237">
        <f t="shared" si="10"/>
        <v>5</v>
      </c>
      <c r="N21" s="242">
        <f t="shared" si="10"/>
        <v>5</v>
      </c>
    </row>
    <row r="22" spans="1:14">
      <c r="A22" s="243" t="s">
        <v>132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42">
        <f>+'inversion inicial y gastos'!K12</f>
        <v>36</v>
      </c>
    </row>
    <row r="23" spans="1:14">
      <c r="A23" s="243" t="s">
        <v>114</v>
      </c>
      <c r="B23" s="237">
        <f>+'inversion inicial y gastos'!I31</f>
        <v>360</v>
      </c>
      <c r="C23" s="237"/>
      <c r="D23" s="237">
        <f>+'inversion inicial y gastos'!J13</f>
        <v>112</v>
      </c>
      <c r="E23" s="237">
        <f>+D23</f>
        <v>112</v>
      </c>
      <c r="F23" s="237">
        <f t="shared" ref="F23:N23" si="11">+E23</f>
        <v>112</v>
      </c>
      <c r="G23" s="237">
        <f t="shared" si="11"/>
        <v>112</v>
      </c>
      <c r="H23" s="237">
        <f t="shared" si="11"/>
        <v>112</v>
      </c>
      <c r="I23" s="237">
        <f t="shared" si="11"/>
        <v>112</v>
      </c>
      <c r="J23" s="237">
        <f t="shared" si="11"/>
        <v>112</v>
      </c>
      <c r="K23" s="237">
        <f t="shared" si="11"/>
        <v>112</v>
      </c>
      <c r="L23" s="237">
        <f t="shared" si="11"/>
        <v>112</v>
      </c>
      <c r="M23" s="237">
        <f t="shared" si="11"/>
        <v>112</v>
      </c>
      <c r="N23" s="242">
        <f t="shared" si="11"/>
        <v>112</v>
      </c>
    </row>
    <row r="24" spans="1:14">
      <c r="A24" s="243" t="s">
        <v>109</v>
      </c>
      <c r="B24" s="237">
        <f>+'inversion inicial y gastos'!J14</f>
        <v>30</v>
      </c>
      <c r="C24" s="237">
        <f>+B24</f>
        <v>30</v>
      </c>
      <c r="D24" s="237">
        <f t="shared" ref="D24:N24" si="12">+C24</f>
        <v>30</v>
      </c>
      <c r="E24" s="237">
        <f t="shared" si="12"/>
        <v>30</v>
      </c>
      <c r="F24" s="237">
        <f t="shared" si="12"/>
        <v>30</v>
      </c>
      <c r="G24" s="237">
        <f t="shared" si="12"/>
        <v>30</v>
      </c>
      <c r="H24" s="237">
        <f t="shared" si="12"/>
        <v>30</v>
      </c>
      <c r="I24" s="237">
        <f t="shared" si="12"/>
        <v>30</v>
      </c>
      <c r="J24" s="237">
        <f t="shared" si="12"/>
        <v>30</v>
      </c>
      <c r="K24" s="237">
        <f t="shared" si="12"/>
        <v>30</v>
      </c>
      <c r="L24" s="237">
        <f t="shared" si="12"/>
        <v>30</v>
      </c>
      <c r="M24" s="237">
        <f t="shared" si="12"/>
        <v>30</v>
      </c>
      <c r="N24" s="242">
        <f t="shared" si="12"/>
        <v>30</v>
      </c>
    </row>
    <row r="25" spans="1:14" ht="15.75" thickBot="1">
      <c r="A25" s="244" t="s">
        <v>194</v>
      </c>
      <c r="B25" s="245">
        <f>+'inversion inicial y gastos'!E27</f>
        <v>84.208333333333329</v>
      </c>
      <c r="C25" s="245">
        <f>+B25</f>
        <v>84.208333333333329</v>
      </c>
      <c r="D25" s="245">
        <f t="shared" ref="D25:N25" si="13">+C25</f>
        <v>84.208333333333329</v>
      </c>
      <c r="E25" s="245">
        <f t="shared" si="13"/>
        <v>84.208333333333329</v>
      </c>
      <c r="F25" s="245">
        <f t="shared" si="13"/>
        <v>84.208333333333329</v>
      </c>
      <c r="G25" s="245">
        <f t="shared" si="13"/>
        <v>84.208333333333329</v>
      </c>
      <c r="H25" s="245">
        <f t="shared" si="13"/>
        <v>84.208333333333329</v>
      </c>
      <c r="I25" s="245">
        <f t="shared" si="13"/>
        <v>84.208333333333329</v>
      </c>
      <c r="J25" s="245">
        <f t="shared" si="13"/>
        <v>84.208333333333329</v>
      </c>
      <c r="K25" s="245">
        <f t="shared" si="13"/>
        <v>84.208333333333329</v>
      </c>
      <c r="L25" s="245">
        <f t="shared" si="13"/>
        <v>84.208333333333329</v>
      </c>
      <c r="M25" s="245">
        <f t="shared" si="13"/>
        <v>84.208333333333329</v>
      </c>
      <c r="N25" s="246">
        <f t="shared" si="13"/>
        <v>84.208333333333329</v>
      </c>
    </row>
    <row r="26" spans="1:14" ht="15.75" thickBot="1">
      <c r="A26" s="226" t="s">
        <v>120</v>
      </c>
      <c r="B26" s="228">
        <f>SUM(B15:B25)</f>
        <v>4616.208333333333</v>
      </c>
      <c r="C26" s="227">
        <f>SUM(C15:C25)</f>
        <v>5384.5416666666661</v>
      </c>
      <c r="D26" s="228">
        <f t="shared" ref="D26:N26" si="14">SUM(D15:D25)</f>
        <v>4458.208333333333</v>
      </c>
      <c r="E26" s="227">
        <f t="shared" si="14"/>
        <v>4458.208333333333</v>
      </c>
      <c r="F26" s="228">
        <f t="shared" si="14"/>
        <v>4458.208333333333</v>
      </c>
      <c r="G26" s="227">
        <f t="shared" si="14"/>
        <v>4458.208333333333</v>
      </c>
      <c r="H26" s="228">
        <f t="shared" si="14"/>
        <v>4683.208333333333</v>
      </c>
      <c r="I26" s="227">
        <f t="shared" si="14"/>
        <v>4458.208333333333</v>
      </c>
      <c r="J26" s="228">
        <f t="shared" si="14"/>
        <v>4458.208333333333</v>
      </c>
      <c r="K26" s="227">
        <f t="shared" si="14"/>
        <v>4458.208333333333</v>
      </c>
      <c r="L26" s="228">
        <f t="shared" si="14"/>
        <v>4458.208333333333</v>
      </c>
      <c r="M26" s="227">
        <f t="shared" si="14"/>
        <v>4458.208333333333</v>
      </c>
      <c r="N26" s="228">
        <f t="shared" si="14"/>
        <v>4494.208333333333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I26" sqref="I26"/>
    </sheetView>
  </sheetViews>
  <sheetFormatPr baseColWidth="10" defaultRowHeight="15"/>
  <cols>
    <col min="1" max="1" width="13.5703125" customWidth="1"/>
    <col min="2" max="2" width="14.85546875" customWidth="1"/>
    <col min="3" max="3" width="15.42578125" customWidth="1"/>
    <col min="4" max="5" width="13.7109375" customWidth="1"/>
  </cols>
  <sheetData>
    <row r="1" spans="1:5" ht="24" customHeight="1" thickBot="1">
      <c r="A1" s="280" t="s">
        <v>60</v>
      </c>
      <c r="B1" s="281"/>
      <c r="C1" s="281"/>
      <c r="D1" s="281"/>
      <c r="E1" s="282"/>
    </row>
    <row r="2" spans="1:5" ht="15.75" customHeight="1" thickBot="1">
      <c r="A2" s="283" t="s">
        <v>65</v>
      </c>
      <c r="B2" s="284"/>
      <c r="C2" s="284"/>
      <c r="D2" s="284"/>
      <c r="E2" s="113">
        <v>12.05</v>
      </c>
    </row>
    <row r="3" spans="1:5" ht="26.25" thickBot="1">
      <c r="A3" s="114" t="s">
        <v>61</v>
      </c>
      <c r="B3" s="115" t="s">
        <v>62</v>
      </c>
      <c r="C3" s="115" t="s">
        <v>174</v>
      </c>
      <c r="D3" s="115" t="s">
        <v>63</v>
      </c>
      <c r="E3" s="115" t="s">
        <v>64</v>
      </c>
    </row>
    <row r="4" spans="1:5" ht="18" customHeight="1" thickBot="1">
      <c r="A4" s="17">
        <v>0</v>
      </c>
      <c r="B4" s="174">
        <v>0</v>
      </c>
      <c r="C4" s="174">
        <v>0</v>
      </c>
      <c r="D4" s="174">
        <v>0</v>
      </c>
      <c r="E4" s="174">
        <f>-0.5*'inversion inicial y gastos'!C30</f>
        <v>7382.1041666666661</v>
      </c>
    </row>
    <row r="5" spans="1:5" ht="18" customHeight="1" thickBot="1">
      <c r="A5" s="17">
        <v>1</v>
      </c>
      <c r="B5" s="174">
        <f>PMT($B$12,2,-$E$4)</f>
        <v>4370.8470968447846</v>
      </c>
      <c r="C5" s="174">
        <f>B5-D5</f>
        <v>3481.3035447614511</v>
      </c>
      <c r="D5" s="174">
        <f>E4*B12</f>
        <v>889.54355208333322</v>
      </c>
      <c r="E5" s="174">
        <f>E4-C5</f>
        <v>3900.8006219052149</v>
      </c>
    </row>
    <row r="6" spans="1:5" ht="18" customHeight="1" thickBot="1">
      <c r="A6" s="17">
        <v>2</v>
      </c>
      <c r="B6" s="174">
        <f>PMT($B$12,2,-$E$4)</f>
        <v>4370.8470968447846</v>
      </c>
      <c r="C6" s="174">
        <f>B6-D6</f>
        <v>3900.8006219052063</v>
      </c>
      <c r="D6" s="174">
        <f>E5*B12</f>
        <v>470.04647493957839</v>
      </c>
      <c r="E6" s="174">
        <f>E5-C6</f>
        <v>8.6401996668428183E-12</v>
      </c>
    </row>
    <row r="7" spans="1:5" ht="15.75" thickBot="1">
      <c r="A7" s="96" t="s">
        <v>170</v>
      </c>
      <c r="B7" s="188">
        <f>+B5/12</f>
        <v>364.2372580703987</v>
      </c>
    </row>
    <row r="9" spans="1:5" ht="15.75" thickBot="1"/>
    <row r="10" spans="1:5" ht="15.75" thickBot="1">
      <c r="A10" s="96" t="s">
        <v>168</v>
      </c>
      <c r="B10" s="7"/>
    </row>
    <row r="11" spans="1:5" ht="15.75" thickBot="1">
      <c r="A11" s="96" t="s">
        <v>178</v>
      </c>
      <c r="B11" s="7"/>
    </row>
    <row r="12" spans="1:5" ht="15.75" thickBot="1">
      <c r="A12" s="116" t="s">
        <v>169</v>
      </c>
      <c r="B12" s="118">
        <v>0.1205</v>
      </c>
    </row>
    <row r="13" spans="1:5" ht="15.75" thickBot="1">
      <c r="A13" s="12" t="s">
        <v>48</v>
      </c>
      <c r="B13" s="117">
        <v>0.5</v>
      </c>
    </row>
    <row r="15" spans="1:5">
      <c r="A15" s="95"/>
    </row>
    <row r="18" spans="3:3">
      <c r="C18" s="50"/>
    </row>
  </sheetData>
  <mergeCells count="2">
    <mergeCell ref="A1:E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E28" sqref="E28"/>
    </sheetView>
  </sheetViews>
  <sheetFormatPr baseColWidth="10" defaultRowHeight="15"/>
  <cols>
    <col min="1" max="1" width="14.7109375" customWidth="1"/>
    <col min="2" max="2" width="16.140625" customWidth="1"/>
    <col min="3" max="3" width="13.28515625" customWidth="1"/>
    <col min="4" max="4" width="18.140625" customWidth="1"/>
    <col min="5" max="5" width="19.140625" customWidth="1"/>
    <col min="6" max="6" width="22.7109375" customWidth="1"/>
    <col min="7" max="7" width="14.5703125" customWidth="1"/>
    <col min="8" max="8" width="15.5703125" customWidth="1"/>
  </cols>
  <sheetData>
    <row r="1" spans="1:9" ht="15.75" thickBot="1">
      <c r="D1" s="9"/>
    </row>
    <row r="2" spans="1:9" ht="15.75" thickBot="1">
      <c r="A2" s="285" t="s">
        <v>49</v>
      </c>
      <c r="B2" s="286"/>
      <c r="C2" s="286"/>
      <c r="D2" s="286"/>
      <c r="E2" s="286"/>
      <c r="F2" s="286"/>
      <c r="G2" s="287"/>
    </row>
    <row r="3" spans="1:9" ht="15.75" thickBot="1">
      <c r="A3" s="37" t="s">
        <v>50</v>
      </c>
      <c r="B3" s="38" t="s">
        <v>51</v>
      </c>
      <c r="C3" s="37" t="s">
        <v>52</v>
      </c>
      <c r="D3" s="38" t="s">
        <v>53</v>
      </c>
      <c r="E3" s="37" t="s">
        <v>54</v>
      </c>
      <c r="F3" s="39" t="s">
        <v>55</v>
      </c>
      <c r="G3" s="39" t="s">
        <v>56</v>
      </c>
      <c r="H3" s="182" t="s">
        <v>208</v>
      </c>
      <c r="I3" s="182" t="s">
        <v>209</v>
      </c>
    </row>
    <row r="4" spans="1:9" ht="18" customHeight="1" thickBot="1">
      <c r="A4" s="135" t="s">
        <v>189</v>
      </c>
      <c r="B4" s="136">
        <f>+'inversion inicial y gastos'!C24+'inversion inicial y gastos'!C25+'inversion inicial y gastos'!C26</f>
        <v>1105</v>
      </c>
      <c r="C4" s="137">
        <v>10</v>
      </c>
      <c r="D4" s="138">
        <f>B4/C4</f>
        <v>110.5</v>
      </c>
      <c r="E4" s="137">
        <v>5</v>
      </c>
      <c r="F4" s="138">
        <f>+D4*E4</f>
        <v>552.5</v>
      </c>
      <c r="G4" s="138">
        <f>+B4-F4</f>
        <v>552.5</v>
      </c>
      <c r="H4" s="183"/>
      <c r="I4" s="51"/>
    </row>
    <row r="5" spans="1:9" ht="15.75" thickBot="1">
      <c r="A5" s="139" t="s">
        <v>57</v>
      </c>
      <c r="B5" s="136">
        <f>+'inversion inicial y gastos'!C22+'inversion inicial y gastos'!C23</f>
        <v>2700</v>
      </c>
      <c r="C5" s="140">
        <v>3</v>
      </c>
      <c r="D5" s="141">
        <f>B5/C5</f>
        <v>900</v>
      </c>
      <c r="E5" s="140">
        <v>2</v>
      </c>
      <c r="F5" s="141">
        <f>+D5*E5</f>
        <v>1800</v>
      </c>
      <c r="G5" s="142">
        <f>+B5-F5</f>
        <v>900</v>
      </c>
      <c r="H5" s="184">
        <v>0.3</v>
      </c>
      <c r="I5" s="53">
        <f>+H5*B5</f>
        <v>810</v>
      </c>
    </row>
    <row r="6" spans="1:9" ht="15.75" thickBot="1">
      <c r="A6" s="288" t="s">
        <v>58</v>
      </c>
      <c r="B6" s="289"/>
      <c r="C6" s="290"/>
      <c r="D6" s="40">
        <f>+F4+F5</f>
        <v>2352.5</v>
      </c>
      <c r="E6" s="288" t="s">
        <v>59</v>
      </c>
      <c r="F6" s="290"/>
      <c r="G6" s="41">
        <f>SUM(G4:G5)</f>
        <v>1452.5</v>
      </c>
    </row>
  </sheetData>
  <mergeCells count="3">
    <mergeCell ref="A2:G2"/>
    <mergeCell ref="A6:C6"/>
    <mergeCell ref="E6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45"/>
  <sheetViews>
    <sheetView topLeftCell="C16" zoomScale="110" zoomScaleNormal="110" workbookViewId="0">
      <selection activeCell="J10" sqref="J10"/>
    </sheetView>
  </sheetViews>
  <sheetFormatPr baseColWidth="10" defaultRowHeight="15"/>
  <cols>
    <col min="1" max="1" width="4" customWidth="1"/>
    <col min="2" max="2" width="29" customWidth="1"/>
    <col min="3" max="3" width="13.28515625" customWidth="1"/>
    <col min="4" max="4" width="10.5703125" customWidth="1"/>
    <col min="5" max="8" width="9.85546875" bestFit="1" customWidth="1"/>
    <col min="10" max="10" width="23.28515625" customWidth="1"/>
    <col min="12" max="12" width="15.140625" bestFit="1" customWidth="1"/>
    <col min="13" max="13" width="24.42578125" customWidth="1"/>
  </cols>
  <sheetData>
    <row r="2" spans="1:12">
      <c r="A2" s="292" t="s">
        <v>66</v>
      </c>
      <c r="B2" s="292"/>
      <c r="C2" s="292"/>
      <c r="D2" s="292"/>
      <c r="E2" s="292"/>
      <c r="F2" s="292"/>
      <c r="G2" s="292"/>
      <c r="H2" s="292"/>
    </row>
    <row r="3" spans="1:12" ht="15.75" thickBot="1">
      <c r="A3" s="293"/>
      <c r="B3" s="293"/>
      <c r="C3" s="293"/>
      <c r="D3" s="293"/>
      <c r="E3" s="293"/>
      <c r="F3" s="293"/>
      <c r="G3" s="293"/>
      <c r="H3" s="293"/>
    </row>
    <row r="4" spans="1:12" ht="15.75" thickBot="1">
      <c r="A4" s="22"/>
      <c r="B4" s="22"/>
      <c r="C4" s="291" t="s">
        <v>67</v>
      </c>
      <c r="D4" s="291"/>
      <c r="E4" s="291"/>
      <c r="F4" s="291"/>
      <c r="G4" s="291"/>
      <c r="H4" s="291"/>
      <c r="J4" s="196" t="s">
        <v>185</v>
      </c>
      <c r="K4" s="248">
        <v>1.4999999999999999E-2</v>
      </c>
    </row>
    <row r="5" spans="1:12" ht="15.75" thickBot="1">
      <c r="A5" s="22"/>
      <c r="B5" s="22"/>
      <c r="C5" s="143">
        <v>2010</v>
      </c>
      <c r="D5" s="144">
        <v>2011</v>
      </c>
      <c r="E5" s="144">
        <v>2012</v>
      </c>
      <c r="F5" s="144">
        <v>2013</v>
      </c>
      <c r="G5" s="144">
        <v>2014</v>
      </c>
      <c r="H5" s="144">
        <v>2015</v>
      </c>
    </row>
    <row r="6" spans="1:12">
      <c r="A6" s="151" t="s">
        <v>69</v>
      </c>
      <c r="B6" s="23" t="s">
        <v>68</v>
      </c>
      <c r="C6" s="24"/>
      <c r="D6" s="25">
        <f>+demanda!B29</f>
        <v>66961.580399999992</v>
      </c>
      <c r="E6" s="186">
        <f>+D6*(1+$K$4)</f>
        <v>67966.004105999978</v>
      </c>
      <c r="F6" s="186">
        <f>+E6*(1+$K$4)</f>
        <v>68985.494167589975</v>
      </c>
      <c r="G6" s="186">
        <f>+F6*(1+$K$4)</f>
        <v>70020.276580103819</v>
      </c>
      <c r="H6" s="186">
        <f>+G6*(1+$K$4)</f>
        <v>71070.580728805362</v>
      </c>
    </row>
    <row r="7" spans="1:12">
      <c r="A7" s="152" t="s">
        <v>179</v>
      </c>
      <c r="B7" s="145" t="s">
        <v>70</v>
      </c>
      <c r="C7" s="146"/>
      <c r="D7" s="147">
        <f>SUM(D8:D15)</f>
        <v>61474.428333333337</v>
      </c>
      <c r="E7" s="147">
        <f>SUM(E8:E15)</f>
        <v>61547.963333333333</v>
      </c>
      <c r="F7" s="147">
        <f>SUM(F8:F15)</f>
        <v>62618.601358333333</v>
      </c>
      <c r="G7" s="147">
        <f>SUM(G8:G15)</f>
        <v>62694.358953708332</v>
      </c>
      <c r="H7" s="147">
        <f>SUM(H8:H15)</f>
        <v>63866.852913013958</v>
      </c>
    </row>
    <row r="8" spans="1:12" ht="18">
      <c r="A8" s="152" t="s">
        <v>47</v>
      </c>
      <c r="B8" s="23" t="s">
        <v>72</v>
      </c>
      <c r="C8" s="24"/>
      <c r="D8" s="26">
        <f>+sueldos!L8</f>
        <v>44175</v>
      </c>
      <c r="E8" s="26">
        <f t="shared" ref="E8:H10" si="0">+D8</f>
        <v>44175</v>
      </c>
      <c r="F8" s="26">
        <f t="shared" si="0"/>
        <v>44175</v>
      </c>
      <c r="G8" s="26">
        <f t="shared" si="0"/>
        <v>44175</v>
      </c>
      <c r="H8" s="26">
        <f t="shared" si="0"/>
        <v>44175</v>
      </c>
      <c r="K8" s="185"/>
      <c r="L8" s="95"/>
    </row>
    <row r="9" spans="1:12">
      <c r="A9" s="152" t="s">
        <v>71</v>
      </c>
      <c r="B9" s="23" t="s">
        <v>173</v>
      </c>
      <c r="C9" s="24"/>
      <c r="D9" s="26">
        <f>+sueldos!F8</f>
        <v>337.09500000000003</v>
      </c>
      <c r="E9" s="26">
        <f t="shared" si="0"/>
        <v>337.09500000000003</v>
      </c>
      <c r="F9" s="26">
        <f t="shared" si="0"/>
        <v>337.09500000000003</v>
      </c>
      <c r="G9" s="26">
        <f t="shared" si="0"/>
        <v>337.09500000000003</v>
      </c>
      <c r="H9" s="26">
        <f t="shared" si="0"/>
        <v>337.09500000000003</v>
      </c>
    </row>
    <row r="10" spans="1:12">
      <c r="A10" s="152" t="s">
        <v>73</v>
      </c>
      <c r="B10" s="23" t="s">
        <v>74</v>
      </c>
      <c r="C10" s="24"/>
      <c r="D10" s="26">
        <f>+'inversion inicial y gastos'!K6</f>
        <v>624</v>
      </c>
      <c r="E10" s="26">
        <f t="shared" si="0"/>
        <v>624</v>
      </c>
      <c r="F10" s="26">
        <f t="shared" si="0"/>
        <v>624</v>
      </c>
      <c r="G10" s="26">
        <f t="shared" si="0"/>
        <v>624</v>
      </c>
      <c r="H10" s="26">
        <f t="shared" si="0"/>
        <v>624</v>
      </c>
    </row>
    <row r="11" spans="1:12">
      <c r="A11" s="152"/>
      <c r="B11" s="23" t="s">
        <v>207</v>
      </c>
      <c r="C11" s="24"/>
      <c r="D11" s="26">
        <f>+'inversion inicial y gastos'!K3</f>
        <v>840</v>
      </c>
      <c r="E11" s="26">
        <f t="shared" ref="E11:H12" si="1">+D11*(1+$K$4)</f>
        <v>852.59999999999991</v>
      </c>
      <c r="F11" s="26">
        <f t="shared" si="1"/>
        <v>865.38899999999978</v>
      </c>
      <c r="G11" s="26">
        <f t="shared" si="1"/>
        <v>878.36983499999974</v>
      </c>
      <c r="H11" s="26">
        <f t="shared" si="1"/>
        <v>891.5453825249997</v>
      </c>
    </row>
    <row r="12" spans="1:12">
      <c r="A12" s="153"/>
      <c r="B12" s="23" t="s">
        <v>171</v>
      </c>
      <c r="C12" s="24"/>
      <c r="D12" s="26">
        <f>+'inversion inicial y gastos'!K9</f>
        <v>1080</v>
      </c>
      <c r="E12" s="26">
        <f t="shared" si="1"/>
        <v>1096.1999999999998</v>
      </c>
      <c r="F12" s="26">
        <f t="shared" si="1"/>
        <v>1112.6429999999998</v>
      </c>
      <c r="G12" s="26">
        <f t="shared" si="1"/>
        <v>1129.3326449999997</v>
      </c>
      <c r="H12" s="26">
        <f t="shared" si="1"/>
        <v>1146.2726346749996</v>
      </c>
    </row>
    <row r="13" spans="1:12">
      <c r="A13" s="152" t="s">
        <v>73</v>
      </c>
      <c r="B13" s="23" t="s">
        <v>172</v>
      </c>
      <c r="C13" s="24"/>
      <c r="D13" s="26">
        <f>+'inversion inicial y gastos'!K7</f>
        <v>9960</v>
      </c>
      <c r="E13" s="26">
        <f>+D13</f>
        <v>9960</v>
      </c>
      <c r="F13" s="26">
        <f>+E13*1.1</f>
        <v>10956</v>
      </c>
      <c r="G13" s="26">
        <f>+F13</f>
        <v>10956</v>
      </c>
      <c r="H13" s="26">
        <f>+G13*1.1</f>
        <v>12051.6</v>
      </c>
    </row>
    <row r="14" spans="1:12">
      <c r="A14" s="152" t="s">
        <v>69</v>
      </c>
      <c r="B14" s="23" t="s">
        <v>76</v>
      </c>
      <c r="C14" s="24"/>
      <c r="D14" s="26">
        <f>+'inversion inicial y gastos'!K13</f>
        <v>2982.333333333333</v>
      </c>
      <c r="E14" s="26">
        <f>+D14*(1+$K$4)</f>
        <v>3027.0683333333327</v>
      </c>
      <c r="F14" s="26">
        <f>+E14*(1+$K$4)</f>
        <v>3072.4743583333325</v>
      </c>
      <c r="G14" s="26">
        <f>+F14*(1+$K$4)</f>
        <v>3118.561473708332</v>
      </c>
      <c r="H14" s="26">
        <f>+G14*(1+$K$4)</f>
        <v>3165.3398958139564</v>
      </c>
    </row>
    <row r="15" spans="1:12">
      <c r="A15" s="154"/>
      <c r="B15" s="23" t="s">
        <v>186</v>
      </c>
      <c r="C15" s="24"/>
      <c r="D15" s="26">
        <f>+'inversion inicial y gastos'!K8+'inversion inicial y gastos'!K11+'inversion inicial y gastos'!K12+'inversion inicial y gastos'!K14</f>
        <v>1476</v>
      </c>
      <c r="E15" s="26">
        <f>+D15</f>
        <v>1476</v>
      </c>
      <c r="F15" s="26">
        <f>+E15</f>
        <v>1476</v>
      </c>
      <c r="G15" s="26">
        <f>+F15</f>
        <v>1476</v>
      </c>
      <c r="H15" s="26">
        <f>+G15</f>
        <v>1476</v>
      </c>
    </row>
    <row r="16" spans="1:12">
      <c r="A16" s="152" t="s">
        <v>78</v>
      </c>
      <c r="B16" s="145" t="s">
        <v>77</v>
      </c>
      <c r="C16" s="146"/>
      <c r="D16" s="147">
        <f>+D17+D18</f>
        <v>1010.5</v>
      </c>
      <c r="E16" s="147">
        <f>+E17+E18</f>
        <v>1010.5</v>
      </c>
      <c r="F16" s="147">
        <f>+F17+F18</f>
        <v>1010.5</v>
      </c>
      <c r="G16" s="147">
        <f>+G17+G18</f>
        <v>1010.5</v>
      </c>
      <c r="H16" s="147">
        <f>+H17+H18</f>
        <v>1010.5</v>
      </c>
    </row>
    <row r="17" spans="1:8">
      <c r="A17" s="152" t="s">
        <v>69</v>
      </c>
      <c r="B17" s="23" t="s">
        <v>210</v>
      </c>
      <c r="C17" s="24"/>
      <c r="D17" s="26">
        <f>+'inversion inicial y gastos'!F24+'inversion inicial y gastos'!F25+'inversion inicial y gastos'!F26</f>
        <v>110.5</v>
      </c>
      <c r="E17" s="26">
        <f t="shared" ref="E17:H18" si="2">+D17</f>
        <v>110.5</v>
      </c>
      <c r="F17" s="26">
        <f t="shared" si="2"/>
        <v>110.5</v>
      </c>
      <c r="G17" s="26">
        <f t="shared" si="2"/>
        <v>110.5</v>
      </c>
      <c r="H17" s="26">
        <f t="shared" si="2"/>
        <v>110.5</v>
      </c>
    </row>
    <row r="18" spans="1:8">
      <c r="A18" s="152" t="s">
        <v>179</v>
      </c>
      <c r="B18" s="23" t="s">
        <v>211</v>
      </c>
      <c r="C18" s="24"/>
      <c r="D18" s="26">
        <f>+'inversion inicial y gastos'!F22+'inversion inicial y gastos'!F23</f>
        <v>900</v>
      </c>
      <c r="E18" s="26">
        <f t="shared" si="2"/>
        <v>900</v>
      </c>
      <c r="F18" s="26">
        <f t="shared" si="2"/>
        <v>900</v>
      </c>
      <c r="G18" s="26">
        <f t="shared" si="2"/>
        <v>900</v>
      </c>
      <c r="H18" s="26">
        <f t="shared" si="2"/>
        <v>900</v>
      </c>
    </row>
    <row r="19" spans="1:8">
      <c r="A19" s="152" t="s">
        <v>79</v>
      </c>
      <c r="B19" s="148" t="s">
        <v>80</v>
      </c>
      <c r="C19" s="149"/>
      <c r="D19" s="150">
        <f>+D6-D7-D16</f>
        <v>4476.6520666666547</v>
      </c>
      <c r="E19" s="150">
        <f>+E6-E7-E16</f>
        <v>5407.5407726666454</v>
      </c>
      <c r="F19" s="150">
        <f>+F6-F7-F16</f>
        <v>5356.3928092566421</v>
      </c>
      <c r="G19" s="150">
        <f>+G6-G7-G16</f>
        <v>6315.4176263954869</v>
      </c>
      <c r="H19" s="150">
        <f>+H6-H7-H16</f>
        <v>6193.2278157914043</v>
      </c>
    </row>
    <row r="20" spans="1:8">
      <c r="A20" s="152" t="s">
        <v>48</v>
      </c>
      <c r="B20" s="145" t="s">
        <v>81</v>
      </c>
      <c r="C20" s="146"/>
      <c r="D20" s="147">
        <f>+D21</f>
        <v>889.54355208333322</v>
      </c>
      <c r="E20" s="147">
        <f>+E21</f>
        <v>470.04647493957839</v>
      </c>
      <c r="F20" s="147">
        <f>+F21</f>
        <v>0</v>
      </c>
      <c r="G20" s="147">
        <f>+G21</f>
        <v>0</v>
      </c>
      <c r="H20" s="147">
        <f>+H21</f>
        <v>0</v>
      </c>
    </row>
    <row r="21" spans="1:8" ht="18" customHeight="1">
      <c r="A21" s="152" t="s">
        <v>47</v>
      </c>
      <c r="B21" s="23" t="s">
        <v>82</v>
      </c>
      <c r="C21" s="24"/>
      <c r="D21" s="26">
        <f>+'TABLA AMORT'!D5</f>
        <v>889.54355208333322</v>
      </c>
      <c r="E21" s="26">
        <f>+'TABLA AMORT'!D6</f>
        <v>470.04647493957839</v>
      </c>
      <c r="F21" s="26">
        <v>0</v>
      </c>
      <c r="G21" s="26">
        <v>0</v>
      </c>
      <c r="H21" s="26">
        <v>0</v>
      </c>
    </row>
    <row r="22" spans="1:8">
      <c r="A22" s="152" t="s">
        <v>71</v>
      </c>
      <c r="B22" s="148" t="s">
        <v>177</v>
      </c>
      <c r="C22" s="149"/>
      <c r="D22" s="150">
        <f>+D19-D20</f>
        <v>3587.1085145833213</v>
      </c>
      <c r="E22" s="150">
        <f>+E19-E20</f>
        <v>4937.4942977270666</v>
      </c>
      <c r="F22" s="150">
        <f>+F19-F20</f>
        <v>5356.3928092566421</v>
      </c>
      <c r="G22" s="150">
        <f>+G19-G20</f>
        <v>6315.4176263954869</v>
      </c>
      <c r="H22" s="150">
        <f>+H19-H20</f>
        <v>6193.2278157914043</v>
      </c>
    </row>
    <row r="23" spans="1:8">
      <c r="A23" s="152" t="s">
        <v>73</v>
      </c>
      <c r="B23" s="102" t="s">
        <v>175</v>
      </c>
      <c r="C23" s="101"/>
      <c r="D23" s="103">
        <f>+D22*0.15</f>
        <v>538.06627718749814</v>
      </c>
      <c r="E23" s="103">
        <f>+E22*0.15</f>
        <v>740.62414465905999</v>
      </c>
      <c r="F23" s="103">
        <f>+F22*0.15</f>
        <v>803.45892138849626</v>
      </c>
      <c r="G23" s="103">
        <f>+G22*0.15</f>
        <v>947.31264395932294</v>
      </c>
      <c r="H23" s="103">
        <f>+H22*0.15</f>
        <v>928.98417236871057</v>
      </c>
    </row>
    <row r="24" spans="1:8">
      <c r="A24" s="152" t="s">
        <v>75</v>
      </c>
      <c r="B24" s="148" t="s">
        <v>176</v>
      </c>
      <c r="C24" s="149"/>
      <c r="D24" s="150">
        <f>+D22-D23</f>
        <v>3049.0422373958231</v>
      </c>
      <c r="E24" s="150">
        <f>+E22-E23</f>
        <v>4196.8701530680064</v>
      </c>
      <c r="F24" s="150">
        <f>+F22-F23</f>
        <v>4552.9338878681456</v>
      </c>
      <c r="G24" s="150">
        <f>+G22-G23</f>
        <v>5368.1049824361635</v>
      </c>
      <c r="H24" s="150">
        <f>+H22-H23</f>
        <v>5264.2436434226938</v>
      </c>
    </row>
    <row r="25" spans="1:8" ht="15.75" thickBot="1">
      <c r="A25" s="155"/>
      <c r="B25" s="23" t="s">
        <v>83</v>
      </c>
      <c r="C25" s="24"/>
      <c r="D25" s="26">
        <f>D24*0.25</f>
        <v>762.26055934895578</v>
      </c>
      <c r="E25" s="26">
        <f>E24*0.25</f>
        <v>1049.2175382670016</v>
      </c>
      <c r="F25" s="26">
        <f>F24*0.25</f>
        <v>1138.2334719670364</v>
      </c>
      <c r="G25" s="26">
        <f>G24*0.25</f>
        <v>1342.0262456090409</v>
      </c>
      <c r="H25" s="26">
        <f>H24*0.25</f>
        <v>1316.0609108556735</v>
      </c>
    </row>
    <row r="26" spans="1:8">
      <c r="A26" s="191"/>
      <c r="B26" s="148" t="s">
        <v>84</v>
      </c>
      <c r="C26" s="149"/>
      <c r="D26" s="150">
        <f>+D22-D25</f>
        <v>2824.8479552343656</v>
      </c>
      <c r="E26" s="150">
        <f>+E22-E25</f>
        <v>3888.276759460065</v>
      </c>
      <c r="F26" s="150">
        <f>+F22-F25</f>
        <v>4218.1593372896059</v>
      </c>
      <c r="G26" s="150">
        <f>+G22-G25</f>
        <v>4973.3913807864465</v>
      </c>
      <c r="H26" s="150">
        <f>+H22-H25</f>
        <v>4877.1669049357306</v>
      </c>
    </row>
    <row r="27" spans="1:8">
      <c r="A27" s="191"/>
      <c r="B27" s="27" t="s">
        <v>85</v>
      </c>
      <c r="C27" s="24"/>
      <c r="D27" s="26">
        <f>+D16</f>
        <v>1010.5</v>
      </c>
      <c r="E27" s="26">
        <f>+E16</f>
        <v>1010.5</v>
      </c>
      <c r="F27" s="26">
        <f>+F16</f>
        <v>1010.5</v>
      </c>
      <c r="G27" s="26">
        <f>+G16</f>
        <v>1010.5</v>
      </c>
      <c r="H27" s="26">
        <f>+H16</f>
        <v>1010.5</v>
      </c>
    </row>
    <row r="28" spans="1:8">
      <c r="A28" s="192"/>
      <c r="B28" s="27" t="s">
        <v>86</v>
      </c>
      <c r="C28" s="24"/>
      <c r="D28" s="26">
        <f>+'TABLA AMORT'!C5</f>
        <v>3481.3035447614511</v>
      </c>
      <c r="E28" s="26">
        <f>+'TABLA AMORT'!C6</f>
        <v>3900.8006219052063</v>
      </c>
      <c r="F28" s="26">
        <v>0</v>
      </c>
      <c r="G28" s="26">
        <v>0</v>
      </c>
      <c r="H28" s="26">
        <v>0</v>
      </c>
    </row>
    <row r="29" spans="1:8">
      <c r="A29" s="192"/>
      <c r="B29" s="27" t="s">
        <v>87</v>
      </c>
      <c r="C29" s="26">
        <f>-+'inversion inicial y gastos'!D17</f>
        <v>-10148</v>
      </c>
      <c r="D29" s="26"/>
      <c r="E29" s="26"/>
      <c r="F29" s="26"/>
      <c r="G29" s="26"/>
      <c r="H29" s="26"/>
    </row>
    <row r="30" spans="1:8">
      <c r="A30" s="192"/>
      <c r="B30" s="27" t="s">
        <v>180</v>
      </c>
      <c r="C30" s="26"/>
      <c r="D30" s="26"/>
      <c r="E30" s="26"/>
      <c r="F30" s="26">
        <f>-504*5-60*3+'VALOR DE DESECHO'!I5</f>
        <v>-1890</v>
      </c>
      <c r="G30" s="26"/>
      <c r="H30" s="26"/>
    </row>
    <row r="31" spans="1:8">
      <c r="A31" s="192"/>
      <c r="B31" s="27" t="s">
        <v>88</v>
      </c>
      <c r="C31" s="26">
        <f>+'CAPITAL DE TRABAJO'!B8</f>
        <v>-4616.208333333333</v>
      </c>
      <c r="D31" s="26"/>
      <c r="E31" s="26"/>
      <c r="F31" s="26"/>
      <c r="G31" s="26"/>
      <c r="H31" s="26">
        <f>-C31</f>
        <v>4616.208333333333</v>
      </c>
    </row>
    <row r="32" spans="1:8">
      <c r="A32" s="191"/>
      <c r="B32" s="27" t="s">
        <v>89</v>
      </c>
      <c r="C32" s="26">
        <f>+'TABLA AMORT'!E4</f>
        <v>7382.1041666666661</v>
      </c>
      <c r="D32" s="26"/>
      <c r="E32" s="26"/>
      <c r="F32" s="26"/>
      <c r="G32" s="26"/>
      <c r="H32" s="26"/>
    </row>
    <row r="33" spans="1:13" ht="15.75" thickBot="1">
      <c r="A33" s="191"/>
      <c r="B33" s="166" t="s">
        <v>90</v>
      </c>
      <c r="C33" s="167"/>
      <c r="D33" s="168"/>
      <c r="E33" s="168"/>
      <c r="F33" s="168"/>
      <c r="G33" s="168"/>
      <c r="H33" s="168">
        <f>+'VALOR DE DESECHO'!G6</f>
        <v>1452.5</v>
      </c>
      <c r="L33" s="2"/>
      <c r="M33" s="2"/>
    </row>
    <row r="34" spans="1:13" ht="15.75" thickBot="1">
      <c r="A34" s="28"/>
      <c r="B34" s="169" t="s">
        <v>91</v>
      </c>
      <c r="C34" s="170">
        <f>C29+C31+C32</f>
        <v>-7382.1041666666661</v>
      </c>
      <c r="D34" s="170">
        <f>+D26+D27-D28</f>
        <v>354.04441047291448</v>
      </c>
      <c r="E34" s="170">
        <f>+E26+E27-E28</f>
        <v>997.97613755485827</v>
      </c>
      <c r="F34" s="170">
        <f>+F26+F27-F28+F30</f>
        <v>3338.6593372896059</v>
      </c>
      <c r="G34" s="170">
        <f>+G26+G27-G28</f>
        <v>5983.8913807864465</v>
      </c>
      <c r="H34" s="171">
        <f>+H29+H31+H32+H27+H26</f>
        <v>10503.875238269064</v>
      </c>
      <c r="L34" s="2"/>
      <c r="M34" s="2"/>
    </row>
    <row r="35" spans="1:13">
      <c r="A35" s="28"/>
      <c r="B35" s="104"/>
      <c r="C35" s="97"/>
      <c r="D35" s="97"/>
      <c r="E35" s="97"/>
      <c r="F35" s="97"/>
      <c r="G35" s="97"/>
      <c r="H35" s="97"/>
      <c r="L35" s="2"/>
      <c r="M35" s="294"/>
    </row>
    <row r="36" spans="1:13" ht="15.75" thickBot="1">
      <c r="A36" s="28"/>
      <c r="B36" s="104"/>
      <c r="C36" s="97"/>
      <c r="D36" s="97"/>
      <c r="E36" s="97"/>
      <c r="F36" s="97"/>
      <c r="G36" s="97"/>
      <c r="H36" s="97"/>
      <c r="L36" s="2"/>
      <c r="M36" s="294"/>
    </row>
    <row r="37" spans="1:13" ht="15.75" thickBot="1">
      <c r="A37" s="10"/>
      <c r="B37" s="205" t="s">
        <v>40</v>
      </c>
      <c r="C37" s="204">
        <f>+CAPM!B15</f>
        <v>0.25397599999999998</v>
      </c>
      <c r="D37" s="18"/>
      <c r="E37" s="205" t="s">
        <v>40</v>
      </c>
      <c r="F37" s="204">
        <v>0.26979999999999998</v>
      </c>
    </row>
    <row r="38" spans="1:13">
      <c r="B38" s="206" t="s">
        <v>92</v>
      </c>
      <c r="C38" s="202">
        <f>NPV(C37,D34:H34)+C34</f>
        <v>1035.8311726692027</v>
      </c>
      <c r="D38" s="10"/>
      <c r="E38" s="206" t="s">
        <v>92</v>
      </c>
      <c r="F38" s="202">
        <f>NPV(F37,D34:H34)+C34</f>
        <v>629.79349514656496</v>
      </c>
    </row>
    <row r="39" spans="1:13" ht="15.75" thickBot="1">
      <c r="B39" s="207" t="s">
        <v>93</v>
      </c>
      <c r="C39" s="203">
        <f>IRR(C34:H34)</f>
        <v>0.29658546958913667</v>
      </c>
      <c r="E39" s="207" t="s">
        <v>93</v>
      </c>
      <c r="F39" s="203">
        <f>IRR(C34:H34)</f>
        <v>0.29658546958913667</v>
      </c>
    </row>
    <row r="45" spans="1:13">
      <c r="K45" s="21"/>
    </row>
  </sheetData>
  <mergeCells count="4">
    <mergeCell ref="C4:H4"/>
    <mergeCell ref="A2:H2"/>
    <mergeCell ref="A3:H3"/>
    <mergeCell ref="M35:M3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2:F12"/>
  <sheetViews>
    <sheetView workbookViewId="0">
      <selection activeCell="F1" sqref="F1"/>
    </sheetView>
  </sheetViews>
  <sheetFormatPr baseColWidth="10" defaultRowHeight="15"/>
  <cols>
    <col min="1" max="1" width="8.85546875" customWidth="1"/>
    <col min="2" max="2" width="16" customWidth="1"/>
    <col min="3" max="3" width="15" customWidth="1"/>
    <col min="4" max="4" width="21.5703125" customWidth="1"/>
    <col min="5" max="5" width="27" customWidth="1"/>
  </cols>
  <sheetData>
    <row r="2" spans="1:6" ht="15.75" thickBot="1">
      <c r="B2" s="29"/>
      <c r="C2" s="295"/>
      <c r="D2" s="295"/>
      <c r="E2" s="55"/>
    </row>
    <row r="3" spans="1:6" ht="15.75" thickBot="1">
      <c r="A3" s="250" t="s">
        <v>94</v>
      </c>
      <c r="B3" s="251"/>
      <c r="C3" s="251"/>
      <c r="D3" s="251"/>
      <c r="E3" s="252"/>
      <c r="F3" s="36"/>
    </row>
    <row r="4" spans="1:6">
      <c r="A4" s="156" t="s">
        <v>61</v>
      </c>
      <c r="B4" s="157" t="s">
        <v>190</v>
      </c>
      <c r="C4" s="157" t="s">
        <v>95</v>
      </c>
      <c r="D4" s="157" t="s">
        <v>191</v>
      </c>
      <c r="E4" s="158" t="s">
        <v>192</v>
      </c>
    </row>
    <row r="5" spans="1:6">
      <c r="A5" s="161">
        <v>0</v>
      </c>
      <c r="B5" s="159">
        <f>+'inversion inicial y gastos'!C30</f>
        <v>-14764.208333333332</v>
      </c>
      <c r="C5" s="159">
        <v>0</v>
      </c>
      <c r="D5" s="159">
        <v>0</v>
      </c>
      <c r="E5" s="160">
        <v>0</v>
      </c>
    </row>
    <row r="6" spans="1:6">
      <c r="A6" s="162">
        <v>1</v>
      </c>
      <c r="B6" s="30"/>
      <c r="C6" s="31">
        <f>+'EE RR y flujo de caja'!D34</f>
        <v>354.04441047291448</v>
      </c>
      <c r="D6" s="32">
        <f>+C6</f>
        <v>354.04441047291448</v>
      </c>
      <c r="E6" s="33">
        <f>+C6+B5</f>
        <v>-14410.163922860418</v>
      </c>
    </row>
    <row r="7" spans="1:6">
      <c r="A7" s="163">
        <v>2</v>
      </c>
      <c r="B7" s="98"/>
      <c r="C7" s="99">
        <f>+'EE RR y flujo de caja'!E34</f>
        <v>997.97613755485827</v>
      </c>
      <c r="D7" s="98">
        <f>+D6+C7</f>
        <v>1352.0205480277727</v>
      </c>
      <c r="E7" s="100">
        <f>+E6+C7</f>
        <v>-13412.187785305559</v>
      </c>
    </row>
    <row r="8" spans="1:6">
      <c r="A8" s="163">
        <v>3</v>
      </c>
      <c r="B8" s="98"/>
      <c r="C8" s="99">
        <f>+'EE RR y flujo de caja'!F34</f>
        <v>3338.6593372896059</v>
      </c>
      <c r="D8" s="98">
        <f>+D7+C8</f>
        <v>4690.6798853173786</v>
      </c>
      <c r="E8" s="100">
        <f>+E7+C8</f>
        <v>-10073.528448015953</v>
      </c>
    </row>
    <row r="9" spans="1:6">
      <c r="A9" s="162">
        <v>4</v>
      </c>
      <c r="B9" s="32"/>
      <c r="C9" s="31">
        <f>+'EE RR y flujo de caja'!G34</f>
        <v>5983.8913807864465</v>
      </c>
      <c r="D9" s="32">
        <f>+D8+C9</f>
        <v>10674.571266103825</v>
      </c>
      <c r="E9" s="100">
        <f>+E8+C9</f>
        <v>-4089.637067229507</v>
      </c>
    </row>
    <row r="10" spans="1:6" ht="15.75" thickBot="1">
      <c r="A10" s="164">
        <v>5</v>
      </c>
      <c r="B10" s="34"/>
      <c r="C10" s="35">
        <f>+'EE RR y flujo de caja'!H34</f>
        <v>10503.875238269064</v>
      </c>
      <c r="D10" s="34">
        <f>+D9+C10</f>
        <v>21178.446504372889</v>
      </c>
      <c r="E10" s="165">
        <f>+E9+C10</f>
        <v>6414.2381710395566</v>
      </c>
    </row>
    <row r="11" spans="1:6">
      <c r="B11" s="29"/>
      <c r="C11" s="29"/>
      <c r="D11" s="29"/>
      <c r="E11" s="29"/>
    </row>
    <row r="12" spans="1:6">
      <c r="A12" s="20"/>
      <c r="B12" s="193"/>
      <c r="C12" s="29"/>
      <c r="D12" s="29"/>
      <c r="E12" s="29"/>
    </row>
  </sheetData>
  <mergeCells count="2">
    <mergeCell ref="C2:D2"/>
    <mergeCell ref="A3:E3"/>
  </mergeCells>
  <pageMargins left="0.7" right="0.7" top="0.75" bottom="0.75" header="0.3" footer="0.3"/>
  <pageSetup paperSize="9" orientation="portrait" horizontalDpi="12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19" sqref="E19"/>
    </sheetView>
  </sheetViews>
  <sheetFormatPr baseColWidth="10" defaultRowHeight="15"/>
  <cols>
    <col min="1" max="1" width="23.7109375" customWidth="1"/>
    <col min="2" max="2" width="13.28515625" customWidth="1"/>
    <col min="3" max="3" width="12.28515625" customWidth="1"/>
  </cols>
  <sheetData>
    <row r="1" spans="1:3" ht="16.5" thickBot="1">
      <c r="A1" s="14"/>
    </row>
    <row r="2" spans="1:3" ht="15.75" thickBot="1">
      <c r="A2" s="298" t="s">
        <v>45</v>
      </c>
      <c r="B2" s="299"/>
    </row>
    <row r="3" spans="1:3" ht="15.75" thickBot="1">
      <c r="A3" s="198" t="s">
        <v>41</v>
      </c>
      <c r="B3" s="199">
        <v>2.47E-2</v>
      </c>
    </row>
    <row r="4" spans="1:3" ht="15.75" thickBot="1">
      <c r="A4" s="198" t="s">
        <v>42</v>
      </c>
      <c r="B4" s="200">
        <v>1.27</v>
      </c>
      <c r="C4" s="95"/>
    </row>
    <row r="5" spans="1:3" ht="15.75" thickBot="1">
      <c r="A5" s="198" t="s">
        <v>43</v>
      </c>
      <c r="B5" s="199">
        <v>0.26979999999999998</v>
      </c>
      <c r="C5" s="187"/>
    </row>
    <row r="6" spans="1:3" ht="15.75" thickBot="1">
      <c r="A6" s="198" t="s">
        <v>44</v>
      </c>
      <c r="B6" s="199">
        <v>8.1600000000000006E-2</v>
      </c>
    </row>
    <row r="7" spans="1:3" ht="15.75" thickBot="1">
      <c r="A7" s="198" t="s">
        <v>45</v>
      </c>
      <c r="B7" s="199">
        <f>((B3+(B4*(B5-B3))+B6))</f>
        <v>0.41757699999999998</v>
      </c>
    </row>
    <row r="9" spans="1:3" ht="16.5" thickBot="1">
      <c r="A9" s="15"/>
    </row>
    <row r="10" spans="1:3" ht="16.5" thickBot="1">
      <c r="A10" s="296" t="s">
        <v>187</v>
      </c>
      <c r="B10" s="297"/>
      <c r="C10" s="16"/>
    </row>
    <row r="11" spans="1:3" ht="15.75" thickBot="1">
      <c r="A11" s="198" t="s">
        <v>46</v>
      </c>
      <c r="B11" s="199">
        <f>+'TABLA AMORT'!B12</f>
        <v>0.1205</v>
      </c>
    </row>
    <row r="12" spans="1:3" ht="15.75" thickBot="1">
      <c r="A12" s="198" t="s">
        <v>47</v>
      </c>
      <c r="B12" s="199">
        <v>0.25</v>
      </c>
    </row>
    <row r="13" spans="1:3" ht="15.75" thickBot="1">
      <c r="A13" s="198" t="s">
        <v>48</v>
      </c>
      <c r="B13" s="199">
        <f>+'TABLA AMORT'!B13</f>
        <v>0.5</v>
      </c>
    </row>
    <row r="14" spans="1:3" ht="15.75" thickBot="1">
      <c r="A14" s="198" t="s">
        <v>45</v>
      </c>
      <c r="B14" s="199">
        <f>+B7</f>
        <v>0.41757699999999998</v>
      </c>
    </row>
    <row r="15" spans="1:3" ht="15.75" thickBot="1">
      <c r="A15" s="198" t="s">
        <v>187</v>
      </c>
      <c r="B15" s="199">
        <f>(B11*((1-B12)*B13))+(B14*(1-B13))</f>
        <v>0.25397599999999998</v>
      </c>
      <c r="C15" s="16"/>
    </row>
  </sheetData>
  <mergeCells count="2">
    <mergeCell ref="A10:B10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inversion inicial y gastos</vt:lpstr>
      <vt:lpstr>sueldos</vt:lpstr>
      <vt:lpstr>demanda</vt:lpstr>
      <vt:lpstr>CAPITAL DE TRABAJO</vt:lpstr>
      <vt:lpstr>TABLA AMORT</vt:lpstr>
      <vt:lpstr>VALOR DE DESECHO</vt:lpstr>
      <vt:lpstr>EE RR y flujo de caja</vt:lpstr>
      <vt:lpstr>PAYBACK</vt:lpstr>
      <vt:lpstr>CAPM</vt:lpstr>
      <vt:lpstr>PUNTO DE EQUILIBRIO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windowsxp</cp:lastModifiedBy>
  <dcterms:created xsi:type="dcterms:W3CDTF">2010-01-20T15:19:18Z</dcterms:created>
  <dcterms:modified xsi:type="dcterms:W3CDTF">2010-04-29T21:47:17Z</dcterms:modified>
</cp:coreProperties>
</file>