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2120" windowHeight="8415" tabRatio="599" firstSheet="1" activeTab="4"/>
  </bookViews>
  <sheets>
    <sheet name="Ingresos y Egresos" sheetId="6" r:id="rId1"/>
    <sheet name="Inversiones" sheetId="1" r:id="rId2"/>
    <sheet name="Flujo de Caja del Inversionista" sheetId="2" r:id="rId3"/>
    <sheet name="Balance Inicial" sheetId="3" r:id="rId4"/>
    <sheet name="escenarios" sheetId="8" r:id="rId5"/>
    <sheet name="Hoja1" sheetId="9" r:id="rId6"/>
  </sheets>
  <calcPr calcId="125725"/>
</workbook>
</file>

<file path=xl/calcChain.xml><?xml version="1.0" encoding="utf-8"?>
<calcChain xmlns="http://schemas.openxmlformats.org/spreadsheetml/2006/main">
  <c r="H25" i="1"/>
  <c r="H24"/>
  <c r="H23"/>
  <c r="H40"/>
  <c r="H41"/>
  <c r="H42"/>
  <c r="H43"/>
  <c r="H38"/>
  <c r="W49"/>
  <c r="W42"/>
  <c r="W35"/>
  <c r="V14"/>
  <c r="V7"/>
  <c r="G113" i="2"/>
  <c r="G107"/>
  <c r="F17" i="1"/>
  <c r="K17"/>
  <c r="G39"/>
  <c r="H39"/>
  <c r="H46"/>
  <c r="H48"/>
  <c r="N50" i="2"/>
  <c r="G43" i="1"/>
  <c r="G40"/>
  <c r="F16"/>
  <c r="K44"/>
  <c r="Q44"/>
  <c r="F10"/>
  <c r="E7" i="6"/>
  <c r="M13"/>
  <c r="BB56" i="2"/>
  <c r="BB50"/>
  <c r="S49" i="1"/>
  <c r="K45" i="2"/>
  <c r="M49" i="1"/>
  <c r="E45" i="2"/>
  <c r="F7" i="1"/>
  <c r="K35"/>
  <c r="F8"/>
  <c r="K36"/>
  <c r="Q36"/>
  <c r="F9"/>
  <c r="K37"/>
  <c r="V37"/>
  <c r="K38"/>
  <c r="F11"/>
  <c r="K39"/>
  <c r="V39"/>
  <c r="F12"/>
  <c r="K40"/>
  <c r="V40"/>
  <c r="F13"/>
  <c r="K41"/>
  <c r="V41"/>
  <c r="F14"/>
  <c r="K42"/>
  <c r="R42"/>
  <c r="F15"/>
  <c r="K16"/>
  <c r="F18"/>
  <c r="F19"/>
  <c r="K47"/>
  <c r="F20"/>
  <c r="F23"/>
  <c r="K21"/>
  <c r="L21"/>
  <c r="M21"/>
  <c r="F24"/>
  <c r="K22"/>
  <c r="L22"/>
  <c r="M22"/>
  <c r="F27"/>
  <c r="K23"/>
  <c r="F28"/>
  <c r="K24"/>
  <c r="F29"/>
  <c r="K25"/>
  <c r="F32"/>
  <c r="F33"/>
  <c r="F34"/>
  <c r="G38"/>
  <c r="G41"/>
  <c r="G42"/>
  <c r="D44" i="2"/>
  <c r="F26"/>
  <c r="G26"/>
  <c r="H26"/>
  <c r="I26"/>
  <c r="J26"/>
  <c r="K26"/>
  <c r="L26"/>
  <c r="M26"/>
  <c r="N26"/>
  <c r="O70" i="6"/>
  <c r="P70"/>
  <c r="P67"/>
  <c r="O68"/>
  <c r="P68"/>
  <c r="O67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N58"/>
  <c r="N59"/>
  <c r="N60"/>
  <c r="F36"/>
  <c r="G36"/>
  <c r="F37"/>
  <c r="G37"/>
  <c r="F38"/>
  <c r="G38"/>
  <c r="F39"/>
  <c r="G39"/>
  <c r="F40"/>
  <c r="G40"/>
  <c r="F41"/>
  <c r="G41"/>
  <c r="F42"/>
  <c r="G42"/>
  <c r="G45"/>
  <c r="H45"/>
  <c r="G46"/>
  <c r="H46"/>
  <c r="G47"/>
  <c r="H47"/>
  <c r="G48"/>
  <c r="H48"/>
  <c r="G49"/>
  <c r="H49"/>
  <c r="G50"/>
  <c r="H50"/>
  <c r="G51"/>
  <c r="H51"/>
  <c r="G52"/>
  <c r="H52"/>
  <c r="M53"/>
  <c r="E27" i="2"/>
  <c r="J27" s="1"/>
  <c r="E11" i="3"/>
  <c r="E22"/>
  <c r="S22" i="6"/>
  <c r="S42" s="1"/>
  <c r="R22"/>
  <c r="R42" s="1"/>
  <c r="Q22"/>
  <c r="Q42" s="1"/>
  <c r="P22"/>
  <c r="P42" s="1"/>
  <c r="O22"/>
  <c r="O42" s="1"/>
  <c r="N22"/>
  <c r="N42" s="1"/>
  <c r="M22"/>
  <c r="M42" s="1"/>
  <c r="L34"/>
  <c r="L33"/>
  <c r="L32"/>
  <c r="L31"/>
  <c r="S30"/>
  <c r="O30"/>
  <c r="D17" i="3"/>
  <c r="F71" i="6"/>
  <c r="P30"/>
  <c r="F25" i="1"/>
  <c r="D41" i="2"/>
  <c r="F30" i="1"/>
  <c r="D14" i="3"/>
  <c r="K13" i="1"/>
  <c r="P13"/>
  <c r="K12"/>
  <c r="L13"/>
  <c r="T13"/>
  <c r="R12"/>
  <c r="M12"/>
  <c r="D15" i="3"/>
  <c r="N12" i="1"/>
  <c r="S12"/>
  <c r="N24"/>
  <c r="R24"/>
  <c r="L24"/>
  <c r="Q24"/>
  <c r="M24"/>
  <c r="N25"/>
  <c r="R25"/>
  <c r="L25"/>
  <c r="Q25"/>
  <c r="K19"/>
  <c r="L19"/>
  <c r="K14"/>
  <c r="L14"/>
  <c r="O23"/>
  <c r="S23"/>
  <c r="N23"/>
  <c r="R23"/>
  <c r="T47"/>
  <c r="V47"/>
  <c r="P47"/>
  <c r="N16"/>
  <c r="K11"/>
  <c r="Q39"/>
  <c r="K10"/>
  <c r="N10"/>
  <c r="K9"/>
  <c r="Q37"/>
  <c r="K8"/>
  <c r="L8"/>
  <c r="M8"/>
  <c r="K7"/>
  <c r="L7"/>
  <c r="N61" i="6"/>
  <c r="E22" i="2"/>
  <c r="F22"/>
  <c r="G22" s="1"/>
  <c r="H22" s="1"/>
  <c r="I22" s="1"/>
  <c r="J22" s="1"/>
  <c r="K22" s="1"/>
  <c r="L22" s="1"/>
  <c r="M22" s="1"/>
  <c r="N22" s="1"/>
  <c r="H27"/>
  <c r="H53" i="6"/>
  <c r="E25" i="2"/>
  <c r="F25"/>
  <c r="G25" s="1"/>
  <c r="H25" s="1"/>
  <c r="I25" s="1"/>
  <c r="J25" s="1"/>
  <c r="K25" s="1"/>
  <c r="L25" s="1"/>
  <c r="M25" s="1"/>
  <c r="N25" s="1"/>
  <c r="O13" i="6"/>
  <c r="O8"/>
  <c r="R13"/>
  <c r="R9"/>
  <c r="N13"/>
  <c r="N10"/>
  <c r="N25" s="1"/>
  <c r="N26" s="1"/>
  <c r="N43" s="1"/>
  <c r="N46" s="1"/>
  <c r="V44" i="1"/>
  <c r="V36"/>
  <c r="D13" i="3"/>
  <c r="E19" s="1"/>
  <c r="E24" s="1"/>
  <c r="U42" i="1"/>
  <c r="U49"/>
  <c r="M45" i="2"/>
  <c r="O42" i="1"/>
  <c r="O49"/>
  <c r="G45" i="2"/>
  <c r="Q38" i="1"/>
  <c r="P49"/>
  <c r="H45" i="2"/>
  <c r="V38" i="1"/>
  <c r="T49"/>
  <c r="L45" i="2"/>
  <c r="N8" i="1"/>
  <c r="O8"/>
  <c r="G43" i="6"/>
  <c r="E24" i="2"/>
  <c r="F24" s="1"/>
  <c r="G24" s="1"/>
  <c r="H24" s="1"/>
  <c r="I24" s="1"/>
  <c r="J24" s="1"/>
  <c r="K24" s="1"/>
  <c r="L24" s="1"/>
  <c r="M24" s="1"/>
  <c r="N24" s="1"/>
  <c r="Q13" i="1"/>
  <c r="Q13" i="6"/>
  <c r="Q9" s="1"/>
  <c r="P13"/>
  <c r="P9" s="1"/>
  <c r="O10"/>
  <c r="O25" s="1"/>
  <c r="O26" s="1"/>
  <c r="O43" s="1"/>
  <c r="O46" s="1"/>
  <c r="F21" i="1"/>
  <c r="D42" i="2"/>
  <c r="M14" i="1"/>
  <c r="L11"/>
  <c r="N11"/>
  <c r="L10"/>
  <c r="M10"/>
  <c r="M9"/>
  <c r="N9"/>
  <c r="O9"/>
  <c r="L9"/>
  <c r="N8" i="6"/>
  <c r="N31"/>
  <c r="N9"/>
  <c r="N32"/>
  <c r="D16" i="3"/>
  <c r="Q10" i="6"/>
  <c r="Q33" s="1"/>
  <c r="P10"/>
  <c r="P25" s="1"/>
  <c r="M7" i="1"/>
  <c r="N7"/>
  <c r="N23" i="6"/>
  <c r="O7" i="1"/>
  <c r="P7"/>
  <c r="Q7"/>
  <c r="D18" i="3"/>
  <c r="N24" i="6"/>
  <c r="O9"/>
  <c r="R7" i="1"/>
  <c r="O11"/>
  <c r="M11"/>
  <c r="Q12"/>
  <c r="P12"/>
  <c r="T12"/>
  <c r="O12"/>
  <c r="L12"/>
  <c r="M25"/>
  <c r="P25"/>
  <c r="T25"/>
  <c r="O25"/>
  <c r="S25"/>
  <c r="P24"/>
  <c r="T24"/>
  <c r="O24"/>
  <c r="S24"/>
  <c r="L23"/>
  <c r="Q23"/>
  <c r="M23"/>
  <c r="P23"/>
  <c r="T23"/>
  <c r="N47"/>
  <c r="N49"/>
  <c r="F45" i="2"/>
  <c r="R47" i="1"/>
  <c r="M16"/>
  <c r="O16"/>
  <c r="L16"/>
  <c r="K43"/>
  <c r="V43"/>
  <c r="K15"/>
  <c r="N33" i="6"/>
  <c r="G70"/>
  <c r="E21" i="2"/>
  <c r="F21" s="1"/>
  <c r="G21" s="1"/>
  <c r="H21" s="1"/>
  <c r="I21" s="1"/>
  <c r="J21" s="1"/>
  <c r="K21" s="1"/>
  <c r="L21" s="1"/>
  <c r="M21" s="1"/>
  <c r="N21" s="1"/>
  <c r="P71" i="6"/>
  <c r="E28" i="2"/>
  <c r="R10" i="6"/>
  <c r="R25" s="1"/>
  <c r="R8"/>
  <c r="R23"/>
  <c r="R31" s="1"/>
  <c r="M13" i="1"/>
  <c r="N13"/>
  <c r="R13"/>
  <c r="S13"/>
  <c r="O13"/>
  <c r="F27" i="2"/>
  <c r="N27"/>
  <c r="M27"/>
  <c r="L27"/>
  <c r="K27"/>
  <c r="D43"/>
  <c r="D40"/>
  <c r="G46" i="1"/>
  <c r="K48"/>
  <c r="Q48"/>
  <c r="K20"/>
  <c r="K46"/>
  <c r="K18"/>
  <c r="R49"/>
  <c r="J45" i="2"/>
  <c r="O24" i="6"/>
  <c r="O32"/>
  <c r="N28" i="1"/>
  <c r="H29" i="2"/>
  <c r="H38" s="1"/>
  <c r="L18" i="1"/>
  <c r="N18"/>
  <c r="O18"/>
  <c r="M18"/>
  <c r="Q46"/>
  <c r="Q49"/>
  <c r="I45" i="2"/>
  <c r="V46" i="1"/>
  <c r="V49"/>
  <c r="N45" i="2"/>
  <c r="G28"/>
  <c r="H28"/>
  <c r="I28"/>
  <c r="M28"/>
  <c r="J28"/>
  <c r="K28"/>
  <c r="N28"/>
  <c r="L28"/>
  <c r="F28"/>
  <c r="S7" i="1"/>
  <c r="N20"/>
  <c r="M20"/>
  <c r="O20"/>
  <c r="L20"/>
  <c r="T15"/>
  <c r="R15"/>
  <c r="R28"/>
  <c r="L29" i="2"/>
  <c r="L38"/>
  <c r="P15" i="1"/>
  <c r="P28"/>
  <c r="J29" i="2"/>
  <c r="J38"/>
  <c r="N15" i="1"/>
  <c r="L15"/>
  <c r="S15"/>
  <c r="O15"/>
  <c r="O28"/>
  <c r="I29" i="2"/>
  <c r="I38" s="1"/>
  <c r="M15" i="1"/>
  <c r="Q15"/>
  <c r="Q28"/>
  <c r="K29" i="2"/>
  <c r="K38"/>
  <c r="K28" i="1"/>
  <c r="E29" i="2"/>
  <c r="E38" s="1"/>
  <c r="M28" i="1"/>
  <c r="G29" i="2"/>
  <c r="G38"/>
  <c r="T7" i="1"/>
  <c r="T28"/>
  <c r="N29" i="2"/>
  <c r="N38"/>
  <c r="S28" i="1"/>
  <c r="M29" i="2"/>
  <c r="M38" s="1"/>
  <c r="L28" i="1"/>
  <c r="F29" i="2"/>
  <c r="F38"/>
  <c r="M9" i="6"/>
  <c r="M8"/>
  <c r="M23" s="1"/>
  <c r="O23"/>
  <c r="O31"/>
  <c r="O34" s="1"/>
  <c r="O35" s="1"/>
  <c r="N11"/>
  <c r="N45"/>
  <c r="Q25"/>
  <c r="O33"/>
  <c r="R24"/>
  <c r="R32"/>
  <c r="N34"/>
  <c r="N35" s="1"/>
  <c r="M24"/>
  <c r="M32"/>
  <c r="O11"/>
  <c r="O45"/>
  <c r="P8"/>
  <c r="P23" s="1"/>
  <c r="Q8"/>
  <c r="M10"/>
  <c r="M25" s="1"/>
  <c r="M31"/>
  <c r="Q23"/>
  <c r="Q31"/>
  <c r="P31"/>
  <c r="M11"/>
  <c r="Q24" l="1"/>
  <c r="Q26" s="1"/>
  <c r="Q43" s="1"/>
  <c r="Q46" s="1"/>
  <c r="Q11"/>
  <c r="Q45" s="1"/>
  <c r="Q32"/>
  <c r="M26"/>
  <c r="S23"/>
  <c r="S31"/>
  <c r="R33"/>
  <c r="R34" s="1"/>
  <c r="R35" s="1"/>
  <c r="R26"/>
  <c r="R43" s="1"/>
  <c r="P24"/>
  <c r="P32"/>
  <c r="S25"/>
  <c r="P26"/>
  <c r="P43" s="1"/>
  <c r="P46" s="1"/>
  <c r="S24"/>
  <c r="H8" i="3"/>
  <c r="I13"/>
  <c r="F62" s="1"/>
  <c r="Q34" i="6"/>
  <c r="Q35" s="1"/>
  <c r="S32"/>
  <c r="M45"/>
  <c r="P11"/>
  <c r="P45" s="1"/>
  <c r="M33"/>
  <c r="R11"/>
  <c r="R45" s="1"/>
  <c r="P33"/>
  <c r="M30"/>
  <c r="G27" i="2"/>
  <c r="I27"/>
  <c r="R30" i="6"/>
  <c r="N30"/>
  <c r="Q30"/>
  <c r="D31" i="3" l="1"/>
  <c r="F63"/>
  <c r="I9"/>
  <c r="I16" s="1"/>
  <c r="D35"/>
  <c r="S33" i="6"/>
  <c r="M34"/>
  <c r="M35" s="1"/>
  <c r="P34"/>
  <c r="P35" s="1"/>
  <c r="R46"/>
  <c r="S34"/>
  <c r="E16" i="2" s="1"/>
  <c r="S26" i="6"/>
  <c r="S43" s="1"/>
  <c r="M43"/>
  <c r="M46" s="1"/>
  <c r="F64" i="3"/>
  <c r="S11" i="6"/>
  <c r="S45" s="1"/>
  <c r="F16" i="2" l="1"/>
  <c r="F36" i="3"/>
  <c r="E32" i="2" s="1"/>
  <c r="D48"/>
  <c r="D51" s="1"/>
  <c r="E36" i="3"/>
  <c r="S46" i="6"/>
  <c r="E17" i="2" s="1"/>
  <c r="F17" s="1"/>
  <c r="G17" s="1"/>
  <c r="H17" s="1"/>
  <c r="I17" s="1"/>
  <c r="J17" s="1"/>
  <c r="K17" s="1"/>
  <c r="L17" s="1"/>
  <c r="M17" s="1"/>
  <c r="N17" s="1"/>
  <c r="I58" l="1"/>
  <c r="F31"/>
  <c r="G16"/>
  <c r="G36" i="3"/>
  <c r="E37"/>
  <c r="E31" i="2"/>
  <c r="E33" s="1"/>
  <c r="E38" i="3" l="1"/>
  <c r="H16" i="2"/>
  <c r="G31"/>
  <c r="E34"/>
  <c r="E36"/>
  <c r="E51" s="1"/>
  <c r="E49"/>
  <c r="D36" i="3"/>
  <c r="K58" i="2"/>
  <c r="F37" i="3" l="1"/>
  <c r="H31" i="2"/>
  <c r="I16"/>
  <c r="E39" i="3"/>
  <c r="J58" i="2"/>
  <c r="L58" s="1"/>
  <c r="I59" s="1"/>
  <c r="K59" l="1"/>
  <c r="E40" i="3"/>
  <c r="F32" i="2"/>
  <c r="F33" s="1"/>
  <c r="G37" i="3"/>
  <c r="I31" i="2"/>
  <c r="J16"/>
  <c r="F34" l="1"/>
  <c r="F36" s="1"/>
  <c r="F51" s="1"/>
  <c r="E41" i="3"/>
  <c r="J31" i="2"/>
  <c r="K16"/>
  <c r="F49"/>
  <c r="D37" i="3"/>
  <c r="J59" i="2" l="1"/>
  <c r="L59" s="1"/>
  <c r="I60" s="1"/>
  <c r="F38" i="3"/>
  <c r="K31" i="2"/>
  <c r="L16"/>
  <c r="E42" i="3"/>
  <c r="E43" l="1"/>
  <c r="G32" i="2"/>
  <c r="G33" s="1"/>
  <c r="G38" i="3"/>
  <c r="L31" i="2"/>
  <c r="M16"/>
  <c r="K60"/>
  <c r="G34" l="1"/>
  <c r="G36" s="1"/>
  <c r="G51" s="1"/>
  <c r="E44" i="3"/>
  <c r="M31" i="2"/>
  <c r="N16"/>
  <c r="N31" s="1"/>
  <c r="G49"/>
  <c r="D38" i="3"/>
  <c r="J60" i="2" l="1"/>
  <c r="L60" s="1"/>
  <c r="I61" s="1"/>
  <c r="E45" i="3"/>
  <c r="F39"/>
  <c r="H32" i="2" l="1"/>
  <c r="H33" s="1"/>
  <c r="G39" i="3"/>
  <c r="K61" i="2"/>
  <c r="H34" l="1"/>
  <c r="H36" s="1"/>
  <c r="H51" s="1"/>
  <c r="H49"/>
  <c r="D39" i="3"/>
  <c r="J61" i="2" l="1"/>
  <c r="L61" s="1"/>
  <c r="I62" s="1"/>
  <c r="F40" i="3"/>
  <c r="I32" i="2" l="1"/>
  <c r="I33" s="1"/>
  <c r="G40" i="3"/>
  <c r="K62" i="2"/>
  <c r="I34" l="1"/>
  <c r="I36" s="1"/>
  <c r="I51" s="1"/>
  <c r="I49"/>
  <c r="D40" i="3"/>
  <c r="J62" i="2" l="1"/>
  <c r="L62" s="1"/>
  <c r="I63" s="1"/>
  <c r="F41" i="3"/>
  <c r="J32" i="2" l="1"/>
  <c r="J33" s="1"/>
  <c r="G41" i="3"/>
  <c r="K63" i="2"/>
  <c r="J34" l="1"/>
  <c r="J36" s="1"/>
  <c r="J51" s="1"/>
  <c r="J63" s="1"/>
  <c r="L63" s="1"/>
  <c r="I64" s="1"/>
  <c r="J49"/>
  <c r="D41" i="3"/>
  <c r="K64" i="2" l="1"/>
  <c r="F42" i="3"/>
  <c r="K32" i="2" l="1"/>
  <c r="K33" s="1"/>
  <c r="G42" i="3"/>
  <c r="K34" i="2" l="1"/>
  <c r="K36" s="1"/>
  <c r="K51" s="1"/>
  <c r="J64" s="1"/>
  <c r="L64" s="1"/>
  <c r="I65" s="1"/>
  <c r="K49"/>
  <c r="D42" i="3"/>
  <c r="K65" i="2" l="1"/>
  <c r="F43" i="3"/>
  <c r="L32" i="2" l="1"/>
  <c r="L33" s="1"/>
  <c r="G43" i="3"/>
  <c r="L34" i="2" l="1"/>
  <c r="L36"/>
  <c r="L51" s="1"/>
  <c r="J65" s="1"/>
  <c r="L65" s="1"/>
  <c r="I66" s="1"/>
  <c r="L49"/>
  <c r="D43" i="3"/>
  <c r="F44" l="1"/>
  <c r="K66" i="2"/>
  <c r="M32" l="1"/>
  <c r="M33" s="1"/>
  <c r="G44" i="3"/>
  <c r="M34" i="2" l="1"/>
  <c r="M36" s="1"/>
  <c r="M51" s="1"/>
  <c r="J66" s="1"/>
  <c r="L66" s="1"/>
  <c r="I67" s="1"/>
  <c r="K67" s="1"/>
  <c r="M49"/>
  <c r="D44" i="3"/>
  <c r="F45" l="1"/>
  <c r="N32" i="2" l="1"/>
  <c r="N33" s="1"/>
  <c r="G45" i="3"/>
  <c r="N34" i="2" l="1"/>
  <c r="N36" s="1"/>
  <c r="N51" s="1"/>
  <c r="N49"/>
  <c r="G46" i="3"/>
  <c r="D45"/>
  <c r="J67" i="2" l="1"/>
  <c r="L67" s="1"/>
  <c r="D54"/>
  <c r="O51"/>
  <c r="D53"/>
</calcChain>
</file>

<file path=xl/sharedStrings.xml><?xml version="1.0" encoding="utf-8"?>
<sst xmlns="http://schemas.openxmlformats.org/spreadsheetml/2006/main" count="366" uniqueCount="262">
  <si>
    <t>DIAS</t>
  </si>
  <si>
    <t>HORAS</t>
  </si>
  <si>
    <t>PRECIOS</t>
  </si>
  <si>
    <t>Precios</t>
  </si>
  <si>
    <t>Jueves</t>
  </si>
  <si>
    <t>Total</t>
  </si>
  <si>
    <t>Martes</t>
  </si>
  <si>
    <t>Miércoles</t>
  </si>
  <si>
    <t>Viernes</t>
  </si>
  <si>
    <t>Sábado</t>
  </si>
  <si>
    <t>Domingo</t>
  </si>
  <si>
    <t>Otros Ingresos</t>
  </si>
  <si>
    <t>Bar</t>
  </si>
  <si>
    <t>Mesas de Billar</t>
  </si>
  <si>
    <t xml:space="preserve">Costos </t>
  </si>
  <si>
    <t>Depreciacion</t>
  </si>
  <si>
    <t>Utilidad AII</t>
  </si>
  <si>
    <t>Intereses</t>
  </si>
  <si>
    <t>Utilidad AI</t>
  </si>
  <si>
    <t>Impuestos</t>
  </si>
  <si>
    <t>Utilidad Neta</t>
  </si>
  <si>
    <t xml:space="preserve">Depreciacion </t>
  </si>
  <si>
    <t>Capital de Trabajo</t>
  </si>
  <si>
    <t>Prestamo Bancario</t>
  </si>
  <si>
    <t>Amortizacion del Prestamo</t>
  </si>
  <si>
    <t xml:space="preserve">     Gastos Administrativos</t>
  </si>
  <si>
    <t>Otros Costos</t>
  </si>
  <si>
    <t>Ingresos por lineas</t>
  </si>
  <si>
    <t>Maquinas GSX Pinsetter</t>
  </si>
  <si>
    <t>Ultra Cosmic Light S&amp; V System</t>
  </si>
  <si>
    <t>Televisores</t>
  </si>
  <si>
    <t>Ball Returns</t>
  </si>
  <si>
    <t>Ball Racks</t>
  </si>
  <si>
    <t>Trash Cans</t>
  </si>
  <si>
    <t>Computadoras</t>
  </si>
  <si>
    <t>Accesorios</t>
  </si>
  <si>
    <t>Cocina Industrial 6 Hornillas</t>
  </si>
  <si>
    <t>Gastos Administrativos</t>
  </si>
  <si>
    <t>Agua</t>
  </si>
  <si>
    <t>Luz</t>
  </si>
  <si>
    <t>Telefono</t>
  </si>
  <si>
    <t xml:space="preserve">Insumos Alimenticios </t>
  </si>
  <si>
    <t>Bebidas</t>
  </si>
  <si>
    <t xml:space="preserve">    Agua</t>
  </si>
  <si>
    <t xml:space="preserve">    Te helado</t>
  </si>
  <si>
    <t xml:space="preserve">    Cervezas</t>
  </si>
  <si>
    <t>Costo Unit</t>
  </si>
  <si>
    <t xml:space="preserve">Gastos de Publicidad </t>
  </si>
  <si>
    <t>BALANCE DE SITUACION INICIAL</t>
  </si>
  <si>
    <t xml:space="preserve">ACTIVOS </t>
  </si>
  <si>
    <t>PASIVOS</t>
  </si>
  <si>
    <t>CAPITAL</t>
  </si>
  <si>
    <t>Capital Propio</t>
  </si>
  <si>
    <t xml:space="preserve">Impresoras </t>
  </si>
  <si>
    <t xml:space="preserve">Escritorios </t>
  </si>
  <si>
    <t xml:space="preserve">Sillas </t>
  </si>
  <si>
    <t xml:space="preserve">Archivadores </t>
  </si>
  <si>
    <t>Suministros de Oficina</t>
  </si>
  <si>
    <t>Terreno</t>
  </si>
  <si>
    <t>Edificio</t>
  </si>
  <si>
    <t>Sanitarios</t>
  </si>
  <si>
    <t xml:space="preserve">Lineas Telefonicas </t>
  </si>
  <si>
    <r>
      <t>m</t>
    </r>
    <r>
      <rPr>
        <vertAlign val="superscript"/>
        <sz val="11"/>
        <color indexed="8"/>
        <rFont val="Calibri"/>
        <family val="2"/>
      </rPr>
      <t>2</t>
    </r>
  </si>
  <si>
    <t>Unidad</t>
  </si>
  <si>
    <t>Cantidad</t>
  </si>
  <si>
    <t>Costo Total</t>
  </si>
  <si>
    <t>Maquinaria</t>
  </si>
  <si>
    <t>Inversion en Equipos</t>
  </si>
  <si>
    <t>Obras Fisicas</t>
  </si>
  <si>
    <t>SALDO DEUDA</t>
  </si>
  <si>
    <t>CUOTA</t>
  </si>
  <si>
    <t>INTERES</t>
  </si>
  <si>
    <t>AMORTIZACION</t>
  </si>
  <si>
    <t>VAN</t>
  </si>
  <si>
    <t>TIR</t>
  </si>
  <si>
    <t>TASA DE OPORTUNIDAD</t>
  </si>
  <si>
    <t>TASA DE INTERÉS</t>
  </si>
  <si>
    <t>TASA DE INFLACIÓN</t>
  </si>
  <si>
    <t>TASA IMPOSITIVA TRIBUTARIA</t>
  </si>
  <si>
    <t>TO = TI + TF (1 - TT) X 100</t>
  </si>
  <si>
    <t>TMAR</t>
  </si>
  <si>
    <t>Mesas con 6 sillas</t>
  </si>
  <si>
    <t xml:space="preserve">    Energizantes</t>
  </si>
  <si>
    <t xml:space="preserve">    Bebidas Hidratantes</t>
  </si>
  <si>
    <t>Rubros</t>
  </si>
  <si>
    <t>% de Crecimiento/Ingresos</t>
  </si>
  <si>
    <t>% de Crecimiento/Otros Ingresos</t>
  </si>
  <si>
    <t>3er año en adelante</t>
  </si>
  <si>
    <t>Flujo de Caja Bruto</t>
  </si>
  <si>
    <t>% de demanda a cubrir</t>
  </si>
  <si>
    <t>% de Consumo/Bar</t>
  </si>
  <si>
    <t>Consumo minimo/Bar</t>
  </si>
  <si>
    <t>% de Consumo/Billar</t>
  </si>
  <si>
    <t>Consumo minimo/Billar</t>
  </si>
  <si>
    <t>Número de Personas que visitan el local según día y hora</t>
  </si>
  <si>
    <t>La siguiente tabla de porcentajes se establecieron mediante observaciones en los locales de la competencia, en  distintos horarios</t>
  </si>
  <si>
    <t>y días de la semana considerando las horas pico y los días de mayor asistencia a los mencionados locales.</t>
  </si>
  <si>
    <t>Los siguientes porcentajes empleados en el calculo de los visitantes al local fueron tomados de los resultados obtenidos en el Estudio de Mercado</t>
  </si>
  <si>
    <t>Número de jugadores</t>
  </si>
  <si>
    <t>Ingresos por lineas consumidas</t>
  </si>
  <si>
    <t>contaremos en el local</t>
  </si>
  <si>
    <t>Valor diario (dividido por 52)</t>
  </si>
  <si>
    <t>Tabla de Inversiones</t>
  </si>
  <si>
    <t>Costo Unitario</t>
  </si>
  <si>
    <t>Vida Útil</t>
  </si>
  <si>
    <t xml:space="preserve">          Bolas</t>
  </si>
  <si>
    <t xml:space="preserve">          Zapatos</t>
  </si>
  <si>
    <t>Equipos y Mobiliario</t>
  </si>
  <si>
    <t xml:space="preserve">    Sueldos y Salarios</t>
  </si>
  <si>
    <t xml:space="preserve">    Tecnico</t>
  </si>
  <si>
    <t xml:space="preserve">    Bar </t>
  </si>
  <si>
    <t xml:space="preserve">    Cocina</t>
  </si>
  <si>
    <t xml:space="preserve">    Limpieza</t>
  </si>
  <si>
    <t>Empleados</t>
  </si>
  <si>
    <t>Cantidades</t>
  </si>
  <si>
    <t>Costo Total Anual</t>
  </si>
  <si>
    <t>Costo Mensual</t>
  </si>
  <si>
    <t>Costo Anual</t>
  </si>
  <si>
    <t>% de Inversión en Pulicidad</t>
  </si>
  <si>
    <t>Publicidad en Radio</t>
  </si>
  <si>
    <t xml:space="preserve">Volantes y Tripticos </t>
  </si>
  <si>
    <t xml:space="preserve">    Jugos (Deli)</t>
  </si>
  <si>
    <t>Inversión en Obras Físicas</t>
  </si>
  <si>
    <t>Gastos de Publicidad*</t>
  </si>
  <si>
    <t>*Se realizará un 10% de inversión en publicidad cada 2 años</t>
  </si>
  <si>
    <t xml:space="preserve">     Gastos de Servicios Basicos</t>
  </si>
  <si>
    <t xml:space="preserve">  Costos Fijos</t>
  </si>
  <si>
    <t>Cada 2 años</t>
  </si>
  <si>
    <t xml:space="preserve">  Costos Variables</t>
  </si>
  <si>
    <t>Banco Pichincha</t>
  </si>
  <si>
    <t>Monto de la Deuda</t>
  </si>
  <si>
    <t xml:space="preserve">  Corriente</t>
  </si>
  <si>
    <t xml:space="preserve">     Efectivo</t>
  </si>
  <si>
    <t xml:space="preserve">     Bancos</t>
  </si>
  <si>
    <t>Total de Activos Corrientes</t>
  </si>
  <si>
    <t xml:space="preserve">  Fijo</t>
  </si>
  <si>
    <t xml:space="preserve">    Equipos de Oficina</t>
  </si>
  <si>
    <t xml:space="preserve">    Muebles de Oficina</t>
  </si>
  <si>
    <t xml:space="preserve">    Equipos de Computacion</t>
  </si>
  <si>
    <t xml:space="preserve">    Maquinarias </t>
  </si>
  <si>
    <t xml:space="preserve">    Terreno</t>
  </si>
  <si>
    <t xml:space="preserve">    Edificio</t>
  </si>
  <si>
    <t>Total de Activos Fijos</t>
  </si>
  <si>
    <t xml:space="preserve">  Diferido</t>
  </si>
  <si>
    <t xml:space="preserve">    Gastos de Constitucion </t>
  </si>
  <si>
    <t>Total de Activos Diferidos</t>
  </si>
  <si>
    <t>Total de Activos</t>
  </si>
  <si>
    <t>Total Pasivo y Capital</t>
  </si>
  <si>
    <t>Total Pasivos</t>
  </si>
  <si>
    <t>Papas</t>
  </si>
  <si>
    <t>Salchichas</t>
  </si>
  <si>
    <t>Salsas</t>
  </si>
  <si>
    <t>Aceite</t>
  </si>
  <si>
    <t>Panes</t>
  </si>
  <si>
    <t>Unidades</t>
  </si>
  <si>
    <t>Galones</t>
  </si>
  <si>
    <t>Fundas</t>
  </si>
  <si>
    <t>Kilos</t>
  </si>
  <si>
    <t>Costo Total Mensual</t>
  </si>
  <si>
    <t xml:space="preserve">    Bebidas</t>
  </si>
  <si>
    <t xml:space="preserve">    Insumos Alimenticios </t>
  </si>
  <si>
    <t>Gastos Varios</t>
  </si>
  <si>
    <t>% de Incremento/Costos Variables</t>
  </si>
  <si>
    <t>Producto</t>
  </si>
  <si>
    <t>Precio</t>
  </si>
  <si>
    <t>Flujo de Caja del Inversionista</t>
  </si>
  <si>
    <t>Payback</t>
  </si>
  <si>
    <t>Periodo</t>
  </si>
  <si>
    <t>Saldo de Inversión</t>
  </si>
  <si>
    <t>Flujo de Caja</t>
  </si>
  <si>
    <t>Rentabilidad Exigida</t>
  </si>
  <si>
    <t>Recuperación de la Inversión</t>
  </si>
  <si>
    <t xml:space="preserve">Balance de Equipos de Computacion </t>
  </si>
  <si>
    <t>Balance de Muebles de Oficina</t>
  </si>
  <si>
    <t>Balance de Equipos de Oficina</t>
  </si>
  <si>
    <t>Gasto de Mantenimiento</t>
  </si>
  <si>
    <t>Valor</t>
  </si>
  <si>
    <t>Meses</t>
  </si>
  <si>
    <t>Zapatos (diario)</t>
  </si>
  <si>
    <t>Jugos</t>
  </si>
  <si>
    <t>Aguas</t>
  </si>
  <si>
    <t>Té Helado</t>
  </si>
  <si>
    <t>Cerveza</t>
  </si>
  <si>
    <t>Energizante</t>
  </si>
  <si>
    <t>Calendario de Reinversión</t>
  </si>
  <si>
    <t>Reemplazo</t>
  </si>
  <si>
    <t>16:00 pm- 10:00 pm</t>
  </si>
  <si>
    <t>16:00pm- 10:00pm</t>
  </si>
  <si>
    <t>Inversion Inicial</t>
  </si>
  <si>
    <t>Martes a Jueves</t>
  </si>
  <si>
    <t>$ 3 línea de juego</t>
  </si>
  <si>
    <t>Sabados y Domingos</t>
  </si>
  <si>
    <t xml:space="preserve">Miercoles y Viernes </t>
  </si>
  <si>
    <t>$4,00 línea de juego</t>
  </si>
  <si>
    <t>10:00 am- 15:00pm</t>
  </si>
  <si>
    <t>$3,0 línea de juego</t>
  </si>
  <si>
    <t>15:00pm en adelante</t>
  </si>
  <si>
    <t>$4,00 toda la noche</t>
  </si>
  <si>
    <t>Combo Hamburguesa</t>
  </si>
  <si>
    <t>Combo patacones</t>
  </si>
  <si>
    <t>Combo Hot dogs</t>
  </si>
  <si>
    <t>Coctelitos</t>
  </si>
  <si>
    <t>Carne molida</t>
  </si>
  <si>
    <t xml:space="preserve">queso </t>
  </si>
  <si>
    <t>Verdes</t>
  </si>
  <si>
    <t>Racimos</t>
  </si>
  <si>
    <t xml:space="preserve">    Gerente General</t>
  </si>
  <si>
    <t xml:space="preserve">   Jefe Operativo</t>
  </si>
  <si>
    <t xml:space="preserve">     Jefe de Marketing</t>
  </si>
  <si>
    <t>Cajera</t>
  </si>
  <si>
    <t>Mesera</t>
  </si>
  <si>
    <t>Demanda Potencial</t>
  </si>
  <si>
    <t>Mañana</t>
  </si>
  <si>
    <t>Tarde</t>
  </si>
  <si>
    <t>Noche</t>
  </si>
  <si>
    <t>En nuestro local serán permitidos como punto intermedio cinco jugadores por línea de juego, la siguiente tabla es para determinar el número de grupos con los que</t>
  </si>
  <si>
    <t>Alianza estrategica con Hipermarket</t>
  </si>
  <si>
    <t xml:space="preserve">Software </t>
  </si>
  <si>
    <t>Sofas</t>
  </si>
  <si>
    <t xml:space="preserve">Mesas   </t>
  </si>
  <si>
    <t>juego de pines</t>
  </si>
  <si>
    <t>Escritorio</t>
  </si>
  <si>
    <t>unidad</t>
  </si>
  <si>
    <t>Urinarios</t>
  </si>
  <si>
    <t xml:space="preserve">Acondicionador de Aire </t>
  </si>
  <si>
    <t>Juego de Pines</t>
  </si>
  <si>
    <t>Prestamo Banco Machala</t>
  </si>
  <si>
    <t>Frigorifico</t>
  </si>
  <si>
    <t>Combo Salchipapas</t>
  </si>
  <si>
    <t>Hidratante</t>
  </si>
  <si>
    <t xml:space="preserve">    Gaseosas de 3 litros</t>
  </si>
  <si>
    <t>Vidon</t>
  </si>
  <si>
    <t>3.1 Gastos de Servicios Basicos</t>
  </si>
  <si>
    <t>Concepto</t>
  </si>
  <si>
    <t>Elaborado por autores</t>
  </si>
  <si>
    <t>ççç</t>
  </si>
  <si>
    <t>Costos Variables</t>
  </si>
  <si>
    <t>Financiamiento del Proyecto</t>
  </si>
  <si>
    <t>Tipo</t>
  </si>
  <si>
    <t>Capital de Operación</t>
  </si>
  <si>
    <t>Total de Financiamiento</t>
  </si>
  <si>
    <t xml:space="preserve">Capìtal Propio </t>
  </si>
  <si>
    <t>Tasa de oportunidad del inversionista</t>
  </si>
  <si>
    <t>ke=</t>
  </si>
  <si>
    <t>krf</t>
  </si>
  <si>
    <t>B</t>
  </si>
  <si>
    <t>0.85</t>
  </si>
  <si>
    <t>km  - krf</t>
  </si>
  <si>
    <t>rp</t>
  </si>
  <si>
    <t>0.04</t>
  </si>
  <si>
    <t>0.08</t>
  </si>
  <si>
    <t>0.085</t>
  </si>
  <si>
    <t>valor de salvamento</t>
  </si>
  <si>
    <t>sofas</t>
  </si>
  <si>
    <t>total de valor de salvamento</t>
  </si>
  <si>
    <t>ingresos</t>
  </si>
  <si>
    <t>van</t>
  </si>
  <si>
    <t>juego de bolos</t>
  </si>
  <si>
    <t>otros ingresos</t>
  </si>
  <si>
    <t>general</t>
  </si>
  <si>
    <t>sensibilidad de la tasa</t>
  </si>
  <si>
    <t>tasa</t>
  </si>
</sst>
</file>

<file path=xl/styles.xml><?xml version="1.0" encoding="utf-8"?>
<styleSheet xmlns="http://schemas.openxmlformats.org/spreadsheetml/2006/main">
  <numFmts count="9">
    <numFmt numFmtId="8" formatCode="&quot;$&quot;\ #,##0.00_);[Red]\(&quot;$&quot;\ #,##0.00\)"/>
    <numFmt numFmtId="183" formatCode="&quot;$&quot;#,##0.00_);[Red]\(&quot;$&quot;#,##0.00\)"/>
    <numFmt numFmtId="186" formatCode="&quot;$&quot;#,##0.00"/>
    <numFmt numFmtId="190" formatCode="[$$-300A]\ #,##0.00;[$$-300A]\ \-#,##0.00"/>
    <numFmt numFmtId="191" formatCode="[$$-300A]\ #,##0.00"/>
    <numFmt numFmtId="193" formatCode="&quot;$&quot;\ #,##0.00"/>
    <numFmt numFmtId="195" formatCode="0.0%"/>
    <numFmt numFmtId="198" formatCode="[$$-300A]\ #,##0"/>
    <numFmt numFmtId="204" formatCode="&quot;$&quot;#,##0"/>
  </numFmts>
  <fonts count="2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5">
    <xf numFmtId="0" fontId="0" fillId="0" borderId="0" xfId="0"/>
    <xf numFmtId="10" fontId="0" fillId="0" borderId="0" xfId="0" applyNumberFormat="1"/>
    <xf numFmtId="186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0" fillId="0" borderId="1" xfId="0" applyBorder="1"/>
    <xf numFmtId="186" fontId="0" fillId="0" borderId="1" xfId="0" applyNumberFormat="1" applyBorder="1"/>
    <xf numFmtId="0" fontId="5" fillId="0" borderId="1" xfId="0" applyFont="1" applyBorder="1"/>
    <xf numFmtId="0" fontId="9" fillId="0" borderId="1" xfId="0" applyFont="1" applyBorder="1" applyAlignment="1">
      <alignment horizontal="center"/>
    </xf>
    <xf numFmtId="10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Fill="1"/>
    <xf numFmtId="0" fontId="2" fillId="0" borderId="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6" fontId="12" fillId="0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right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distributed"/>
    </xf>
    <xf numFmtId="186" fontId="0" fillId="0" borderId="0" xfId="0" applyNumberForma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86" fontId="0" fillId="0" borderId="1" xfId="0" applyNumberFormat="1" applyFill="1" applyBorder="1" applyAlignment="1">
      <alignment horizontal="center" vertical="center" wrapText="1"/>
    </xf>
    <xf numFmtId="18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/>
    <xf numFmtId="10" fontId="14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0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86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86" fontId="0" fillId="0" borderId="1" xfId="0" applyNumberFormat="1" applyBorder="1" applyAlignment="1">
      <alignment horizontal="center" vertical="center" wrapText="1"/>
    </xf>
    <xf numFmtId="186" fontId="9" fillId="0" borderId="1" xfId="0" applyNumberFormat="1" applyFont="1" applyBorder="1" applyAlignment="1">
      <alignment horizontal="center" vertical="center" wrapText="1"/>
    </xf>
    <xf numFmtId="193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93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8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193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93" fontId="0" fillId="0" borderId="0" xfId="0" applyNumberFormat="1"/>
    <xf numFmtId="3" fontId="0" fillId="0" borderId="1" xfId="0" applyNumberFormat="1" applyBorder="1" applyAlignment="1">
      <alignment horizontal="center" vertical="center" wrapText="1"/>
    </xf>
    <xf numFmtId="0" fontId="15" fillId="0" borderId="1" xfId="0" applyFont="1" applyBorder="1"/>
    <xf numFmtId="0" fontId="0" fillId="0" borderId="6" xfId="0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93" fontId="0" fillId="0" borderId="1" xfId="0" applyNumberFormat="1" applyBorder="1"/>
    <xf numFmtId="183" fontId="0" fillId="0" borderId="1" xfId="0" applyNumberFormat="1" applyBorder="1" applyAlignment="1">
      <alignment horizontal="center" vertical="center" wrapText="1"/>
    </xf>
    <xf numFmtId="183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193" fontId="15" fillId="0" borderId="0" xfId="0" applyNumberFormat="1" applyFont="1"/>
    <xf numFmtId="193" fontId="15" fillId="0" borderId="1" xfId="0" applyNumberFormat="1" applyFont="1" applyBorder="1"/>
    <xf numFmtId="193" fontId="0" fillId="0" borderId="7" xfId="0" applyNumberFormat="1" applyBorder="1"/>
    <xf numFmtId="4" fontId="0" fillId="0" borderId="8" xfId="0" applyNumberFormat="1" applyBorder="1"/>
    <xf numFmtId="0" fontId="0" fillId="0" borderId="3" xfId="0" applyBorder="1"/>
    <xf numFmtId="193" fontId="0" fillId="0" borderId="3" xfId="0" applyNumberFormat="1" applyBorder="1"/>
    <xf numFmtId="193" fontId="0" fillId="0" borderId="4" xfId="0" applyNumberFormat="1" applyBorder="1"/>
    <xf numFmtId="193" fontId="0" fillId="0" borderId="0" xfId="0" applyNumberFormat="1" applyBorder="1"/>
    <xf numFmtId="4" fontId="0" fillId="0" borderId="9" xfId="0" applyNumberFormat="1" applyBorder="1"/>
    <xf numFmtId="0" fontId="0" fillId="0" borderId="7" xfId="0" applyBorder="1"/>
    <xf numFmtId="0" fontId="0" fillId="0" borderId="5" xfId="0" applyBorder="1"/>
    <xf numFmtId="186" fontId="15" fillId="0" borderId="1" xfId="0" applyNumberFormat="1" applyFont="1" applyBorder="1"/>
    <xf numFmtId="0" fontId="9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93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5" fillId="0" borderId="9" xfId="0" applyFont="1" applyBorder="1" applyAlignment="1">
      <alignment vertical="center" wrapText="1"/>
    </xf>
    <xf numFmtId="10" fontId="0" fillId="0" borderId="1" xfId="0" applyNumberFormat="1" applyBorder="1" applyAlignment="1">
      <alignment horizontal="center" vertical="center"/>
    </xf>
    <xf numFmtId="191" fontId="0" fillId="0" borderId="0" xfId="0" applyNumberFormat="1"/>
    <xf numFmtId="0" fontId="5" fillId="0" borderId="1" xfId="0" applyFont="1" applyBorder="1" applyAlignment="1">
      <alignment horizontal="center"/>
    </xf>
    <xf numFmtId="186" fontId="5" fillId="0" borderId="1" xfId="0" applyNumberFormat="1" applyFont="1" applyBorder="1" applyAlignment="1">
      <alignment horizontal="center"/>
    </xf>
    <xf numFmtId="193" fontId="0" fillId="0" borderId="1" xfId="0" applyNumberFormat="1" applyBorder="1" applyAlignment="1">
      <alignment horizontal="center"/>
    </xf>
    <xf numFmtId="190" fontId="0" fillId="0" borderId="1" xfId="0" applyNumberFormat="1" applyBorder="1" applyAlignment="1">
      <alignment horizontal="center"/>
    </xf>
    <xf numFmtId="10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9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191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9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193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10" fontId="0" fillId="0" borderId="1" xfId="0" applyNumberForma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Alignment="1"/>
    <xf numFmtId="198" fontId="0" fillId="0" borderId="1" xfId="0" applyNumberFormat="1" applyBorder="1" applyAlignment="1">
      <alignment horizontal="left" vertical="center" wrapText="1"/>
    </xf>
    <xf numFmtId="198" fontId="0" fillId="0" borderId="1" xfId="0" applyNumberFormat="1" applyBorder="1" applyAlignment="1">
      <alignment horizontal="center" vertical="center" wrapText="1"/>
    </xf>
    <xf numFmtId="198" fontId="0" fillId="0" borderId="1" xfId="0" applyNumberFormat="1" applyBorder="1" applyAlignment="1">
      <alignment horizontal="center" vertical="center"/>
    </xf>
    <xf numFmtId="198" fontId="5" fillId="0" borderId="1" xfId="0" applyNumberFormat="1" applyFont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191" fontId="0" fillId="0" borderId="1" xfId="0" applyNumberFormat="1" applyFill="1" applyBorder="1" applyAlignment="1">
      <alignment horizontal="center"/>
    </xf>
    <xf numFmtId="191" fontId="1" fillId="0" borderId="1" xfId="0" applyNumberFormat="1" applyFont="1" applyFill="1" applyBorder="1" applyAlignment="1">
      <alignment horizontal="center" vertical="center"/>
    </xf>
    <xf numFmtId="186" fontId="0" fillId="0" borderId="0" xfId="0" applyNumberFormat="1" applyFill="1"/>
    <xf numFmtId="10" fontId="18" fillId="0" borderId="0" xfId="1" applyNumberFormat="1" applyFont="1" applyFill="1"/>
    <xf numFmtId="9" fontId="18" fillId="0" borderId="0" xfId="1" applyFont="1" applyFill="1"/>
    <xf numFmtId="20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/>
    <xf numFmtId="10" fontId="0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193" fontId="1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93" fontId="15" fillId="2" borderId="1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4" xfId="0" applyBorder="1"/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93" fontId="9" fillId="2" borderId="1" xfId="0" applyNumberFormat="1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5" xfId="0" applyFill="1" applyBorder="1"/>
    <xf numFmtId="193" fontId="0" fillId="3" borderId="5" xfId="0" applyNumberFormat="1" applyFill="1" applyBorder="1"/>
    <xf numFmtId="0" fontId="0" fillId="3" borderId="14" xfId="0" applyFill="1" applyBorder="1"/>
    <xf numFmtId="0" fontId="19" fillId="3" borderId="5" xfId="0" applyFont="1" applyFill="1" applyBorder="1"/>
    <xf numFmtId="0" fontId="19" fillId="0" borderId="8" xfId="0" applyFont="1" applyBorder="1"/>
    <xf numFmtId="0" fontId="19" fillId="0" borderId="8" xfId="0" applyFont="1" applyFill="1" applyBorder="1" applyAlignment="1">
      <alignment horizontal="left" vertical="center" wrapText="1"/>
    </xf>
    <xf numFmtId="0" fontId="19" fillId="0" borderId="3" xfId="0" applyFont="1" applyBorder="1"/>
    <xf numFmtId="0" fontId="19" fillId="0" borderId="1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19" fillId="0" borderId="7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9" fontId="0" fillId="0" borderId="1" xfId="0" applyNumberFormat="1" applyBorder="1"/>
    <xf numFmtId="193" fontId="0" fillId="0" borderId="4" xfId="0" applyNumberFormat="1" applyFill="1" applyBorder="1" applyAlignment="1">
      <alignment horizontal="center" vertical="center" wrapText="1"/>
    </xf>
    <xf numFmtId="8" fontId="0" fillId="0" borderId="1" xfId="0" applyNumberFormat="1" applyBorder="1"/>
    <xf numFmtId="0" fontId="19" fillId="0" borderId="0" xfId="0" applyFont="1"/>
    <xf numFmtId="0" fontId="20" fillId="0" borderId="15" xfId="0" applyFont="1" applyBorder="1"/>
    <xf numFmtId="195" fontId="20" fillId="0" borderId="15" xfId="1" applyNumberFormat="1" applyFont="1" applyBorder="1" applyAlignment="1">
      <alignment horizontal="right"/>
    </xf>
    <xf numFmtId="2" fontId="21" fillId="0" borderId="15" xfId="0" applyNumberFormat="1" applyFont="1" applyBorder="1" applyAlignment="1">
      <alignment horizontal="right"/>
    </xf>
    <xf numFmtId="0" fontId="0" fillId="4" borderId="1" xfId="0" applyFill="1" applyBorder="1" applyAlignment="1">
      <alignment horizontal="center"/>
    </xf>
    <xf numFmtId="191" fontId="0" fillId="4" borderId="1" xfId="0" applyNumberFormat="1" applyFill="1" applyBorder="1" applyAlignment="1">
      <alignment horizontal="center"/>
    </xf>
    <xf numFmtId="191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49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86" fontId="0" fillId="0" borderId="15" xfId="0" applyNumberFormat="1" applyBorder="1" applyAlignment="1">
      <alignment horizontal="center" vertical="center" wrapText="1"/>
    </xf>
    <xf numFmtId="186" fontId="0" fillId="0" borderId="15" xfId="0" applyNumberFormat="1" applyBorder="1"/>
    <xf numFmtId="186" fontId="5" fillId="0" borderId="15" xfId="0" applyNumberFormat="1" applyFont="1" applyBorder="1" applyAlignment="1">
      <alignment horizontal="center" vertical="center" wrapText="1"/>
    </xf>
    <xf numFmtId="186" fontId="19" fillId="5" borderId="15" xfId="0" applyNumberFormat="1" applyFont="1" applyFill="1" applyBorder="1"/>
    <xf numFmtId="193" fontId="0" fillId="0" borderId="15" xfId="0" applyNumberFormat="1" applyBorder="1"/>
    <xf numFmtId="193" fontId="0" fillId="5" borderId="15" xfId="0" applyNumberFormat="1" applyFill="1" applyBorder="1"/>
    <xf numFmtId="0" fontId="19" fillId="0" borderId="15" xfId="0" applyFont="1" applyBorder="1" applyAlignment="1">
      <alignment horizontal="center"/>
    </xf>
    <xf numFmtId="9" fontId="0" fillId="0" borderId="15" xfId="0" applyNumberFormat="1" applyBorder="1"/>
    <xf numFmtId="10" fontId="0" fillId="0" borderId="15" xfId="0" applyNumberFormat="1" applyBorder="1"/>
    <xf numFmtId="9" fontId="19" fillId="0" borderId="15" xfId="0" applyNumberFormat="1" applyFont="1" applyBorder="1" applyAlignment="1">
      <alignment horizontal="center"/>
    </xf>
    <xf numFmtId="10" fontId="19" fillId="0" borderId="15" xfId="0" applyNumberFormat="1" applyFont="1" applyBorder="1" applyAlignment="1">
      <alignment horizontal="center"/>
    </xf>
    <xf numFmtId="193" fontId="19" fillId="0" borderId="15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6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9" fillId="0" borderId="0" xfId="0" applyNumberFormat="1" applyFont="1" applyAlignment="1">
      <alignment horizontal="left" vertical="distributed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91" fontId="9" fillId="0" borderId="10" xfId="0" applyNumberFormat="1" applyFont="1" applyBorder="1" applyAlignment="1">
      <alignment horizontal="center" vertical="center" wrapText="1"/>
    </xf>
    <xf numFmtId="191" fontId="9" fillId="0" borderId="1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98" fontId="5" fillId="0" borderId="8" xfId="0" applyNumberFormat="1" applyFont="1" applyBorder="1" applyAlignment="1">
      <alignment horizontal="center" vertical="center" wrapText="1"/>
    </xf>
    <xf numFmtId="198" fontId="5" fillId="0" borderId="3" xfId="0" applyNumberFormat="1" applyFont="1" applyBorder="1" applyAlignment="1">
      <alignment horizontal="center" vertical="center" wrapText="1"/>
    </xf>
    <xf numFmtId="198" fontId="5" fillId="0" borderId="12" xfId="0" applyNumberFormat="1" applyFont="1" applyBorder="1" applyAlignment="1">
      <alignment horizontal="center" vertical="center" wrapText="1"/>
    </xf>
    <xf numFmtId="186" fontId="5" fillId="0" borderId="1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/>
    </xf>
    <xf numFmtId="186" fontId="5" fillId="0" borderId="8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8" xfId="0" applyFont="1" applyBorder="1"/>
    <xf numFmtId="0" fontId="15" fillId="0" borderId="12" xfId="0" applyFont="1" applyBorder="1"/>
    <xf numFmtId="0" fontId="0" fillId="0" borderId="8" xfId="0" applyBorder="1"/>
    <xf numFmtId="0" fontId="0" fillId="0" borderId="12" xfId="0" applyBorder="1"/>
    <xf numFmtId="0" fontId="19" fillId="0" borderId="15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escenarios!$F$3</c:f>
              <c:strCache>
                <c:ptCount val="1"/>
                <c:pt idx="0">
                  <c:v>van</c:v>
                </c:pt>
              </c:strCache>
            </c:strRef>
          </c:tx>
          <c:xVal>
            <c:numRef>
              <c:f>escenarios!$E$4:$E$9</c:f>
              <c:numCache>
                <c:formatCode>0.00%</c:formatCode>
                <c:ptCount val="6"/>
                <c:pt idx="0">
                  <c:v>1.4999999999999999E-2</c:v>
                </c:pt>
                <c:pt idx="1">
                  <c:v>2.5000000000000001E-2</c:v>
                </c:pt>
                <c:pt idx="2">
                  <c:v>3.5000000000000003E-2</c:v>
                </c:pt>
                <c:pt idx="3">
                  <c:v>5.0000000000000001E-3</c:v>
                </c:pt>
                <c:pt idx="4">
                  <c:v>-1.4999999999999999E-2</c:v>
                </c:pt>
                <c:pt idx="5">
                  <c:v>-2.5000000000000001E-2</c:v>
                </c:pt>
              </c:numCache>
            </c:numRef>
          </c:xVal>
          <c:yVal>
            <c:numRef>
              <c:f>escenarios!$F$4:$F$9</c:f>
              <c:numCache>
                <c:formatCode>"$"\ #,##0.00</c:formatCode>
                <c:ptCount val="6"/>
                <c:pt idx="0">
                  <c:v>300666.75</c:v>
                </c:pt>
                <c:pt idx="1">
                  <c:v>306069.90999999997</c:v>
                </c:pt>
                <c:pt idx="2">
                  <c:v>311689.90000000002</c:v>
                </c:pt>
                <c:pt idx="3">
                  <c:v>295471.86</c:v>
                </c:pt>
                <c:pt idx="4">
                  <c:v>285674.17</c:v>
                </c:pt>
                <c:pt idx="5">
                  <c:v>281055.75</c:v>
                </c:pt>
              </c:numCache>
            </c:numRef>
          </c:yVal>
        </c:ser>
        <c:axId val="61312000"/>
        <c:axId val="61318272"/>
      </c:scatterChart>
      <c:valAx>
        <c:axId val="61312000"/>
        <c:scaling>
          <c:orientation val="minMax"/>
        </c:scaling>
        <c:axPos val="b"/>
        <c:numFmt formatCode="0.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1318272"/>
        <c:crosses val="autoZero"/>
        <c:crossBetween val="midCat"/>
      </c:valAx>
      <c:valAx>
        <c:axId val="61318272"/>
        <c:scaling>
          <c:orientation val="minMax"/>
        </c:scaling>
        <c:axPos val="l"/>
        <c:majorGridlines/>
        <c:numFmt formatCode="&quot;$&quot;\ #,##0.00" sourceLinked="1"/>
        <c:tickLblPos val="nextTo"/>
        <c:crossAx val="6131200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/>
    <c:plotArea>
      <c:layout/>
      <c:scatterChart>
        <c:scatterStyle val="lineMarker"/>
        <c:ser>
          <c:idx val="0"/>
          <c:order val="0"/>
          <c:tx>
            <c:strRef>
              <c:f>escenarios!$J$3</c:f>
              <c:strCache>
                <c:ptCount val="1"/>
                <c:pt idx="0">
                  <c:v>van</c:v>
                </c:pt>
              </c:strCache>
            </c:strRef>
          </c:tx>
          <c:xVal>
            <c:numRef>
              <c:f>escenarios!$I$4:$I$9</c:f>
              <c:numCache>
                <c:formatCode>0%</c:formatCode>
                <c:ptCount val="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-0.01</c:v>
                </c:pt>
                <c:pt idx="4">
                  <c:v>-0.02</c:v>
                </c:pt>
                <c:pt idx="5">
                  <c:v>-0.03</c:v>
                </c:pt>
              </c:numCache>
            </c:numRef>
          </c:xVal>
          <c:yVal>
            <c:numRef>
              <c:f>escenarios!$J$4:$J$9</c:f>
              <c:numCache>
                <c:formatCode>"$"\ #,##0.00</c:formatCode>
                <c:ptCount val="6"/>
                <c:pt idx="0">
                  <c:v>300666.75</c:v>
                </c:pt>
                <c:pt idx="1">
                  <c:v>317694.87</c:v>
                </c:pt>
                <c:pt idx="2">
                  <c:v>335406.53999999998</c:v>
                </c:pt>
                <c:pt idx="3">
                  <c:v>284295.21999999997</c:v>
                </c:pt>
                <c:pt idx="4">
                  <c:v>268554.27</c:v>
                </c:pt>
                <c:pt idx="5">
                  <c:v>253418.86</c:v>
                </c:pt>
              </c:numCache>
            </c:numRef>
          </c:yVal>
        </c:ser>
        <c:axId val="62149376"/>
        <c:axId val="62151296"/>
      </c:scatterChart>
      <c:valAx>
        <c:axId val="62149376"/>
        <c:scaling>
          <c:orientation val="minMax"/>
        </c:scaling>
        <c:axPos val="b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2151296"/>
        <c:crosses val="autoZero"/>
        <c:crossBetween val="midCat"/>
      </c:valAx>
      <c:valAx>
        <c:axId val="62151296"/>
        <c:scaling>
          <c:orientation val="minMax"/>
        </c:scaling>
        <c:axPos val="l"/>
        <c:majorGridlines/>
        <c:numFmt formatCode="&quot;$&quot;\ #,##0.00" sourceLinked="1"/>
        <c:tickLblPos val="nextTo"/>
        <c:crossAx val="6214937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layout/>
    </c:title>
    <c:plotArea>
      <c:layout>
        <c:manualLayout>
          <c:layoutTarget val="inner"/>
          <c:xMode val="edge"/>
          <c:yMode val="edge"/>
          <c:x val="4.187416331994645E-2"/>
          <c:y val="0.19480351414406533"/>
          <c:w val="0.76892240879528617"/>
          <c:h val="0.65482210557013709"/>
        </c:manualLayout>
      </c:layout>
      <c:scatterChart>
        <c:scatterStyle val="lineMarker"/>
        <c:ser>
          <c:idx val="0"/>
          <c:order val="0"/>
          <c:tx>
            <c:strRef>
              <c:f>escenarios!$C$3</c:f>
              <c:strCache>
                <c:ptCount val="1"/>
                <c:pt idx="0">
                  <c:v>van</c:v>
                </c:pt>
              </c:strCache>
            </c:strRef>
          </c:tx>
          <c:xVal>
            <c:numRef>
              <c:f>escenarios!$B$4:$B$9</c:f>
              <c:numCache>
                <c:formatCode>0%</c:formatCode>
                <c:ptCount val="6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0.01</c:v>
                </c:pt>
                <c:pt idx="4">
                  <c:v>-0.01</c:v>
                </c:pt>
                <c:pt idx="5">
                  <c:v>-0.02</c:v>
                </c:pt>
              </c:numCache>
            </c:numRef>
          </c:xVal>
          <c:yVal>
            <c:numRef>
              <c:f>escenarios!$C$4:$C$9</c:f>
              <c:numCache>
                <c:formatCode>"$"\ #,##0.00</c:formatCode>
                <c:ptCount val="6"/>
                <c:pt idx="0">
                  <c:v>300666.75</c:v>
                </c:pt>
                <c:pt idx="1">
                  <c:v>312291.71000000002</c:v>
                </c:pt>
                <c:pt idx="2">
                  <c:v>324383.39</c:v>
                </c:pt>
                <c:pt idx="3">
                  <c:v>289490.11</c:v>
                </c:pt>
                <c:pt idx="4">
                  <c:v>268411.45</c:v>
                </c:pt>
                <c:pt idx="5">
                  <c:v>258475.87</c:v>
                </c:pt>
              </c:numCache>
            </c:numRef>
          </c:yVal>
        </c:ser>
        <c:axId val="62179200"/>
        <c:axId val="62189568"/>
      </c:scatterChart>
      <c:valAx>
        <c:axId val="62179200"/>
        <c:scaling>
          <c:orientation val="minMax"/>
        </c:scaling>
        <c:axPos val="b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2189568"/>
        <c:crosses val="autoZero"/>
        <c:crossBetween val="midCat"/>
      </c:valAx>
      <c:valAx>
        <c:axId val="62189568"/>
        <c:scaling>
          <c:orientation val="minMax"/>
        </c:scaling>
        <c:axPos val="l"/>
        <c:majorGridlines/>
        <c:numFmt formatCode="&quot;$&quot;\ #,##0.00" sourceLinked="1"/>
        <c:tickLblPos val="nextTo"/>
        <c:crossAx val="6217920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escenarios!$C$31</c:f>
              <c:strCache>
                <c:ptCount val="1"/>
                <c:pt idx="0">
                  <c:v>van</c:v>
                </c:pt>
              </c:strCache>
            </c:strRef>
          </c:tx>
          <c:xVal>
            <c:numRef>
              <c:f>escenarios!$B$32:$B$37</c:f>
              <c:numCache>
                <c:formatCode>0.00%</c:formatCode>
                <c:ptCount val="6"/>
                <c:pt idx="0">
                  <c:v>0.193</c:v>
                </c:pt>
                <c:pt idx="1">
                  <c:v>0.20300000000000001</c:v>
                </c:pt>
                <c:pt idx="2">
                  <c:v>0.21299999999999999</c:v>
                </c:pt>
                <c:pt idx="3">
                  <c:v>0.183</c:v>
                </c:pt>
                <c:pt idx="4">
                  <c:v>0.17299999999999999</c:v>
                </c:pt>
                <c:pt idx="5">
                  <c:v>0.16300000000000001</c:v>
                </c:pt>
              </c:numCache>
            </c:numRef>
          </c:xVal>
          <c:yVal>
            <c:numRef>
              <c:f>escenarios!$C$32:$C$37</c:f>
              <c:numCache>
                <c:formatCode>"$"\ #,##0.00</c:formatCode>
                <c:ptCount val="6"/>
                <c:pt idx="0">
                  <c:v>300666.75</c:v>
                </c:pt>
                <c:pt idx="1">
                  <c:v>291391.02</c:v>
                </c:pt>
                <c:pt idx="2">
                  <c:v>282555.82</c:v>
                </c:pt>
                <c:pt idx="3">
                  <c:v>310409.43</c:v>
                </c:pt>
                <c:pt idx="4">
                  <c:v>320647.07</c:v>
                </c:pt>
                <c:pt idx="5">
                  <c:v>331409.40999999997</c:v>
                </c:pt>
              </c:numCache>
            </c:numRef>
          </c:yVal>
        </c:ser>
        <c:axId val="62196736"/>
        <c:axId val="62227584"/>
      </c:scatterChart>
      <c:valAx>
        <c:axId val="62196736"/>
        <c:scaling>
          <c:orientation val="minMax"/>
        </c:scaling>
        <c:axPos val="b"/>
        <c:numFmt formatCode="0.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2227584"/>
        <c:crosses val="autoZero"/>
        <c:crossBetween val="midCat"/>
      </c:valAx>
      <c:valAx>
        <c:axId val="62227584"/>
        <c:scaling>
          <c:orientation val="minMax"/>
        </c:scaling>
        <c:axPos val="l"/>
        <c:majorGridlines/>
        <c:numFmt formatCode="&quot;$&quot;\ #,##0.00" sourceLinked="1"/>
        <c:tickLblPos val="nextTo"/>
        <c:crossAx val="6219673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10</xdr:row>
      <xdr:rowOff>123825</xdr:rowOff>
    </xdr:from>
    <xdr:to>
      <xdr:col>12</xdr:col>
      <xdr:colOff>180975</xdr:colOff>
      <xdr:row>25</xdr:row>
      <xdr:rowOff>9525</xdr:rowOff>
    </xdr:to>
    <xdr:graphicFrame macro="">
      <xdr:nvGraphicFramePr>
        <xdr:cNvPr id="15368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485775</xdr:colOff>
      <xdr:row>10</xdr:row>
      <xdr:rowOff>142875</xdr:rowOff>
    </xdr:from>
    <xdr:to>
      <xdr:col>18</xdr:col>
      <xdr:colOff>485775</xdr:colOff>
      <xdr:row>25</xdr:row>
      <xdr:rowOff>28575</xdr:rowOff>
    </xdr:to>
    <xdr:graphicFrame macro="">
      <xdr:nvGraphicFramePr>
        <xdr:cNvPr id="15368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10</xdr:row>
      <xdr:rowOff>104775</xdr:rowOff>
    </xdr:from>
    <xdr:to>
      <xdr:col>6</xdr:col>
      <xdr:colOff>9525</xdr:colOff>
      <xdr:row>24</xdr:row>
      <xdr:rowOff>180975</xdr:rowOff>
    </xdr:to>
    <xdr:graphicFrame macro="">
      <xdr:nvGraphicFramePr>
        <xdr:cNvPr id="153688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28575</xdr:colOff>
      <xdr:row>30</xdr:row>
      <xdr:rowOff>28575</xdr:rowOff>
    </xdr:from>
    <xdr:to>
      <xdr:col>10</xdr:col>
      <xdr:colOff>9525</xdr:colOff>
      <xdr:row>44</xdr:row>
      <xdr:rowOff>104775</xdr:rowOff>
    </xdr:to>
    <xdr:graphicFrame macro="">
      <xdr:nvGraphicFramePr>
        <xdr:cNvPr id="15368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W78"/>
  <sheetViews>
    <sheetView topLeftCell="A34" zoomScaleNormal="100" workbookViewId="0">
      <selection activeCell="C33" sqref="C33:H54"/>
    </sheetView>
  </sheetViews>
  <sheetFormatPr baseColWidth="10" defaultRowHeight="15"/>
  <cols>
    <col min="3" max="3" width="20.7109375" customWidth="1"/>
    <col min="4" max="4" width="12.42578125" customWidth="1"/>
    <col min="5" max="5" width="19.5703125" customWidth="1"/>
    <col min="6" max="6" width="18" customWidth="1"/>
    <col min="7" max="7" width="19.7109375" customWidth="1"/>
    <col min="8" max="8" width="17" customWidth="1"/>
    <col min="12" max="12" width="23.7109375" customWidth="1"/>
    <col min="13" max="13" width="19.85546875" bestFit="1" customWidth="1"/>
    <col min="14" max="14" width="16.7109375" bestFit="1" customWidth="1"/>
    <col min="15" max="15" width="15.7109375" customWidth="1"/>
    <col min="16" max="16" width="16.5703125" customWidth="1"/>
    <col min="17" max="18" width="15.7109375" customWidth="1"/>
    <col min="19" max="19" width="17" bestFit="1" customWidth="1"/>
  </cols>
  <sheetData>
    <row r="3" spans="2:21">
      <c r="B3" s="5" t="s">
        <v>95</v>
      </c>
      <c r="F3" s="16"/>
      <c r="L3" s="220" t="s">
        <v>97</v>
      </c>
      <c r="M3" s="220"/>
      <c r="N3" s="220"/>
      <c r="O3" s="220"/>
      <c r="P3" s="220"/>
      <c r="Q3" s="220"/>
      <c r="R3" s="220"/>
      <c r="S3" s="220"/>
    </row>
    <row r="4" spans="2:21" ht="15.75" thickBot="1">
      <c r="B4" s="5" t="s">
        <v>96</v>
      </c>
      <c r="F4" s="16"/>
      <c r="L4" s="26"/>
      <c r="M4" s="26"/>
      <c r="N4" s="26"/>
      <c r="O4" s="26"/>
      <c r="P4" s="26"/>
      <c r="Q4" s="26"/>
      <c r="R4" s="26"/>
      <c r="S4" s="26"/>
    </row>
    <row r="5" spans="2:21" ht="16.5" thickTop="1" thickBot="1">
      <c r="F5" s="16"/>
      <c r="L5" s="26"/>
      <c r="M5" s="221" t="s">
        <v>94</v>
      </c>
      <c r="N5" s="222"/>
      <c r="O5" s="222"/>
      <c r="P5" s="222"/>
      <c r="Q5" s="222"/>
      <c r="R5" s="223"/>
      <c r="S5" s="26"/>
    </row>
    <row r="6" spans="2:21" ht="16.5" thickTop="1" thickBot="1">
      <c r="C6" s="9" t="s">
        <v>211</v>
      </c>
      <c r="D6" s="105">
        <v>59932</v>
      </c>
      <c r="F6" s="16"/>
      <c r="L6" s="35"/>
      <c r="M6" s="35"/>
      <c r="N6" s="35"/>
      <c r="O6" s="36"/>
      <c r="P6" s="36"/>
      <c r="Q6" s="36"/>
      <c r="R6" s="36"/>
      <c r="S6" s="36"/>
    </row>
    <row r="7" spans="2:21" ht="16.5" thickTop="1" thickBot="1">
      <c r="C7" s="9" t="s">
        <v>89</v>
      </c>
      <c r="D7" s="42">
        <v>0.7</v>
      </c>
      <c r="E7" s="25">
        <f>$D$6*$D$7</f>
        <v>41952.399999999994</v>
      </c>
      <c r="F7" s="16"/>
      <c r="L7" s="28"/>
      <c r="M7" s="31" t="s">
        <v>6</v>
      </c>
      <c r="N7" s="31" t="s">
        <v>7</v>
      </c>
      <c r="O7" s="31" t="s">
        <v>4</v>
      </c>
      <c r="P7" s="31" t="s">
        <v>8</v>
      </c>
      <c r="Q7" s="31" t="s">
        <v>9</v>
      </c>
      <c r="R7" s="31" t="s">
        <v>10</v>
      </c>
      <c r="S7" s="31" t="s">
        <v>5</v>
      </c>
    </row>
    <row r="8" spans="2:21" ht="16.5" thickTop="1" thickBot="1">
      <c r="C8" s="6" t="s">
        <v>90</v>
      </c>
      <c r="D8" s="42">
        <v>0.45</v>
      </c>
      <c r="F8" s="16"/>
      <c r="L8" s="130" t="s">
        <v>212</v>
      </c>
      <c r="M8" s="30">
        <f t="shared" ref="M8:R10" si="0">M$13*$S8</f>
        <v>302.05727999999993</v>
      </c>
      <c r="N8" s="30">
        <f t="shared" si="0"/>
        <v>1860.6728447999997</v>
      </c>
      <c r="O8" s="30">
        <f t="shared" si="0"/>
        <v>869.92496639999979</v>
      </c>
      <c r="P8" s="30">
        <f t="shared" si="0"/>
        <v>3056.8196735999995</v>
      </c>
      <c r="Q8" s="30">
        <f t="shared" si="0"/>
        <v>4325.4602495999989</v>
      </c>
      <c r="R8" s="30">
        <f t="shared" si="0"/>
        <v>1667.3561855999999</v>
      </c>
      <c r="S8" s="38">
        <v>0.28799999999999998</v>
      </c>
    </row>
    <row r="9" spans="2:21" ht="16.5" thickTop="1" thickBot="1">
      <c r="C9" s="6" t="s">
        <v>91</v>
      </c>
      <c r="D9" s="43">
        <v>10</v>
      </c>
      <c r="F9" s="15"/>
      <c r="L9" s="130" t="s">
        <v>213</v>
      </c>
      <c r="M9" s="30">
        <f t="shared" si="0"/>
        <v>497.13593999999995</v>
      </c>
      <c r="N9" s="30">
        <f t="shared" si="0"/>
        <v>3062.3573903999995</v>
      </c>
      <c r="O9" s="30">
        <f t="shared" si="0"/>
        <v>1431.7515071999997</v>
      </c>
      <c r="P9" s="30">
        <f t="shared" si="0"/>
        <v>5031.0157127999992</v>
      </c>
      <c r="Q9" s="30">
        <f t="shared" si="0"/>
        <v>7118.9866607999984</v>
      </c>
      <c r="R9" s="30">
        <f t="shared" si="0"/>
        <v>2744.1903887999997</v>
      </c>
      <c r="S9" s="38">
        <v>0.47399999999999998</v>
      </c>
    </row>
    <row r="10" spans="2:21" ht="16.5" thickTop="1" thickBot="1">
      <c r="C10" s="6"/>
      <c r="D10" s="44"/>
      <c r="L10" s="130" t="s">
        <v>214</v>
      </c>
      <c r="M10" s="30">
        <f t="shared" si="0"/>
        <v>249.61677999999998</v>
      </c>
      <c r="N10" s="30">
        <f t="shared" si="0"/>
        <v>1537.6393647999998</v>
      </c>
      <c r="O10" s="30">
        <f t="shared" si="0"/>
        <v>718.89632639999979</v>
      </c>
      <c r="P10" s="30">
        <f t="shared" si="0"/>
        <v>2526.1218135999998</v>
      </c>
      <c r="Q10" s="30">
        <f t="shared" si="0"/>
        <v>3574.5122895999993</v>
      </c>
      <c r="R10" s="30">
        <f t="shared" si="0"/>
        <v>1377.8846255999999</v>
      </c>
      <c r="S10" s="38">
        <v>0.23799999999999999</v>
      </c>
    </row>
    <row r="11" spans="2:21" ht="16.5" thickTop="1" thickBot="1">
      <c r="C11" s="6"/>
      <c r="D11" s="43"/>
      <c r="L11" s="31" t="s">
        <v>5</v>
      </c>
      <c r="M11" s="32">
        <f t="shared" ref="M11:R11" si="1">SUM(M8:M10)</f>
        <v>1048.81</v>
      </c>
      <c r="N11" s="32">
        <f t="shared" si="1"/>
        <v>6460.6695999999993</v>
      </c>
      <c r="O11" s="32">
        <f t="shared" si="1"/>
        <v>3020.5727999999995</v>
      </c>
      <c r="P11" s="32">
        <f t="shared" si="1"/>
        <v>10613.957199999997</v>
      </c>
      <c r="Q11" s="32">
        <f t="shared" si="1"/>
        <v>15018.959199999998</v>
      </c>
      <c r="R11" s="32">
        <f t="shared" si="1"/>
        <v>5789.4311999999991</v>
      </c>
      <c r="S11" s="39">
        <f>SUM(M11:R11)</f>
        <v>41952.399999999994</v>
      </c>
      <c r="U11" s="1"/>
    </row>
    <row r="12" spans="2:21" ht="16.5" thickTop="1" thickBot="1">
      <c r="C12" s="6" t="s">
        <v>92</v>
      </c>
      <c r="D12" s="44">
        <v>0.2</v>
      </c>
      <c r="L12" s="129"/>
      <c r="M12" s="38">
        <v>2.5000000000000001E-2</v>
      </c>
      <c r="N12" s="38">
        <v>0.154</v>
      </c>
      <c r="O12" s="38">
        <v>7.1999999999999995E-2</v>
      </c>
      <c r="P12" s="38">
        <v>0.253</v>
      </c>
      <c r="Q12" s="38">
        <v>0.35799999999999998</v>
      </c>
      <c r="R12" s="38">
        <v>0.13800000000000001</v>
      </c>
      <c r="S12" s="40"/>
    </row>
    <row r="13" spans="2:21" ht="16.5" thickTop="1" thickBot="1">
      <c r="C13" s="6" t="s">
        <v>93</v>
      </c>
      <c r="D13" s="43">
        <v>3.5</v>
      </c>
      <c r="L13" s="37"/>
      <c r="M13" s="30">
        <f>'Ingresos y Egresos'!$E$7*M12</f>
        <v>1048.81</v>
      </c>
      <c r="N13" s="30">
        <f>'Ingresos y Egresos'!$E$7*N12</f>
        <v>6460.6695999999993</v>
      </c>
      <c r="O13" s="30">
        <f>'Ingresos y Egresos'!$E$7*O12</f>
        <v>3020.5727999999995</v>
      </c>
      <c r="P13" s="30">
        <f>'Ingresos y Egresos'!$E$7*P12</f>
        <v>10613.957199999999</v>
      </c>
      <c r="Q13" s="30">
        <f>'Ingresos y Egresos'!$E$7*Q12</f>
        <v>15018.959199999998</v>
      </c>
      <c r="R13" s="30">
        <f>'Ingresos y Egresos'!$E$7*R12</f>
        <v>5789.4312</v>
      </c>
      <c r="S13" s="28"/>
    </row>
    <row r="14" spans="2:21" ht="15.75" thickTop="1"/>
    <row r="15" spans="2:21" ht="15.75" thickBot="1"/>
    <row r="16" spans="2:21" ht="16.5" thickTop="1" thickBot="1">
      <c r="C16" s="18" t="s">
        <v>0</v>
      </c>
      <c r="D16" s="18" t="s">
        <v>1</v>
      </c>
      <c r="E16" s="18" t="s">
        <v>2</v>
      </c>
      <c r="F16" s="18" t="s">
        <v>3</v>
      </c>
    </row>
    <row r="17" spans="3:21" ht="27" thickTop="1" thickBot="1">
      <c r="C17" s="17" t="s">
        <v>189</v>
      </c>
      <c r="D17" s="17" t="s">
        <v>186</v>
      </c>
      <c r="E17" s="17" t="s">
        <v>190</v>
      </c>
      <c r="F17" s="19">
        <v>3</v>
      </c>
      <c r="L17" s="88" t="s">
        <v>215</v>
      </c>
      <c r="M17" s="15"/>
      <c r="N17" s="16"/>
      <c r="O17" s="16"/>
      <c r="P17" s="16"/>
      <c r="Q17" s="15"/>
    </row>
    <row r="18" spans="3:21" ht="27" thickTop="1" thickBot="1">
      <c r="C18" s="109" t="s">
        <v>192</v>
      </c>
      <c r="D18" s="17" t="s">
        <v>187</v>
      </c>
      <c r="E18" s="17" t="s">
        <v>193</v>
      </c>
      <c r="F18" s="19">
        <v>4</v>
      </c>
      <c r="L18" s="5" t="s">
        <v>100</v>
      </c>
    </row>
    <row r="19" spans="3:21" ht="27" thickTop="1" thickBot="1">
      <c r="C19" s="224" t="s">
        <v>191</v>
      </c>
      <c r="D19" s="17" t="s">
        <v>194</v>
      </c>
      <c r="E19" s="17" t="s">
        <v>195</v>
      </c>
      <c r="F19" s="19">
        <v>3</v>
      </c>
    </row>
    <row r="20" spans="3:21" ht="16.5" thickTop="1" thickBot="1">
      <c r="C20" s="225"/>
      <c r="D20" s="101" t="s">
        <v>196</v>
      </c>
      <c r="E20" s="17" t="s">
        <v>197</v>
      </c>
      <c r="F20" s="19">
        <v>4</v>
      </c>
      <c r="L20" s="86" t="s">
        <v>98</v>
      </c>
      <c r="M20" s="86"/>
      <c r="N20" s="23">
        <v>5</v>
      </c>
      <c r="O20" s="15"/>
      <c r="P20" s="15"/>
      <c r="Q20" s="15"/>
      <c r="R20" s="15"/>
      <c r="S20" s="15"/>
    </row>
    <row r="21" spans="3:21" ht="16.5" thickTop="1" thickBot="1">
      <c r="S21" s="23"/>
    </row>
    <row r="22" spans="3:21" ht="16.5" thickTop="1" thickBot="1">
      <c r="L22" s="28"/>
      <c r="M22" s="29" t="str">
        <f>'Ingresos y Egresos'!M7</f>
        <v>Martes</v>
      </c>
      <c r="N22" s="29" t="str">
        <f>'Ingresos y Egresos'!N7</f>
        <v>Miércoles</v>
      </c>
      <c r="O22" s="29" t="str">
        <f>'Ingresos y Egresos'!O7</f>
        <v>Jueves</v>
      </c>
      <c r="P22" s="29" t="str">
        <f>'Ingresos y Egresos'!P7</f>
        <v>Viernes</v>
      </c>
      <c r="Q22" s="29" t="str">
        <f>'Ingresos y Egresos'!Q7</f>
        <v>Sábado</v>
      </c>
      <c r="R22" s="29" t="str">
        <f>'Ingresos y Egresos'!R7</f>
        <v>Domingo</v>
      </c>
      <c r="S22" s="29" t="str">
        <f>'Ingresos y Egresos'!S7</f>
        <v>Total</v>
      </c>
    </row>
    <row r="23" spans="3:21" ht="16.5" thickTop="1" thickBot="1">
      <c r="L23" s="130" t="s">
        <v>212</v>
      </c>
      <c r="M23" s="30">
        <f>'Ingresos y Egresos'!M8/$N$20</f>
        <v>60.411455999999987</v>
      </c>
      <c r="N23" s="30">
        <f>'Ingresos y Egresos'!N8/$N$20</f>
        <v>372.13456895999991</v>
      </c>
      <c r="O23" s="30">
        <f>'Ingresos y Egresos'!O8/$N$20</f>
        <v>173.98499327999997</v>
      </c>
      <c r="P23" s="30">
        <f>'Ingresos y Egresos'!P8/$N$20</f>
        <v>611.36393471999986</v>
      </c>
      <c r="Q23" s="30">
        <f>'Ingresos y Egresos'!Q8/$N$20</f>
        <v>865.09204991999979</v>
      </c>
      <c r="R23" s="30">
        <f>'Ingresos y Egresos'!R8/$N$20</f>
        <v>333.47123711999996</v>
      </c>
      <c r="S23" s="32">
        <f>SUM(M23:R23)</f>
        <v>2416.4582399999995</v>
      </c>
    </row>
    <row r="24" spans="3:21" ht="16.5" thickTop="1" thickBot="1">
      <c r="C24" s="217" t="s">
        <v>12</v>
      </c>
      <c r="D24" s="218"/>
      <c r="E24" s="218"/>
      <c r="F24" s="218"/>
      <c r="G24" s="218"/>
      <c r="H24" s="219"/>
      <c r="L24" s="130" t="s">
        <v>213</v>
      </c>
      <c r="M24" s="30">
        <f>'Ingresos y Egresos'!M9/$N$20</f>
        <v>99.427187999999987</v>
      </c>
      <c r="N24" s="30">
        <f>'Ingresos y Egresos'!N9/$N$20</f>
        <v>612.47147807999988</v>
      </c>
      <c r="O24" s="30">
        <f>'Ingresos y Egresos'!O9/$N$20</f>
        <v>286.35030143999995</v>
      </c>
      <c r="P24" s="30">
        <f>'Ingresos y Egresos'!P9/$N$20</f>
        <v>1006.2031425599998</v>
      </c>
      <c r="Q24" s="30">
        <f>'Ingresos y Egresos'!Q9/$N$20</f>
        <v>1423.7973321599998</v>
      </c>
      <c r="R24" s="30">
        <f>'Ingresos y Egresos'!R9/$N$20</f>
        <v>548.83807775999992</v>
      </c>
      <c r="S24" s="32">
        <f>SUM(M24:R24)</f>
        <v>3977.0875199999996</v>
      </c>
    </row>
    <row r="25" spans="3:21" ht="16.5" thickTop="1" thickBot="1">
      <c r="L25" s="130" t="s">
        <v>214</v>
      </c>
      <c r="M25" s="30">
        <f>'Ingresos y Egresos'!M10/$N$20</f>
        <v>49.923355999999998</v>
      </c>
      <c r="N25" s="30">
        <f>'Ingresos y Egresos'!N10/$N$20</f>
        <v>307.52787295999997</v>
      </c>
      <c r="O25" s="30">
        <f>'Ingresos y Egresos'!O10/$N$20</f>
        <v>143.77926527999995</v>
      </c>
      <c r="P25" s="30">
        <f>'Ingresos y Egresos'!P10/$N$20</f>
        <v>505.22436271999993</v>
      </c>
      <c r="Q25" s="30">
        <f>'Ingresos y Egresos'!Q10/$N$20</f>
        <v>714.90245791999985</v>
      </c>
      <c r="R25" s="30">
        <f>'Ingresos y Egresos'!R10/$N$20</f>
        <v>275.57692512</v>
      </c>
      <c r="S25" s="32">
        <f>SUM(M25:R25)</f>
        <v>1996.9342399999996</v>
      </c>
    </row>
    <row r="26" spans="3:21" ht="16.5" thickTop="1" thickBot="1">
      <c r="C26" s="107" t="s">
        <v>163</v>
      </c>
      <c r="D26" s="95" t="s">
        <v>164</v>
      </c>
      <c r="E26" s="107" t="s">
        <v>163</v>
      </c>
      <c r="F26" s="95" t="s">
        <v>164</v>
      </c>
      <c r="G26" s="107" t="s">
        <v>163</v>
      </c>
      <c r="H26" s="95" t="s">
        <v>164</v>
      </c>
      <c r="L26" s="31" t="s">
        <v>5</v>
      </c>
      <c r="M26" s="32">
        <f t="shared" ref="M26:R26" si="2">SUM(M23:M25)</f>
        <v>209.762</v>
      </c>
      <c r="N26" s="32">
        <f t="shared" si="2"/>
        <v>1292.1339199999998</v>
      </c>
      <c r="O26" s="32">
        <f t="shared" si="2"/>
        <v>604.11455999999987</v>
      </c>
      <c r="P26" s="32">
        <f t="shared" si="2"/>
        <v>2122.7914399999995</v>
      </c>
      <c r="Q26" s="32">
        <f t="shared" si="2"/>
        <v>3003.7918399999994</v>
      </c>
      <c r="R26" s="32">
        <f t="shared" si="2"/>
        <v>1157.8862399999998</v>
      </c>
      <c r="S26" s="32">
        <f>SUM(M26:R26)</f>
        <v>8390.4799999999977</v>
      </c>
      <c r="U26" s="3"/>
    </row>
    <row r="27" spans="3:21" ht="16.5" thickTop="1" thickBot="1">
      <c r="C27" s="7" t="s">
        <v>228</v>
      </c>
      <c r="D27" s="102">
        <v>3</v>
      </c>
      <c r="E27" s="7" t="s">
        <v>179</v>
      </c>
      <c r="F27" s="102">
        <v>1</v>
      </c>
      <c r="G27" s="7" t="s">
        <v>183</v>
      </c>
      <c r="H27" s="102">
        <v>3</v>
      </c>
    </row>
    <row r="28" spans="3:21" ht="16.5" thickTop="1" thickBot="1">
      <c r="C28" s="7" t="s">
        <v>198</v>
      </c>
      <c r="D28" s="102">
        <v>4</v>
      </c>
      <c r="E28" s="7" t="s">
        <v>180</v>
      </c>
      <c r="F28" s="102">
        <v>0.5</v>
      </c>
      <c r="G28" s="7" t="s">
        <v>201</v>
      </c>
      <c r="H28" s="102">
        <v>4</v>
      </c>
      <c r="L28" s="232" t="s">
        <v>99</v>
      </c>
      <c r="M28" s="233"/>
      <c r="N28" s="233"/>
      <c r="O28" s="233"/>
      <c r="P28" s="233"/>
      <c r="Q28" s="233"/>
      <c r="R28" s="233"/>
      <c r="S28" s="234"/>
    </row>
    <row r="29" spans="3:21" ht="16.5" thickTop="1" thickBot="1">
      <c r="C29" s="7" t="s">
        <v>199</v>
      </c>
      <c r="D29" s="102">
        <v>3.5</v>
      </c>
      <c r="E29" s="7" t="s">
        <v>181</v>
      </c>
      <c r="F29" s="102">
        <v>1.25</v>
      </c>
      <c r="G29" s="7" t="s">
        <v>229</v>
      </c>
      <c r="H29" s="102">
        <v>2</v>
      </c>
      <c r="T29" s="69"/>
    </row>
    <row r="30" spans="3:21" ht="16.5" thickTop="1" thickBot="1">
      <c r="C30" s="7" t="s">
        <v>200</v>
      </c>
      <c r="D30" s="102">
        <v>3</v>
      </c>
      <c r="E30" s="7" t="s">
        <v>182</v>
      </c>
      <c r="F30" s="102">
        <v>1.5</v>
      </c>
      <c r="L30" s="4"/>
      <c r="M30" s="29" t="str">
        <f t="shared" ref="M30:S30" si="3">M22</f>
        <v>Martes</v>
      </c>
      <c r="N30" s="29" t="str">
        <f t="shared" si="3"/>
        <v>Miércoles</v>
      </c>
      <c r="O30" s="29" t="str">
        <f t="shared" si="3"/>
        <v>Jueves</v>
      </c>
      <c r="P30" s="29" t="str">
        <f t="shared" si="3"/>
        <v>Viernes</v>
      </c>
      <c r="Q30" s="29" t="str">
        <f t="shared" si="3"/>
        <v>Sábado</v>
      </c>
      <c r="R30" s="29" t="str">
        <f t="shared" si="3"/>
        <v>Domingo</v>
      </c>
      <c r="S30" s="29" t="str">
        <f t="shared" si="3"/>
        <v>Total</v>
      </c>
    </row>
    <row r="31" spans="3:21" ht="16.5" thickTop="1" thickBot="1">
      <c r="D31" s="94"/>
      <c r="L31" s="29" t="str">
        <f>L23</f>
        <v>Mañana</v>
      </c>
      <c r="M31" s="33">
        <f>$F$17*M8</f>
        <v>906.17183999999975</v>
      </c>
      <c r="N31" s="33">
        <f>$F$18*N8</f>
        <v>7442.6913791999987</v>
      </c>
      <c r="O31" s="33">
        <f t="shared" ref="M31:O33" si="4">$F$17*O8</f>
        <v>2609.7748991999993</v>
      </c>
      <c r="P31" s="33">
        <f>$F$18*P8</f>
        <v>12227.278694399998</v>
      </c>
      <c r="Q31" s="33">
        <f>$F$20*Q8</f>
        <v>17301.840998399995</v>
      </c>
      <c r="R31" s="33">
        <f>$F$19*R23</f>
        <v>1000.4137113599999</v>
      </c>
      <c r="S31" s="34">
        <f>SUM(M31:R31)</f>
        <v>41488.171522559991</v>
      </c>
    </row>
    <row r="32" spans="3:21" ht="20.25" customHeight="1" thickTop="1" thickBot="1">
      <c r="L32" s="29" t="str">
        <f>L24</f>
        <v>Tarde</v>
      </c>
      <c r="M32" s="33">
        <f t="shared" si="4"/>
        <v>1491.4078199999999</v>
      </c>
      <c r="N32" s="33">
        <f>$F$18*N9</f>
        <v>12249.429561599998</v>
      </c>
      <c r="O32" s="33">
        <f t="shared" si="4"/>
        <v>4295.254521599999</v>
      </c>
      <c r="P32" s="33">
        <f>$F$18*P9</f>
        <v>20124.062851199997</v>
      </c>
      <c r="Q32" s="33">
        <f>$F$20*Q9</f>
        <v>28475.946643199994</v>
      </c>
      <c r="R32" s="33">
        <f>$F$20*R24</f>
        <v>2195.3523110399997</v>
      </c>
      <c r="S32" s="34">
        <f>SUM(M32:R32)</f>
        <v>68831.45370863998</v>
      </c>
    </row>
    <row r="33" spans="3:21" ht="19.5" customHeight="1" thickTop="1" thickBot="1">
      <c r="C33" s="209" t="s">
        <v>26</v>
      </c>
      <c r="D33" s="209"/>
      <c r="E33" s="209"/>
      <c r="F33" s="209"/>
      <c r="G33" s="209"/>
      <c r="H33" s="209"/>
      <c r="L33" s="29" t="str">
        <f>L25</f>
        <v>Noche</v>
      </c>
      <c r="M33" s="33">
        <f t="shared" si="4"/>
        <v>748.85033999999996</v>
      </c>
      <c r="N33" s="33">
        <f>$F$18*N10</f>
        <v>6150.5574591999994</v>
      </c>
      <c r="O33" s="33">
        <f t="shared" si="4"/>
        <v>2156.6889791999993</v>
      </c>
      <c r="P33" s="33">
        <f>$F$18*P10</f>
        <v>10104.487254399999</v>
      </c>
      <c r="Q33" s="33">
        <f>$F$20*Q10</f>
        <v>14298.049158399997</v>
      </c>
      <c r="R33" s="33">
        <f>$F$19*R25</f>
        <v>826.73077536000005</v>
      </c>
      <c r="S33" s="34">
        <f>SUM(M33:R33)</f>
        <v>34285.363966559999</v>
      </c>
      <c r="U33" s="1"/>
    </row>
    <row r="34" spans="3:21" ht="19.5" customHeight="1" thickTop="1" thickBot="1">
      <c r="C34" s="209"/>
      <c r="D34" s="209"/>
      <c r="E34" s="209"/>
      <c r="F34" s="209"/>
      <c r="G34" s="209"/>
      <c r="H34" s="209"/>
      <c r="L34" s="29" t="str">
        <f>L26</f>
        <v>Total</v>
      </c>
      <c r="M34" s="34">
        <f t="shared" ref="M34:S34" si="5">SUM(M31:M33)</f>
        <v>3146.4299999999994</v>
      </c>
      <c r="N34" s="34">
        <f t="shared" si="5"/>
        <v>25842.678399999997</v>
      </c>
      <c r="O34" s="34">
        <f t="shared" si="5"/>
        <v>9061.7183999999979</v>
      </c>
      <c r="P34" s="34">
        <f>SUM(P31:P33)</f>
        <v>42455.828799999988</v>
      </c>
      <c r="Q34" s="34">
        <f t="shared" si="5"/>
        <v>60075.83679999999</v>
      </c>
      <c r="R34" s="34">
        <f>SUM(R31:R33)</f>
        <v>4022.4967977599999</v>
      </c>
      <c r="S34" s="34">
        <f t="shared" si="5"/>
        <v>144604.98919775998</v>
      </c>
    </row>
    <row r="35" spans="3:21" ht="19.5" customHeight="1" thickTop="1" thickBot="1">
      <c r="C35" s="188" t="s">
        <v>42</v>
      </c>
      <c r="D35" s="189" t="s">
        <v>114</v>
      </c>
      <c r="E35" s="190" t="s">
        <v>103</v>
      </c>
      <c r="F35" s="190" t="s">
        <v>158</v>
      </c>
      <c r="G35" s="190" t="s">
        <v>115</v>
      </c>
      <c r="H35" s="207"/>
      <c r="L35" s="240" t="s">
        <v>101</v>
      </c>
      <c r="M35" s="238">
        <f t="shared" ref="M35:R35" si="6">M34/52</f>
        <v>60.508269230769216</v>
      </c>
      <c r="N35" s="238">
        <f t="shared" si="6"/>
        <v>496.97458461538457</v>
      </c>
      <c r="O35" s="238">
        <f t="shared" si="6"/>
        <v>174.26381538461536</v>
      </c>
      <c r="P35" s="238">
        <f t="shared" si="6"/>
        <v>816.45824615384595</v>
      </c>
      <c r="Q35" s="238">
        <f t="shared" si="6"/>
        <v>1155.3045538461536</v>
      </c>
      <c r="R35" s="238">
        <f t="shared" si="6"/>
        <v>77.355707649230766</v>
      </c>
      <c r="S35" s="27"/>
    </row>
    <row r="36" spans="3:21" ht="19.5" customHeight="1" thickTop="1" thickBot="1">
      <c r="C36" s="51" t="s">
        <v>230</v>
      </c>
      <c r="D36" s="52">
        <v>300</v>
      </c>
      <c r="E36" s="53">
        <v>0.75</v>
      </c>
      <c r="F36" s="53">
        <f t="shared" ref="F36:F42" si="7">D36*E36</f>
        <v>225</v>
      </c>
      <c r="G36" s="53">
        <f t="shared" ref="G36:G42" si="8">F36*12</f>
        <v>2700</v>
      </c>
      <c r="H36" s="207"/>
      <c r="L36" s="241"/>
      <c r="M36" s="239"/>
      <c r="N36" s="239"/>
      <c r="O36" s="239"/>
      <c r="P36" s="239"/>
      <c r="Q36" s="239"/>
      <c r="R36" s="239"/>
    </row>
    <row r="37" spans="3:21" ht="20.25" customHeight="1" thickTop="1" thickBot="1">
      <c r="C37" s="51" t="s">
        <v>43</v>
      </c>
      <c r="D37" s="52">
        <v>500</v>
      </c>
      <c r="E37" s="53">
        <v>0.17</v>
      </c>
      <c r="F37" s="53">
        <f t="shared" si="7"/>
        <v>85</v>
      </c>
      <c r="G37" s="53">
        <f t="shared" si="8"/>
        <v>1020</v>
      </c>
      <c r="H37" s="207"/>
    </row>
    <row r="38" spans="3:21" ht="16.5" thickTop="1" thickBot="1">
      <c r="C38" s="51" t="s">
        <v>44</v>
      </c>
      <c r="D38" s="52">
        <v>250</v>
      </c>
      <c r="E38" s="53">
        <v>0.2</v>
      </c>
      <c r="F38" s="53">
        <f t="shared" si="7"/>
        <v>50</v>
      </c>
      <c r="G38" s="53">
        <f t="shared" si="8"/>
        <v>600</v>
      </c>
      <c r="H38" s="207"/>
    </row>
    <row r="39" spans="3:21" ht="16.5" thickTop="1" thickBot="1">
      <c r="C39" s="51" t="s">
        <v>121</v>
      </c>
      <c r="D39" s="52">
        <v>420</v>
      </c>
      <c r="E39" s="53">
        <v>0.32</v>
      </c>
      <c r="F39" s="53">
        <f t="shared" si="7"/>
        <v>134.4</v>
      </c>
      <c r="G39" s="53">
        <f t="shared" si="8"/>
        <v>1612.8000000000002</v>
      </c>
      <c r="H39" s="207"/>
    </row>
    <row r="40" spans="3:21" ht="16.5" thickTop="1" thickBot="1">
      <c r="C40" s="51" t="s">
        <v>45</v>
      </c>
      <c r="D40" s="52">
        <v>600</v>
      </c>
      <c r="E40" s="53">
        <v>0.4</v>
      </c>
      <c r="F40" s="53">
        <f t="shared" si="7"/>
        <v>240</v>
      </c>
      <c r="G40" s="53">
        <f t="shared" si="8"/>
        <v>2880</v>
      </c>
      <c r="H40" s="207"/>
      <c r="L40" s="235" t="s">
        <v>11</v>
      </c>
      <c r="M40" s="236"/>
      <c r="N40" s="236"/>
      <c r="O40" s="236"/>
      <c r="P40" s="236"/>
      <c r="Q40" s="236"/>
      <c r="R40" s="236"/>
      <c r="S40" s="237"/>
    </row>
    <row r="41" spans="3:21" ht="16.5" thickTop="1" thickBot="1">
      <c r="C41" s="51" t="s">
        <v>82</v>
      </c>
      <c r="D41" s="66">
        <v>200</v>
      </c>
      <c r="E41" s="53">
        <v>0.5</v>
      </c>
      <c r="F41" s="53">
        <f t="shared" si="7"/>
        <v>100</v>
      </c>
      <c r="G41" s="53">
        <f t="shared" si="8"/>
        <v>1200</v>
      </c>
      <c r="H41" s="207"/>
      <c r="L41" s="24"/>
      <c r="M41" s="4"/>
      <c r="N41" s="4"/>
      <c r="O41" s="4"/>
      <c r="P41" s="4"/>
      <c r="Q41" s="4"/>
      <c r="R41" s="4"/>
      <c r="S41" s="4"/>
    </row>
    <row r="42" spans="3:21" ht="16.5" thickTop="1" thickBot="1">
      <c r="C42" s="51" t="s">
        <v>83</v>
      </c>
      <c r="D42" s="52">
        <v>300</v>
      </c>
      <c r="E42" s="53">
        <v>0.6</v>
      </c>
      <c r="F42" s="53">
        <f t="shared" si="7"/>
        <v>180</v>
      </c>
      <c r="G42" s="53">
        <f t="shared" si="8"/>
        <v>2160</v>
      </c>
      <c r="H42" s="207"/>
      <c r="L42" s="4"/>
      <c r="M42" s="45" t="str">
        <f>'Ingresos y Egresos'!M22</f>
        <v>Martes</v>
      </c>
      <c r="N42" s="45" t="str">
        <f>'Ingresos y Egresos'!N22</f>
        <v>Miércoles</v>
      </c>
      <c r="O42" s="45" t="str">
        <f>'Ingresos y Egresos'!O22</f>
        <v>Jueves</v>
      </c>
      <c r="P42" s="45" t="str">
        <f>'Ingresos y Egresos'!P22</f>
        <v>Viernes</v>
      </c>
      <c r="Q42" s="45" t="str">
        <f>'Ingresos y Egresos'!Q22</f>
        <v>Sábado</v>
      </c>
      <c r="R42" s="45" t="str">
        <f>'Ingresos y Egresos'!R22</f>
        <v>Domingo</v>
      </c>
      <c r="S42" s="45" t="str">
        <f>'Ingresos y Egresos'!S22</f>
        <v>Total</v>
      </c>
    </row>
    <row r="43" spans="3:21" ht="16.5" thickTop="1" thickBot="1">
      <c r="C43" s="213" t="s">
        <v>5</v>
      </c>
      <c r="D43" s="213"/>
      <c r="E43" s="213"/>
      <c r="F43" s="213"/>
      <c r="G43" s="89">
        <f>SUM(G36:G42)</f>
        <v>12172.8</v>
      </c>
      <c r="H43" s="208"/>
      <c r="L43" s="46" t="s">
        <v>12</v>
      </c>
      <c r="M43" s="47">
        <f>'Ingresos y Egresos'!M26*'Ingresos y Egresos'!$D$8*'Ingresos y Egresos'!$D$9</f>
        <v>943.92899999999997</v>
      </c>
      <c r="N43" s="47">
        <f>'Ingresos y Egresos'!N26*'Ingresos y Egresos'!$D$8*'Ingresos y Egresos'!$D$9</f>
        <v>5814.6026399999992</v>
      </c>
      <c r="O43" s="47">
        <f>'Ingresos y Egresos'!O26*'Ingresos y Egresos'!$D$8*'Ingresos y Egresos'!$D$9</f>
        <v>2718.5155199999999</v>
      </c>
      <c r="P43" s="47">
        <f>'Ingresos y Egresos'!P26*'Ingresos y Egresos'!$D$8*'Ingresos y Egresos'!$D$9</f>
        <v>9552.5614799999985</v>
      </c>
      <c r="Q43" s="47">
        <f>'Ingresos y Egresos'!Q26*'Ingresos y Egresos'!$D$8*'Ingresos y Egresos'!$D$9</f>
        <v>13517.063279999998</v>
      </c>
      <c r="R43" s="47">
        <f>'Ingresos y Egresos'!R26*'Ingresos y Egresos'!$D$8*'Ingresos y Egresos'!$D$9</f>
        <v>5210.4880799999992</v>
      </c>
      <c r="S43" s="48">
        <f>'Ingresos y Egresos'!S26*'Ingresos y Egresos'!$D$8*'Ingresos y Egresos'!$D$9</f>
        <v>37757.159999999989</v>
      </c>
    </row>
    <row r="44" spans="3:21" ht="16.5" thickTop="1" thickBot="1">
      <c r="C44" s="64" t="s">
        <v>41</v>
      </c>
      <c r="D44" s="50" t="s">
        <v>154</v>
      </c>
      <c r="E44" s="50" t="s">
        <v>114</v>
      </c>
      <c r="F44" s="50" t="s">
        <v>103</v>
      </c>
      <c r="G44" s="87" t="s">
        <v>158</v>
      </c>
      <c r="H44" s="87" t="s">
        <v>115</v>
      </c>
      <c r="L44" s="46"/>
      <c r="M44" s="47"/>
      <c r="N44" s="47"/>
      <c r="O44" s="47"/>
      <c r="P44" s="47"/>
      <c r="Q44" s="47"/>
      <c r="R44" s="47"/>
      <c r="S44" s="48"/>
    </row>
    <row r="45" spans="3:21" ht="16.5" thickTop="1" thickBot="1">
      <c r="C45" s="51" t="s">
        <v>149</v>
      </c>
      <c r="D45" s="52" t="s">
        <v>157</v>
      </c>
      <c r="E45" s="52">
        <v>200</v>
      </c>
      <c r="F45" s="53">
        <v>0.5</v>
      </c>
      <c r="G45" s="53">
        <f t="shared" ref="G45:G52" si="9">E45*F45</f>
        <v>100</v>
      </c>
      <c r="H45" s="53">
        <f t="shared" ref="H45:H52" si="10">G45*12</f>
        <v>1200</v>
      </c>
      <c r="L45" s="46" t="s">
        <v>13</v>
      </c>
      <c r="M45" s="47">
        <f>('Ingresos y Egresos'!M11*'Ingresos y Egresos'!$D$12*'Ingresos y Egresos'!$D$13)</f>
        <v>734.16700000000003</v>
      </c>
      <c r="N45" s="47">
        <f>('Ingresos y Egresos'!N11*'Ingresos y Egresos'!$D$12*'Ingresos y Egresos'!$D$13)</f>
        <v>4522.4687199999998</v>
      </c>
      <c r="O45" s="47">
        <f>('Ingresos y Egresos'!O11*'Ingresos y Egresos'!$D$12*'Ingresos y Egresos'!$D$13)</f>
        <v>2114.4009599999995</v>
      </c>
      <c r="P45" s="47">
        <f>('Ingresos y Egresos'!P11*'Ingresos y Egresos'!$D$12*'Ingresos y Egresos'!$D$13)</f>
        <v>7429.7700399999985</v>
      </c>
      <c r="Q45" s="47">
        <f>('Ingresos y Egresos'!Q11*'Ingresos y Egresos'!$D$12*'Ingresos y Egresos'!$D$13)</f>
        <v>10513.27144</v>
      </c>
      <c r="R45" s="47">
        <f>('Ingresos y Egresos'!R11*'Ingresos y Egresos'!$D$12*'Ingresos y Egresos'!$D$13)</f>
        <v>4052.6018399999994</v>
      </c>
      <c r="S45" s="48">
        <f>('Ingresos y Egresos'!S11*'Ingresos y Egresos'!$D$12*'Ingresos y Egresos'!$D$13)</f>
        <v>29366.68</v>
      </c>
    </row>
    <row r="46" spans="3:21" ht="16.5" thickTop="1" thickBot="1">
      <c r="C46" s="51" t="s">
        <v>150</v>
      </c>
      <c r="D46" s="52" t="s">
        <v>157</v>
      </c>
      <c r="E46" s="52">
        <v>70</v>
      </c>
      <c r="F46" s="53">
        <v>2</v>
      </c>
      <c r="G46" s="53">
        <f t="shared" si="9"/>
        <v>140</v>
      </c>
      <c r="H46" s="53">
        <f t="shared" si="10"/>
        <v>1680</v>
      </c>
      <c r="L46" s="45" t="s">
        <v>5</v>
      </c>
      <c r="M46" s="48">
        <f t="shared" ref="M46:S46" si="11">SUM(M43:M45)</f>
        <v>1678.096</v>
      </c>
      <c r="N46" s="48">
        <f t="shared" si="11"/>
        <v>10337.071359999998</v>
      </c>
      <c r="O46" s="48">
        <f t="shared" si="11"/>
        <v>4832.9164799999999</v>
      </c>
      <c r="P46" s="48">
        <f t="shared" si="11"/>
        <v>16982.331519999996</v>
      </c>
      <c r="Q46" s="48">
        <f t="shared" si="11"/>
        <v>24030.334719999999</v>
      </c>
      <c r="R46" s="48">
        <f t="shared" si="11"/>
        <v>9263.0899199999985</v>
      </c>
      <c r="S46" s="48">
        <f t="shared" si="11"/>
        <v>67123.839999999997</v>
      </c>
    </row>
    <row r="47" spans="3:21" ht="16.5" thickTop="1" thickBot="1">
      <c r="C47" s="51" t="s">
        <v>151</v>
      </c>
      <c r="D47" s="52" t="s">
        <v>155</v>
      </c>
      <c r="E47" s="52">
        <v>6</v>
      </c>
      <c r="F47" s="53">
        <v>3</v>
      </c>
      <c r="G47" s="53">
        <f t="shared" si="9"/>
        <v>18</v>
      </c>
      <c r="H47" s="53">
        <f t="shared" si="10"/>
        <v>216</v>
      </c>
    </row>
    <row r="48" spans="3:21" ht="16.5" thickTop="1" thickBot="1">
      <c r="C48" s="51" t="s">
        <v>152</v>
      </c>
      <c r="D48" s="52" t="s">
        <v>231</v>
      </c>
      <c r="E48" s="52">
        <v>7</v>
      </c>
      <c r="F48" s="53">
        <v>5</v>
      </c>
      <c r="G48" s="53">
        <f t="shared" si="9"/>
        <v>35</v>
      </c>
      <c r="H48" s="53">
        <f t="shared" si="10"/>
        <v>420</v>
      </c>
    </row>
    <row r="49" spans="3:15" ht="16.5" thickTop="1" thickBot="1">
      <c r="C49" s="51" t="s">
        <v>153</v>
      </c>
      <c r="D49" s="52" t="s">
        <v>156</v>
      </c>
      <c r="E49" s="52">
        <v>60</v>
      </c>
      <c r="F49" s="53">
        <v>1.2</v>
      </c>
      <c r="G49" s="53">
        <f t="shared" si="9"/>
        <v>72</v>
      </c>
      <c r="H49" s="53">
        <f t="shared" si="10"/>
        <v>864</v>
      </c>
      <c r="L49" s="191" t="s">
        <v>123</v>
      </c>
      <c r="M49" s="192"/>
      <c r="N49" s="4"/>
      <c r="O49" s="4"/>
    </row>
    <row r="50" spans="3:15" ht="16.5" thickTop="1" thickBot="1">
      <c r="C50" s="51" t="s">
        <v>203</v>
      </c>
      <c r="D50" s="52" t="s">
        <v>157</v>
      </c>
      <c r="E50" s="52">
        <v>70</v>
      </c>
      <c r="F50" s="53">
        <v>3</v>
      </c>
      <c r="G50" s="53">
        <f t="shared" si="9"/>
        <v>210</v>
      </c>
      <c r="H50" s="53">
        <f t="shared" si="10"/>
        <v>2520</v>
      </c>
      <c r="L50" s="51" t="s">
        <v>119</v>
      </c>
      <c r="M50" s="53">
        <v>1800</v>
      </c>
      <c r="N50" s="4"/>
      <c r="O50" s="63" t="s">
        <v>124</v>
      </c>
    </row>
    <row r="51" spans="3:15" ht="16.5" customHeight="1" thickTop="1" thickBot="1">
      <c r="C51" s="51" t="s">
        <v>202</v>
      </c>
      <c r="D51" s="52" t="s">
        <v>157</v>
      </c>
      <c r="E51" s="52">
        <v>70</v>
      </c>
      <c r="F51" s="53">
        <v>3.5</v>
      </c>
      <c r="G51" s="53">
        <f t="shared" si="9"/>
        <v>245</v>
      </c>
      <c r="H51" s="53">
        <f t="shared" si="10"/>
        <v>2940</v>
      </c>
      <c r="L51" s="51" t="s">
        <v>216</v>
      </c>
      <c r="M51" s="53">
        <v>2200</v>
      </c>
      <c r="N51" s="4"/>
      <c r="O51" s="4"/>
    </row>
    <row r="52" spans="3:15" ht="16.5" customHeight="1" thickTop="1" thickBot="1">
      <c r="C52" s="51" t="s">
        <v>204</v>
      </c>
      <c r="D52" s="52" t="s">
        <v>205</v>
      </c>
      <c r="E52" s="52">
        <v>10</v>
      </c>
      <c r="F52" s="53">
        <v>5</v>
      </c>
      <c r="G52" s="53">
        <f t="shared" si="9"/>
        <v>50</v>
      </c>
      <c r="H52" s="53">
        <f t="shared" si="10"/>
        <v>600</v>
      </c>
      <c r="L52" s="51" t="s">
        <v>120</v>
      </c>
      <c r="M52" s="53">
        <v>500</v>
      </c>
      <c r="N52" s="49"/>
      <c r="O52" s="4"/>
    </row>
    <row r="53" spans="3:15" ht="16.5" customHeight="1" thickTop="1" thickBot="1">
      <c r="C53" s="214" t="s">
        <v>5</v>
      </c>
      <c r="D53" s="215"/>
      <c r="E53" s="215"/>
      <c r="F53" s="215"/>
      <c r="G53" s="216"/>
      <c r="H53" s="62">
        <f>SUM(H45:H52)</f>
        <v>10440</v>
      </c>
      <c r="L53" s="140" t="s">
        <v>5</v>
      </c>
      <c r="M53" s="136">
        <f>SUM(M50:M52)</f>
        <v>4500</v>
      </c>
      <c r="N53" s="4"/>
      <c r="O53" s="4"/>
    </row>
    <row r="54" spans="3:15" ht="16.5" thickTop="1" thickBot="1">
      <c r="C54" s="152" t="s">
        <v>234</v>
      </c>
      <c r="D54" s="153"/>
      <c r="E54" s="153"/>
      <c r="F54" s="153"/>
      <c r="G54" s="153"/>
      <c r="H54" s="154"/>
      <c r="L54" s="193" t="s">
        <v>234</v>
      </c>
      <c r="M54" s="194"/>
    </row>
    <row r="55" spans="3:15" ht="16.5" thickTop="1" thickBot="1"/>
    <row r="56" spans="3:15" ht="16.5" thickTop="1" thickBot="1">
      <c r="L56" s="226" t="s">
        <v>232</v>
      </c>
      <c r="M56" s="227"/>
      <c r="N56" s="228"/>
    </row>
    <row r="57" spans="3:15" ht="16.5" thickTop="1" thickBot="1">
      <c r="C57" s="195" t="s">
        <v>37</v>
      </c>
      <c r="D57" s="196"/>
      <c r="E57" s="196"/>
      <c r="F57" s="196"/>
      <c r="G57" s="197"/>
      <c r="L57" s="134" t="s">
        <v>233</v>
      </c>
      <c r="M57" s="134" t="s">
        <v>116</v>
      </c>
      <c r="N57" s="135" t="s">
        <v>117</v>
      </c>
    </row>
    <row r="58" spans="3:15" ht="16.5" thickTop="1" thickBot="1">
      <c r="C58" s="198"/>
      <c r="D58" s="199"/>
      <c r="E58" s="199"/>
      <c r="F58" s="199"/>
      <c r="G58" s="200"/>
      <c r="L58" s="51" t="s">
        <v>38</v>
      </c>
      <c r="M58" s="53">
        <v>70</v>
      </c>
      <c r="N58" s="53">
        <f>M58*12</f>
        <v>840</v>
      </c>
    </row>
    <row r="59" spans="3:15" ht="16.5" customHeight="1" thickTop="1" thickBot="1">
      <c r="C59" s="142" t="s">
        <v>108</v>
      </c>
      <c r="D59" s="143" t="s">
        <v>113</v>
      </c>
      <c r="E59" s="143" t="s">
        <v>103</v>
      </c>
      <c r="F59" s="143" t="s">
        <v>116</v>
      </c>
      <c r="G59" s="144" t="s">
        <v>115</v>
      </c>
      <c r="L59" s="51" t="s">
        <v>39</v>
      </c>
      <c r="M59" s="53">
        <v>370.69</v>
      </c>
      <c r="N59" s="53">
        <f>M59*12</f>
        <v>4448.28</v>
      </c>
    </row>
    <row r="60" spans="3:15" ht="16.5" thickTop="1" thickBot="1">
      <c r="C60" s="51" t="s">
        <v>206</v>
      </c>
      <c r="D60" s="52">
        <v>1</v>
      </c>
      <c r="E60" s="53">
        <v>1200</v>
      </c>
      <c r="F60" s="53">
        <f t="shared" ref="F60:F68" si="12">D60*E60</f>
        <v>1200</v>
      </c>
      <c r="G60" s="53">
        <f t="shared" ref="G60:G68" si="13">F60*12</f>
        <v>14400</v>
      </c>
      <c r="L60" s="51" t="s">
        <v>40</v>
      </c>
      <c r="M60" s="53">
        <v>30</v>
      </c>
      <c r="N60" s="53">
        <f>M60*12</f>
        <v>360</v>
      </c>
    </row>
    <row r="61" spans="3:15" ht="16.5" thickTop="1" thickBot="1">
      <c r="C61" s="51" t="s">
        <v>207</v>
      </c>
      <c r="D61" s="52">
        <v>1</v>
      </c>
      <c r="E61" s="53">
        <v>600</v>
      </c>
      <c r="F61" s="53">
        <f t="shared" si="12"/>
        <v>600</v>
      </c>
      <c r="G61" s="53">
        <f t="shared" si="13"/>
        <v>7200</v>
      </c>
      <c r="L61" s="137" t="s">
        <v>5</v>
      </c>
      <c r="M61" s="138"/>
      <c r="N61" s="139">
        <f>SUM(N58:N60)</f>
        <v>5648.28</v>
      </c>
    </row>
    <row r="62" spans="3:15" ht="16.5" thickTop="1" thickBot="1">
      <c r="C62" s="51" t="s">
        <v>209</v>
      </c>
      <c r="D62" s="52">
        <v>1</v>
      </c>
      <c r="E62" s="53">
        <v>350</v>
      </c>
      <c r="F62" s="53">
        <f t="shared" si="12"/>
        <v>350</v>
      </c>
      <c r="G62" s="53">
        <f t="shared" si="13"/>
        <v>4200</v>
      </c>
      <c r="L62" s="229" t="s">
        <v>234</v>
      </c>
      <c r="M62" s="230"/>
      <c r="N62" s="231"/>
    </row>
    <row r="63" spans="3:15" ht="16.5" thickTop="1" thickBot="1">
      <c r="C63" s="51" t="s">
        <v>109</v>
      </c>
      <c r="D63" s="52">
        <v>1</v>
      </c>
      <c r="E63" s="53">
        <v>500</v>
      </c>
      <c r="F63" s="53">
        <f t="shared" si="12"/>
        <v>500</v>
      </c>
      <c r="G63" s="53">
        <f t="shared" si="13"/>
        <v>6000</v>
      </c>
    </row>
    <row r="64" spans="3:15" ht="16.5" thickTop="1" thickBot="1">
      <c r="C64" s="51" t="s">
        <v>110</v>
      </c>
      <c r="D64" s="52">
        <v>1</v>
      </c>
      <c r="E64" s="53">
        <v>350</v>
      </c>
      <c r="F64" s="53">
        <f t="shared" si="12"/>
        <v>350</v>
      </c>
      <c r="G64" s="53">
        <f t="shared" si="13"/>
        <v>4200</v>
      </c>
    </row>
    <row r="65" spans="3:23" ht="20.25" thickTop="1" thickBot="1">
      <c r="C65" s="51" t="s">
        <v>111</v>
      </c>
      <c r="D65" s="52">
        <v>1</v>
      </c>
      <c r="E65" s="53">
        <v>350</v>
      </c>
      <c r="F65" s="53">
        <f t="shared" si="12"/>
        <v>350</v>
      </c>
      <c r="G65" s="53">
        <f t="shared" si="13"/>
        <v>4200</v>
      </c>
      <c r="L65" s="204" t="s">
        <v>236</v>
      </c>
      <c r="M65" s="205"/>
      <c r="N65" s="205"/>
      <c r="O65" s="205"/>
      <c r="P65" s="206"/>
      <c r="W65" t="s">
        <v>235</v>
      </c>
    </row>
    <row r="66" spans="3:23" ht="16.5" thickTop="1" thickBot="1">
      <c r="C66" s="51" t="s">
        <v>112</v>
      </c>
      <c r="D66" s="52">
        <v>2</v>
      </c>
      <c r="E66" s="53">
        <v>280</v>
      </c>
      <c r="F66" s="53">
        <f t="shared" si="12"/>
        <v>560</v>
      </c>
      <c r="G66" s="53">
        <f t="shared" si="13"/>
        <v>6720</v>
      </c>
      <c r="L66" s="9"/>
      <c r="M66" s="95" t="s">
        <v>177</v>
      </c>
      <c r="N66" s="95" t="s">
        <v>176</v>
      </c>
      <c r="O66" s="95" t="s">
        <v>116</v>
      </c>
      <c r="P66" s="95" t="s">
        <v>117</v>
      </c>
    </row>
    <row r="67" spans="3:23" ht="16.5" thickTop="1" thickBot="1">
      <c r="C67" s="51" t="s">
        <v>210</v>
      </c>
      <c r="D67" s="52">
        <v>2</v>
      </c>
      <c r="E67" s="53">
        <v>300</v>
      </c>
      <c r="F67" s="53">
        <f t="shared" si="12"/>
        <v>600</v>
      </c>
      <c r="G67" s="53">
        <f t="shared" si="13"/>
        <v>7200</v>
      </c>
      <c r="L67" s="7" t="s">
        <v>66</v>
      </c>
      <c r="M67" s="105">
        <v>1</v>
      </c>
      <c r="N67" s="102">
        <v>700</v>
      </c>
      <c r="O67" s="102">
        <f>N67*M67</f>
        <v>700</v>
      </c>
      <c r="P67" s="102">
        <f>N67*12</f>
        <v>8400</v>
      </c>
    </row>
    <row r="68" spans="3:23" ht="16.5" thickTop="1" thickBot="1">
      <c r="C68" s="51" t="s">
        <v>208</v>
      </c>
      <c r="D68" s="52">
        <v>1</v>
      </c>
      <c r="E68" s="53">
        <v>600</v>
      </c>
      <c r="F68" s="53">
        <f t="shared" si="12"/>
        <v>600</v>
      </c>
      <c r="G68" s="53">
        <f t="shared" si="13"/>
        <v>7200</v>
      </c>
      <c r="L68" s="7" t="s">
        <v>178</v>
      </c>
      <c r="M68" s="105">
        <v>1</v>
      </c>
      <c r="N68" s="102">
        <v>40</v>
      </c>
      <c r="O68" s="102">
        <f>M68*N68</f>
        <v>40</v>
      </c>
      <c r="P68" s="102">
        <f>O68*12</f>
        <v>480</v>
      </c>
    </row>
    <row r="69" spans="3:23" ht="16.5" customHeight="1" thickTop="1" thickBot="1">
      <c r="C69" s="127"/>
      <c r="D69" s="52"/>
      <c r="E69" s="53"/>
      <c r="F69" s="53"/>
      <c r="G69" s="53"/>
      <c r="L69" s="107"/>
      <c r="M69" s="105"/>
      <c r="N69" s="102"/>
      <c r="O69" s="102"/>
      <c r="P69" s="102"/>
    </row>
    <row r="70" spans="3:23" ht="16.5" thickTop="1" thickBot="1">
      <c r="C70" s="210" t="s">
        <v>5</v>
      </c>
      <c r="D70" s="211"/>
      <c r="E70" s="211"/>
      <c r="F70" s="212"/>
      <c r="G70" s="145">
        <f>SUM(G60:G69)</f>
        <v>61320</v>
      </c>
      <c r="L70" s="107" t="s">
        <v>13</v>
      </c>
      <c r="M70" s="105">
        <v>1</v>
      </c>
      <c r="N70" s="102">
        <v>20</v>
      </c>
      <c r="O70" s="102">
        <f>M70*N70</f>
        <v>20</v>
      </c>
      <c r="P70" s="102">
        <f>O70*12</f>
        <v>240</v>
      </c>
    </row>
    <row r="71" spans="3:23" ht="16.5" thickTop="1" thickBot="1">
      <c r="C71" s="146"/>
      <c r="D71" s="147"/>
      <c r="E71" s="150" t="s">
        <v>22</v>
      </c>
      <c r="F71" s="148">
        <f>SUM(F60:F69)</f>
        <v>5110</v>
      </c>
      <c r="G71" s="149"/>
      <c r="L71" s="95" t="s">
        <v>5</v>
      </c>
      <c r="M71" s="95"/>
      <c r="N71" s="95"/>
      <c r="O71" s="95"/>
      <c r="P71" s="106">
        <f>SUM(P67:P70)</f>
        <v>9120</v>
      </c>
    </row>
    <row r="72" spans="3:23" ht="16.5" thickTop="1" thickBot="1">
      <c r="C72" s="201" t="s">
        <v>234</v>
      </c>
      <c r="D72" s="202"/>
      <c r="E72" s="202"/>
      <c r="F72" s="202"/>
      <c r="G72" s="203"/>
      <c r="L72" s="151" t="s">
        <v>234</v>
      </c>
      <c r="M72" s="78"/>
      <c r="N72" s="78"/>
      <c r="O72" s="78"/>
      <c r="P72" s="128"/>
    </row>
    <row r="73" spans="3:23" ht="15.75" thickTop="1"/>
    <row r="74" spans="3:23">
      <c r="O74" s="4"/>
      <c r="P74" s="4"/>
    </row>
    <row r="75" spans="3:23">
      <c r="O75" s="4"/>
      <c r="P75" s="4"/>
    </row>
    <row r="76" spans="3:23">
      <c r="O76" s="4"/>
      <c r="P76" s="4"/>
    </row>
    <row r="77" spans="3:23">
      <c r="O77" s="4"/>
      <c r="P77" s="4"/>
    </row>
    <row r="78" spans="3:23">
      <c r="O78" s="4"/>
      <c r="P78" s="4"/>
    </row>
  </sheetData>
  <scenarios current="0" show="0">
    <scenario name="Original" locked="1" count="12" user="Nanda" comment="Guarda los Valores Originales del Proyecto">
      <inputCells r="D6" val="399130" numFmtId="3"/>
      <inputCells r="D7" val="0,7" numFmtId="10"/>
      <inputCells r="D8" val="0,3" numFmtId="10"/>
      <inputCells r="D9" val="10" numFmtId="186"/>
      <inputCells r="D10" val="0,02" numFmtId="9"/>
      <inputCells r="D11" val="1" numFmtId="186"/>
      <inputCells r="D12" val="0,02" numFmtId="9"/>
      <inputCells r="D13" val="2" numFmtId="186"/>
      <inputCells r="F17" val="1,5" numFmtId="186"/>
      <inputCells r="F18" val="2" numFmtId="186"/>
      <inputCells r="F19" val="2" numFmtId="186"/>
      <inputCells r="F20" val="8" numFmtId="186"/>
    </scenario>
    <scenario name="Medio" locked="1" count="8" user="labiche" comment="Demanda y Porcentaje de Consumo en el Bar aumenta 1%, Con. minimo del Bar aumenta $2, Con. Minimo de Video Juego y Billar incremento $0,5_x000a_Modificado por Nanda el 02/02/2009_x000a_Modificado por labiche el 03/02/2009">
      <inputCells r="D6" val="399130" numFmtId="3"/>
      <inputCells r="D7" val="0,71" numFmtId="10"/>
      <inputCells r="D8" val="0,31" numFmtId="10"/>
      <inputCells r="D9" val="12" numFmtId="186"/>
      <inputCells r="D10" val="0,02" numFmtId="9"/>
      <inputCells r="D11" val="1,5" numFmtId="186"/>
      <inputCells r="D12" val="0,02" numFmtId="9"/>
      <inputCells r="D13" val="2,5" numFmtId="186"/>
    </scenario>
    <scenario name="Optimista" locked="1" count="12" user="labiche" comment="Demanda y Consumo del Bar incrementan 3%; Cons. minimo Bar aumenta $5; Porcentaje Cons. Video Juego 1%; Cons. minimo Video Juego aumenta $1; Porcentaje Consumo de Billar aumenta 1%; Consumo minimo Billar $1 _x000a_Modificado por labiche el 03/02/2009">
      <inputCells r="D6" val="399130" numFmtId="3"/>
      <inputCells r="D7" val="0,73" numFmtId="10"/>
      <inputCells r="D8" val="0,33" numFmtId="10"/>
      <inputCells r="D9" val="15" numFmtId="186"/>
      <inputCells r="D10" val="0,03" numFmtId="9"/>
      <inputCells r="D11" val="2" numFmtId="186"/>
      <inputCells r="D12" val="0,03" numFmtId="9"/>
      <inputCells r="D13" val="3" numFmtId="186"/>
      <inputCells r="F17" val="1,5" numFmtId="186"/>
      <inputCells r="F18" val="2" numFmtId="186"/>
      <inputCells r="F19" val="2" numFmtId="186"/>
      <inputCells r="F20" val="8" numFmtId="186"/>
    </scenario>
    <scenario name="Pesimista" locked="1" count="12" user="labiche" comment="Creado por labiche el 03/02/2009">
      <inputCells r="D6" val="399130" numFmtId="3"/>
      <inputCells r="D7" val="0,6" numFmtId="10"/>
      <inputCells r="D8" val="0,3" numFmtId="10"/>
      <inputCells r="D9" val="10" numFmtId="186"/>
      <inputCells r="D10" val="0,02" numFmtId="9"/>
      <inputCells r="D11" val="1" numFmtId="186"/>
      <inputCells r="D12" val="0,02" numFmtId="9"/>
      <inputCells r="D13" val="2" numFmtId="186"/>
      <inputCells r="F17" val="1,5" numFmtId="186"/>
      <inputCells r="F18" val="2" numFmtId="186"/>
      <inputCells r="F19" val="2" numFmtId="186"/>
      <inputCells r="F20" val="8" numFmtId="186"/>
    </scenario>
  </scenarios>
  <mergeCells count="25">
    <mergeCell ref="L28:S28"/>
    <mergeCell ref="L40:S40"/>
    <mergeCell ref="Q35:Q36"/>
    <mergeCell ref="R35:R36"/>
    <mergeCell ref="P35:P36"/>
    <mergeCell ref="L35:L36"/>
    <mergeCell ref="M35:M36"/>
    <mergeCell ref="N35:N36"/>
    <mergeCell ref="O35:O36"/>
    <mergeCell ref="C33:H34"/>
    <mergeCell ref="C70:F70"/>
    <mergeCell ref="C43:F43"/>
    <mergeCell ref="C53:G53"/>
    <mergeCell ref="C24:H24"/>
    <mergeCell ref="L3:S3"/>
    <mergeCell ref="M5:R5"/>
    <mergeCell ref="C19:C20"/>
    <mergeCell ref="L56:N56"/>
    <mergeCell ref="L62:N62"/>
    <mergeCell ref="L49:M49"/>
    <mergeCell ref="L54:M54"/>
    <mergeCell ref="C57:G58"/>
    <mergeCell ref="C72:G72"/>
    <mergeCell ref="L65:P65"/>
    <mergeCell ref="H35:H43"/>
  </mergeCells>
  <phoneticPr fontId="7" type="noConversion"/>
  <pageMargins left="0.75" right="0.75" top="1" bottom="1" header="0" footer="0"/>
  <pageSetup paperSize="9" orientation="portrait" horizontalDpi="200" verticalDpi="200" r:id="rId1"/>
  <headerFooter alignWithMargins="0"/>
  <ignoredErrors>
    <ignoredError sqref="N31:N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C1:W100"/>
  <sheetViews>
    <sheetView zoomScaleNormal="100" workbookViewId="0">
      <selection activeCell="I43" sqref="I43"/>
    </sheetView>
  </sheetViews>
  <sheetFormatPr baseColWidth="10" defaultColWidth="9" defaultRowHeight="15"/>
  <cols>
    <col min="2" max="2" width="15.7109375" customWidth="1"/>
    <col min="3" max="3" width="22.5703125" customWidth="1"/>
    <col min="4" max="4" width="11.28515625" customWidth="1"/>
    <col min="5" max="5" width="12.28515625" customWidth="1"/>
    <col min="6" max="6" width="12.42578125" customWidth="1"/>
    <col min="7" max="7" width="12.85546875" customWidth="1"/>
    <col min="8" max="8" width="13.42578125" customWidth="1"/>
    <col min="9" max="9" width="17.140625" customWidth="1"/>
    <col min="10" max="10" width="31.28515625" bestFit="1" customWidth="1"/>
    <col min="11" max="12" width="15.7109375" customWidth="1"/>
    <col min="13" max="13" width="19.85546875" customWidth="1"/>
    <col min="14" max="14" width="16.5703125" bestFit="1" customWidth="1"/>
    <col min="15" max="15" width="17" customWidth="1"/>
    <col min="16" max="19" width="15.7109375" customWidth="1"/>
    <col min="20" max="22" width="15.5703125" customWidth="1"/>
    <col min="23" max="27" width="11.140625" bestFit="1" customWidth="1"/>
  </cols>
  <sheetData>
    <row r="1" spans="3:22" ht="18" customHeight="1">
      <c r="J1" s="20"/>
      <c r="K1" s="20"/>
    </row>
    <row r="2" spans="3:22" ht="18" customHeight="1">
      <c r="J2" s="21"/>
      <c r="K2" s="21"/>
    </row>
    <row r="3" spans="3:22" ht="18" customHeight="1" thickBot="1">
      <c r="J3" s="22"/>
      <c r="K3" s="22"/>
    </row>
    <row r="4" spans="3:22" ht="18" customHeight="1" thickTop="1" thickBot="1">
      <c r="C4" s="221" t="s">
        <v>102</v>
      </c>
      <c r="D4" s="222"/>
      <c r="E4" s="222"/>
      <c r="F4" s="222"/>
      <c r="G4" s="223"/>
      <c r="H4" s="4"/>
      <c r="I4" s="4"/>
      <c r="J4" s="4"/>
      <c r="K4" s="235" t="s">
        <v>15</v>
      </c>
      <c r="L4" s="236"/>
      <c r="M4" s="236"/>
      <c r="N4" s="236"/>
      <c r="O4" s="236"/>
      <c r="P4" s="236"/>
      <c r="Q4" s="236"/>
      <c r="R4" s="236"/>
      <c r="S4" s="237"/>
      <c r="T4" s="4"/>
    </row>
    <row r="5" spans="3:22" ht="18" customHeight="1" thickTop="1" thickBot="1">
      <c r="C5" s="4"/>
      <c r="D5" s="4"/>
      <c r="E5" s="4"/>
      <c r="F5" s="4"/>
      <c r="G5" s="4"/>
      <c r="H5" s="4"/>
      <c r="I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3:22" ht="18" customHeight="1" thickTop="1" thickBot="1">
      <c r="C6" s="54" t="s">
        <v>67</v>
      </c>
      <c r="D6" s="50" t="s">
        <v>64</v>
      </c>
      <c r="E6" s="87" t="s">
        <v>103</v>
      </c>
      <c r="F6" s="50" t="s">
        <v>65</v>
      </c>
      <c r="G6" s="50" t="s">
        <v>104</v>
      </c>
      <c r="H6" s="4"/>
      <c r="I6" s="4"/>
      <c r="J6" s="54" t="s">
        <v>67</v>
      </c>
      <c r="K6" s="61">
        <v>1</v>
      </c>
      <c r="L6" s="61">
        <v>2</v>
      </c>
      <c r="M6" s="61">
        <v>3</v>
      </c>
      <c r="N6" s="61">
        <v>4</v>
      </c>
      <c r="O6" s="61">
        <v>5</v>
      </c>
      <c r="P6" s="61">
        <v>6</v>
      </c>
      <c r="Q6" s="61">
        <v>7</v>
      </c>
      <c r="R6" s="61">
        <v>8</v>
      </c>
      <c r="S6" s="61">
        <v>9</v>
      </c>
      <c r="T6" s="61">
        <v>10</v>
      </c>
    </row>
    <row r="7" spans="3:22" ht="18" customHeight="1" thickTop="1" thickBot="1">
      <c r="C7" s="51" t="s">
        <v>28</v>
      </c>
      <c r="D7" s="52">
        <v>10</v>
      </c>
      <c r="E7" s="53">
        <v>20000</v>
      </c>
      <c r="F7" s="53">
        <f>D7*E7</f>
        <v>200000</v>
      </c>
      <c r="G7" s="52">
        <v>15</v>
      </c>
      <c r="H7" s="4"/>
      <c r="I7" s="4"/>
      <c r="J7" s="51" t="s">
        <v>28</v>
      </c>
      <c r="K7" s="53">
        <f>F7/G7</f>
        <v>13333.333333333334</v>
      </c>
      <c r="L7" s="53">
        <f t="shared" ref="L7:T7" si="0">K7</f>
        <v>13333.333333333334</v>
      </c>
      <c r="M7" s="53">
        <f t="shared" si="0"/>
        <v>13333.333333333334</v>
      </c>
      <c r="N7" s="53">
        <f t="shared" si="0"/>
        <v>13333.333333333334</v>
      </c>
      <c r="O7" s="53">
        <f t="shared" si="0"/>
        <v>13333.333333333334</v>
      </c>
      <c r="P7" s="53">
        <f t="shared" si="0"/>
        <v>13333.333333333334</v>
      </c>
      <c r="Q7" s="53">
        <f t="shared" si="0"/>
        <v>13333.333333333334</v>
      </c>
      <c r="R7" s="53">
        <f t="shared" si="0"/>
        <v>13333.333333333334</v>
      </c>
      <c r="S7" s="53">
        <f t="shared" si="0"/>
        <v>13333.333333333334</v>
      </c>
      <c r="T7" s="53">
        <f t="shared" si="0"/>
        <v>13333.333333333334</v>
      </c>
      <c r="V7" s="161">
        <f>T7*5</f>
        <v>66666.666666666672</v>
      </c>
    </row>
    <row r="8" spans="3:22" ht="18" customHeight="1" thickTop="1" thickBot="1">
      <c r="C8" s="51" t="s">
        <v>217</v>
      </c>
      <c r="D8" s="52">
        <v>1</v>
      </c>
      <c r="E8" s="53">
        <v>5000</v>
      </c>
      <c r="F8" s="53">
        <f t="shared" ref="F8:F19" si="1">D8*E8</f>
        <v>5000</v>
      </c>
      <c r="G8" s="52">
        <v>5</v>
      </c>
      <c r="H8" s="4"/>
      <c r="I8" s="4"/>
      <c r="J8" s="51" t="s">
        <v>29</v>
      </c>
      <c r="K8" s="53">
        <f>F8/G8</f>
        <v>1000</v>
      </c>
      <c r="L8" s="53">
        <f>K8</f>
        <v>1000</v>
      </c>
      <c r="M8" s="53">
        <f>L8</f>
        <v>1000</v>
      </c>
      <c r="N8" s="53">
        <f>M8</f>
        <v>1000</v>
      </c>
      <c r="O8" s="53">
        <f>N8</f>
        <v>1000</v>
      </c>
      <c r="P8" s="53"/>
      <c r="Q8" s="53"/>
      <c r="R8" s="53"/>
      <c r="S8" s="53"/>
      <c r="T8" s="53"/>
    </row>
    <row r="9" spans="3:22" ht="18" customHeight="1" thickTop="1" thickBot="1">
      <c r="C9" s="51" t="s">
        <v>30</v>
      </c>
      <c r="D9" s="52">
        <v>12</v>
      </c>
      <c r="E9" s="53">
        <v>250</v>
      </c>
      <c r="F9" s="53">
        <f t="shared" si="1"/>
        <v>3000</v>
      </c>
      <c r="G9" s="52">
        <v>5</v>
      </c>
      <c r="H9" s="4"/>
      <c r="I9" s="4"/>
      <c r="J9" s="51" t="s">
        <v>30</v>
      </c>
      <c r="K9" s="53">
        <f>F9/G9</f>
        <v>600</v>
      </c>
      <c r="L9" s="53">
        <f>$K$9</f>
        <v>600</v>
      </c>
      <c r="M9" s="53">
        <f>$K$9</f>
        <v>600</v>
      </c>
      <c r="N9" s="53">
        <f>$K$9</f>
        <v>600</v>
      </c>
      <c r="O9" s="53">
        <f>$K$9</f>
        <v>600</v>
      </c>
      <c r="P9" s="53"/>
      <c r="Q9" s="53"/>
      <c r="R9" s="53"/>
      <c r="S9" s="53"/>
      <c r="T9" s="53"/>
    </row>
    <row r="10" spans="3:22" ht="18" customHeight="1" thickTop="1" thickBot="1">
      <c r="C10" s="51" t="s">
        <v>218</v>
      </c>
      <c r="D10" s="52">
        <v>12</v>
      </c>
      <c r="E10" s="53">
        <v>200</v>
      </c>
      <c r="F10" s="53">
        <f t="shared" si="1"/>
        <v>2400</v>
      </c>
      <c r="G10" s="52">
        <v>5</v>
      </c>
      <c r="H10" s="4"/>
      <c r="I10" s="4"/>
      <c r="J10" s="51" t="s">
        <v>218</v>
      </c>
      <c r="K10" s="53">
        <f t="shared" ref="K10:K17" si="2">F10/G10</f>
        <v>480</v>
      </c>
      <c r="L10" s="53">
        <f>$K$10</f>
        <v>480</v>
      </c>
      <c r="M10" s="53">
        <f>$K$10</f>
        <v>480</v>
      </c>
      <c r="N10" s="53">
        <f>$K$10</f>
        <v>480</v>
      </c>
      <c r="O10" s="53"/>
      <c r="P10" s="53"/>
      <c r="Q10" s="53"/>
      <c r="R10" s="53"/>
      <c r="S10" s="53"/>
      <c r="T10" s="53"/>
    </row>
    <row r="11" spans="3:22" ht="18" customHeight="1" thickTop="1" thickBot="1">
      <c r="C11" s="51" t="s">
        <v>219</v>
      </c>
      <c r="D11" s="52">
        <v>6</v>
      </c>
      <c r="E11" s="53">
        <v>60</v>
      </c>
      <c r="F11" s="53">
        <f t="shared" si="1"/>
        <v>360</v>
      </c>
      <c r="G11" s="52">
        <v>5</v>
      </c>
      <c r="H11" s="4"/>
      <c r="I11" s="4"/>
      <c r="J11" s="51" t="s">
        <v>219</v>
      </c>
      <c r="K11" s="53">
        <f t="shared" si="2"/>
        <v>72</v>
      </c>
      <c r="L11" s="53">
        <f>$K$11</f>
        <v>72</v>
      </c>
      <c r="M11" s="53">
        <f>$K$11</f>
        <v>72</v>
      </c>
      <c r="N11" s="53">
        <f>$K$11</f>
        <v>72</v>
      </c>
      <c r="O11" s="53">
        <f>$K$11</f>
        <v>72</v>
      </c>
      <c r="P11" s="53"/>
      <c r="Q11" s="53"/>
      <c r="R11" s="53"/>
      <c r="S11" s="53"/>
      <c r="T11" s="53"/>
    </row>
    <row r="12" spans="3:22" ht="18" customHeight="1" thickTop="1" thickBot="1">
      <c r="C12" s="51" t="s">
        <v>31</v>
      </c>
      <c r="D12" s="52">
        <v>5</v>
      </c>
      <c r="E12" s="53">
        <v>1000</v>
      </c>
      <c r="F12" s="53">
        <f t="shared" si="1"/>
        <v>5000</v>
      </c>
      <c r="G12" s="52">
        <v>10</v>
      </c>
      <c r="H12" s="4"/>
      <c r="I12" s="4"/>
      <c r="J12" s="51" t="s">
        <v>31</v>
      </c>
      <c r="K12" s="53">
        <f t="shared" si="2"/>
        <v>500</v>
      </c>
      <c r="L12" s="53">
        <f t="shared" ref="L12:T12" si="3">$K$12</f>
        <v>500</v>
      </c>
      <c r="M12" s="53">
        <f t="shared" si="3"/>
        <v>500</v>
      </c>
      <c r="N12" s="53">
        <f t="shared" si="3"/>
        <v>500</v>
      </c>
      <c r="O12" s="53">
        <f t="shared" si="3"/>
        <v>500</v>
      </c>
      <c r="P12" s="53">
        <f t="shared" si="3"/>
        <v>500</v>
      </c>
      <c r="Q12" s="53">
        <f t="shared" si="3"/>
        <v>500</v>
      </c>
      <c r="R12" s="53">
        <f t="shared" si="3"/>
        <v>500</v>
      </c>
      <c r="S12" s="53">
        <f t="shared" si="3"/>
        <v>500</v>
      </c>
      <c r="T12" s="53">
        <f t="shared" si="3"/>
        <v>500</v>
      </c>
    </row>
    <row r="13" spans="3:22" ht="18" customHeight="1" thickTop="1" thickBot="1">
      <c r="C13" s="51" t="s">
        <v>32</v>
      </c>
      <c r="D13" s="52">
        <v>2</v>
      </c>
      <c r="E13" s="53">
        <v>150</v>
      </c>
      <c r="F13" s="53">
        <f t="shared" si="1"/>
        <v>300</v>
      </c>
      <c r="G13" s="52">
        <v>10</v>
      </c>
      <c r="H13" s="4"/>
      <c r="I13" s="4"/>
      <c r="J13" s="51" t="s">
        <v>32</v>
      </c>
      <c r="K13" s="53">
        <f t="shared" si="2"/>
        <v>30</v>
      </c>
      <c r="L13" s="53">
        <f t="shared" ref="L13:T13" si="4">$K$13</f>
        <v>30</v>
      </c>
      <c r="M13" s="53">
        <f t="shared" si="4"/>
        <v>30</v>
      </c>
      <c r="N13" s="53">
        <f t="shared" si="4"/>
        <v>30</v>
      </c>
      <c r="O13" s="53">
        <f t="shared" si="4"/>
        <v>30</v>
      </c>
      <c r="P13" s="53">
        <f t="shared" si="4"/>
        <v>30</v>
      </c>
      <c r="Q13" s="53">
        <f t="shared" si="4"/>
        <v>30</v>
      </c>
      <c r="R13" s="53">
        <f t="shared" si="4"/>
        <v>30</v>
      </c>
      <c r="S13" s="53">
        <f t="shared" si="4"/>
        <v>30</v>
      </c>
      <c r="T13" s="53">
        <f t="shared" si="4"/>
        <v>30</v>
      </c>
    </row>
    <row r="14" spans="3:22" ht="18" customHeight="1" thickTop="1" thickBot="1">
      <c r="C14" s="51" t="s">
        <v>33</v>
      </c>
      <c r="D14" s="52">
        <v>8</v>
      </c>
      <c r="E14" s="53">
        <v>5</v>
      </c>
      <c r="F14" s="53">
        <f t="shared" si="1"/>
        <v>40</v>
      </c>
      <c r="G14" s="52">
        <v>3</v>
      </c>
      <c r="H14" s="4"/>
      <c r="I14" s="4"/>
      <c r="J14" s="51" t="s">
        <v>33</v>
      </c>
      <c r="K14" s="53">
        <f t="shared" si="2"/>
        <v>13.333333333333334</v>
      </c>
      <c r="L14" s="53">
        <f>$K$14</f>
        <v>13.333333333333334</v>
      </c>
      <c r="M14" s="53">
        <f>$K$14</f>
        <v>13.333333333333334</v>
      </c>
      <c r="N14" s="53"/>
      <c r="O14" s="53"/>
      <c r="P14" s="53"/>
      <c r="Q14" s="53"/>
      <c r="R14" s="53"/>
      <c r="S14" s="53"/>
      <c r="T14" s="53"/>
      <c r="V14">
        <f>M14*2</f>
        <v>26.666666666666668</v>
      </c>
    </row>
    <row r="15" spans="3:22" ht="18" customHeight="1" thickTop="1" thickBot="1">
      <c r="C15" s="51" t="s">
        <v>13</v>
      </c>
      <c r="D15" s="52">
        <v>10</v>
      </c>
      <c r="E15" s="53">
        <v>510</v>
      </c>
      <c r="F15" s="53">
        <f t="shared" si="1"/>
        <v>5100</v>
      </c>
      <c r="G15" s="52">
        <v>10</v>
      </c>
      <c r="H15" s="4"/>
      <c r="I15" s="4"/>
      <c r="J15" s="51" t="s">
        <v>13</v>
      </c>
      <c r="K15" s="53">
        <f t="shared" si="2"/>
        <v>510</v>
      </c>
      <c r="L15" s="53">
        <f t="shared" ref="L15:T15" si="5">$K$15</f>
        <v>510</v>
      </c>
      <c r="M15" s="53">
        <f t="shared" si="5"/>
        <v>510</v>
      </c>
      <c r="N15" s="53">
        <f t="shared" si="5"/>
        <v>510</v>
      </c>
      <c r="O15" s="53">
        <f t="shared" si="5"/>
        <v>510</v>
      </c>
      <c r="P15" s="53">
        <f t="shared" si="5"/>
        <v>510</v>
      </c>
      <c r="Q15" s="53">
        <f t="shared" si="5"/>
        <v>510</v>
      </c>
      <c r="R15" s="53">
        <f t="shared" si="5"/>
        <v>510</v>
      </c>
      <c r="S15" s="53">
        <f t="shared" si="5"/>
        <v>510</v>
      </c>
      <c r="T15" s="53">
        <f t="shared" si="5"/>
        <v>510</v>
      </c>
    </row>
    <row r="16" spans="3:22" ht="18" customHeight="1" thickTop="1" thickBot="1">
      <c r="C16" s="51" t="s">
        <v>220</v>
      </c>
      <c r="D16" s="52">
        <v>20</v>
      </c>
      <c r="E16" s="53">
        <v>350</v>
      </c>
      <c r="F16" s="53">
        <f t="shared" si="1"/>
        <v>7000</v>
      </c>
      <c r="G16" s="52">
        <v>5</v>
      </c>
      <c r="H16" s="4"/>
      <c r="I16" s="4"/>
      <c r="J16" s="51" t="s">
        <v>225</v>
      </c>
      <c r="K16" s="53">
        <f t="shared" si="2"/>
        <v>1400</v>
      </c>
      <c r="L16" s="53">
        <f>$K$16</f>
        <v>1400</v>
      </c>
      <c r="M16" s="53">
        <f>$K$16</f>
        <v>1400</v>
      </c>
      <c r="N16" s="53">
        <f>$K$16</f>
        <v>1400</v>
      </c>
      <c r="O16" s="53">
        <f>$K$16</f>
        <v>1400</v>
      </c>
      <c r="P16" s="53"/>
      <c r="Q16" s="53"/>
      <c r="R16" s="53"/>
      <c r="S16" s="53"/>
      <c r="T16" s="53"/>
    </row>
    <row r="17" spans="3:22" ht="18" customHeight="1" thickTop="1" thickBot="1">
      <c r="C17" s="51" t="s">
        <v>227</v>
      </c>
      <c r="D17" s="52">
        <v>1</v>
      </c>
      <c r="E17" s="53">
        <v>350</v>
      </c>
      <c r="F17" s="53">
        <f t="shared" si="1"/>
        <v>350</v>
      </c>
      <c r="G17" s="52">
        <v>5</v>
      </c>
      <c r="H17" s="4"/>
      <c r="I17" s="4"/>
      <c r="J17" s="51" t="s">
        <v>35</v>
      </c>
      <c r="K17" s="53">
        <f t="shared" si="2"/>
        <v>70</v>
      </c>
      <c r="L17" s="53"/>
      <c r="M17" s="53"/>
      <c r="N17" s="53"/>
      <c r="O17" s="53"/>
      <c r="P17" s="53"/>
      <c r="Q17" s="53"/>
      <c r="R17" s="53"/>
      <c r="S17" s="53"/>
      <c r="T17" s="53"/>
    </row>
    <row r="18" spans="3:22" ht="18" customHeight="1" thickTop="1" thickBot="1">
      <c r="C18" s="51" t="s">
        <v>105</v>
      </c>
      <c r="D18" s="52">
        <v>90</v>
      </c>
      <c r="E18" s="53">
        <v>50</v>
      </c>
      <c r="F18" s="53">
        <f t="shared" si="1"/>
        <v>4500</v>
      </c>
      <c r="G18" s="52">
        <v>5</v>
      </c>
      <c r="H18" s="4"/>
      <c r="I18" s="4"/>
      <c r="J18" s="51" t="s">
        <v>105</v>
      </c>
      <c r="K18" s="53">
        <f>F18/G18</f>
        <v>900</v>
      </c>
      <c r="L18" s="53">
        <f>$K$18</f>
        <v>900</v>
      </c>
      <c r="M18" s="53">
        <f>$K$18</f>
        <v>900</v>
      </c>
      <c r="N18" s="53">
        <f>$K$18</f>
        <v>900</v>
      </c>
      <c r="O18" s="53">
        <f>$K$18</f>
        <v>900</v>
      </c>
      <c r="P18" s="53"/>
      <c r="Q18" s="53"/>
      <c r="R18" s="53"/>
      <c r="S18" s="53"/>
      <c r="T18" s="53"/>
    </row>
    <row r="19" spans="3:22" ht="18" customHeight="1" thickTop="1" thickBot="1">
      <c r="C19" s="51" t="s">
        <v>106</v>
      </c>
      <c r="D19" s="52">
        <v>70</v>
      </c>
      <c r="E19" s="53">
        <v>20</v>
      </c>
      <c r="F19" s="53">
        <f t="shared" si="1"/>
        <v>1400</v>
      </c>
      <c r="G19" s="52">
        <v>2</v>
      </c>
      <c r="H19" s="4"/>
      <c r="I19" s="4"/>
      <c r="J19" s="51" t="s">
        <v>106</v>
      </c>
      <c r="K19" s="53">
        <f>F19/G19</f>
        <v>700</v>
      </c>
      <c r="L19" s="53">
        <f>$K$19</f>
        <v>700</v>
      </c>
      <c r="M19" s="53"/>
      <c r="N19" s="53"/>
      <c r="O19" s="53"/>
      <c r="P19" s="53"/>
      <c r="Q19" s="53"/>
      <c r="R19" s="53"/>
      <c r="S19" s="53"/>
      <c r="T19" s="53"/>
    </row>
    <row r="20" spans="3:22" ht="18" customHeight="1" thickTop="1" thickBot="1">
      <c r="C20" s="51" t="s">
        <v>36</v>
      </c>
      <c r="D20" s="52">
        <v>1</v>
      </c>
      <c r="E20" s="53">
        <v>300</v>
      </c>
      <c r="F20" s="53">
        <f>D20*E20</f>
        <v>300</v>
      </c>
      <c r="G20" s="52">
        <v>5</v>
      </c>
      <c r="H20" s="4"/>
      <c r="I20" s="4"/>
      <c r="J20" s="51" t="s">
        <v>36</v>
      </c>
      <c r="K20" s="53">
        <f>F20/G20</f>
        <v>60</v>
      </c>
      <c r="L20" s="53">
        <f>$K$20</f>
        <v>60</v>
      </c>
      <c r="M20" s="53">
        <f>$K$20</f>
        <v>60</v>
      </c>
      <c r="N20" s="53">
        <f>$K$20</f>
        <v>60</v>
      </c>
      <c r="O20" s="53">
        <f>$K$20</f>
        <v>60</v>
      </c>
      <c r="P20" s="53"/>
      <c r="Q20" s="53"/>
      <c r="R20" s="53"/>
      <c r="S20" s="53"/>
      <c r="T20" s="53"/>
    </row>
    <row r="21" spans="3:22" ht="18" customHeight="1" thickTop="1" thickBot="1">
      <c r="C21" s="257" t="s">
        <v>5</v>
      </c>
      <c r="D21" s="257"/>
      <c r="E21" s="257"/>
      <c r="F21" s="53">
        <f>SUM(F7:F20)</f>
        <v>234750</v>
      </c>
      <c r="G21" s="12"/>
      <c r="H21" s="4"/>
      <c r="I21" s="4"/>
      <c r="J21" s="51" t="s">
        <v>53</v>
      </c>
      <c r="K21" s="53">
        <f>F23/G23</f>
        <v>33.333333333333336</v>
      </c>
      <c r="L21" s="53">
        <f>$K$21</f>
        <v>33.333333333333336</v>
      </c>
      <c r="M21" s="53">
        <f>L21</f>
        <v>33.333333333333336</v>
      </c>
      <c r="N21" s="53"/>
      <c r="O21" s="53"/>
      <c r="P21" s="53"/>
      <c r="Q21" s="53"/>
      <c r="R21" s="53"/>
      <c r="S21" s="53"/>
      <c r="T21" s="53"/>
    </row>
    <row r="22" spans="3:22" ht="18" customHeight="1" thickTop="1" thickBot="1">
      <c r="C22" s="245" t="s">
        <v>172</v>
      </c>
      <c r="D22" s="246"/>
      <c r="E22" s="55"/>
      <c r="F22" s="55"/>
      <c r="G22" s="57"/>
      <c r="H22" s="4" t="s">
        <v>252</v>
      </c>
      <c r="I22" s="4"/>
      <c r="J22" s="51" t="s">
        <v>34</v>
      </c>
      <c r="K22" s="53">
        <f>F24/G24</f>
        <v>380</v>
      </c>
      <c r="L22" s="53">
        <f>K22</f>
        <v>380</v>
      </c>
      <c r="M22" s="53">
        <f>L22</f>
        <v>380</v>
      </c>
      <c r="N22" s="53"/>
      <c r="O22" s="53"/>
      <c r="P22" s="53"/>
      <c r="Q22" s="53"/>
      <c r="R22" s="53"/>
      <c r="S22" s="53"/>
      <c r="T22" s="53"/>
    </row>
    <row r="23" spans="3:22" ht="18" customHeight="1" thickTop="1" thickBot="1">
      <c r="C23" s="51" t="s">
        <v>53</v>
      </c>
      <c r="D23" s="52">
        <v>1</v>
      </c>
      <c r="E23" s="53">
        <v>100</v>
      </c>
      <c r="F23" s="53">
        <f>E23*D23</f>
        <v>100</v>
      </c>
      <c r="G23" s="52">
        <v>3</v>
      </c>
      <c r="H23" s="49">
        <f>F23*2</f>
        <v>200</v>
      </c>
      <c r="I23" s="4"/>
      <c r="J23" s="51" t="s">
        <v>54</v>
      </c>
      <c r="K23" s="53">
        <f>F27/G27</f>
        <v>8</v>
      </c>
      <c r="L23" s="53">
        <f t="shared" ref="L23:T23" si="6">$K$23</f>
        <v>8</v>
      </c>
      <c r="M23" s="53">
        <f t="shared" si="6"/>
        <v>8</v>
      </c>
      <c r="N23" s="53">
        <f t="shared" si="6"/>
        <v>8</v>
      </c>
      <c r="O23" s="53">
        <f t="shared" si="6"/>
        <v>8</v>
      </c>
      <c r="P23" s="53">
        <f t="shared" si="6"/>
        <v>8</v>
      </c>
      <c r="Q23" s="53">
        <f t="shared" si="6"/>
        <v>8</v>
      </c>
      <c r="R23" s="53">
        <f t="shared" si="6"/>
        <v>8</v>
      </c>
      <c r="S23" s="53">
        <f t="shared" si="6"/>
        <v>8</v>
      </c>
      <c r="T23" s="53">
        <f t="shared" si="6"/>
        <v>8</v>
      </c>
    </row>
    <row r="24" spans="3:22" ht="18" customHeight="1" thickTop="1" thickBot="1">
      <c r="C24" s="51" t="s">
        <v>34</v>
      </c>
      <c r="D24" s="52">
        <v>3</v>
      </c>
      <c r="E24" s="53">
        <v>380</v>
      </c>
      <c r="F24" s="53">
        <f>D24*E24</f>
        <v>1140</v>
      </c>
      <c r="G24" s="52">
        <v>3</v>
      </c>
      <c r="H24" s="49">
        <f>F24*2</f>
        <v>2280</v>
      </c>
      <c r="I24" s="4"/>
      <c r="J24" s="51" t="s">
        <v>55</v>
      </c>
      <c r="K24" s="53">
        <f>F28/G28</f>
        <v>36</v>
      </c>
      <c r="L24" s="53">
        <f t="shared" ref="L24:T24" si="7">$K$24</f>
        <v>36</v>
      </c>
      <c r="M24" s="53">
        <f t="shared" si="7"/>
        <v>36</v>
      </c>
      <c r="N24" s="53">
        <f t="shared" si="7"/>
        <v>36</v>
      </c>
      <c r="O24" s="53">
        <f t="shared" si="7"/>
        <v>36</v>
      </c>
      <c r="P24" s="53">
        <f t="shared" si="7"/>
        <v>36</v>
      </c>
      <c r="Q24" s="53">
        <f t="shared" si="7"/>
        <v>36</v>
      </c>
      <c r="R24" s="53">
        <f t="shared" si="7"/>
        <v>36</v>
      </c>
      <c r="S24" s="53">
        <f t="shared" si="7"/>
        <v>36</v>
      </c>
      <c r="T24" s="53">
        <f t="shared" si="7"/>
        <v>36</v>
      </c>
    </row>
    <row r="25" spans="3:22" ht="18" customHeight="1" thickTop="1" thickBot="1">
      <c r="C25" s="257" t="s">
        <v>5</v>
      </c>
      <c r="D25" s="257"/>
      <c r="E25" s="257"/>
      <c r="F25" s="53">
        <f>SUM(F23:F24)</f>
        <v>1240</v>
      </c>
      <c r="G25" s="12"/>
      <c r="H25" s="49">
        <f>H23+H24</f>
        <v>2480</v>
      </c>
      <c r="I25" s="4"/>
      <c r="J25" s="51" t="s">
        <v>56</v>
      </c>
      <c r="K25" s="53">
        <f>F29/G29</f>
        <v>5</v>
      </c>
      <c r="L25" s="53">
        <f t="shared" ref="L25:T25" si="8">$K$25</f>
        <v>5</v>
      </c>
      <c r="M25" s="53">
        <f t="shared" si="8"/>
        <v>5</v>
      </c>
      <c r="N25" s="53">
        <f t="shared" si="8"/>
        <v>5</v>
      </c>
      <c r="O25" s="53">
        <f t="shared" si="8"/>
        <v>5</v>
      </c>
      <c r="P25" s="53">
        <f t="shared" si="8"/>
        <v>5</v>
      </c>
      <c r="Q25" s="53">
        <f t="shared" si="8"/>
        <v>5</v>
      </c>
      <c r="R25" s="53">
        <f t="shared" si="8"/>
        <v>5</v>
      </c>
      <c r="S25" s="53">
        <f t="shared" si="8"/>
        <v>5</v>
      </c>
      <c r="T25" s="53">
        <f t="shared" si="8"/>
        <v>5</v>
      </c>
    </row>
    <row r="26" spans="3:22" ht="18" customHeight="1" thickTop="1" thickBot="1">
      <c r="C26" s="245" t="s">
        <v>173</v>
      </c>
      <c r="D26" s="246"/>
      <c r="E26" s="55"/>
      <c r="F26" s="55"/>
      <c r="G26" s="57"/>
      <c r="H26" s="4"/>
      <c r="I26" s="4"/>
      <c r="J26" s="51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3:22" ht="18" customHeight="1" thickTop="1" thickBot="1">
      <c r="C27" s="51" t="s">
        <v>221</v>
      </c>
      <c r="D27" s="52">
        <v>1</v>
      </c>
      <c r="E27" s="53">
        <v>80</v>
      </c>
      <c r="F27" s="53">
        <f t="shared" ref="F27:F32" si="9">D27*E27</f>
        <v>80</v>
      </c>
      <c r="G27" s="52">
        <v>10</v>
      </c>
      <c r="H27" s="4"/>
      <c r="I27" s="4"/>
      <c r="J27" s="51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3:22" ht="18" customHeight="1" thickTop="1" thickBot="1">
      <c r="C28" s="51" t="s">
        <v>55</v>
      </c>
      <c r="D28" s="52">
        <v>9</v>
      </c>
      <c r="E28" s="53">
        <v>40</v>
      </c>
      <c r="F28" s="53">
        <f t="shared" si="9"/>
        <v>360</v>
      </c>
      <c r="G28" s="52">
        <v>10</v>
      </c>
      <c r="H28" s="4"/>
      <c r="I28" s="4"/>
      <c r="J28" s="68"/>
      <c r="K28" s="53">
        <f t="shared" ref="K28:T28" si="10">SUM(K7:K27)</f>
        <v>20131</v>
      </c>
      <c r="L28" s="53">
        <f t="shared" si="10"/>
        <v>20061</v>
      </c>
      <c r="M28" s="53">
        <f t="shared" si="10"/>
        <v>19361</v>
      </c>
      <c r="N28" s="53">
        <f t="shared" si="10"/>
        <v>18934.333333333336</v>
      </c>
      <c r="O28" s="53">
        <f t="shared" si="10"/>
        <v>18454.333333333336</v>
      </c>
      <c r="P28" s="53">
        <f t="shared" si="10"/>
        <v>14422.333333333334</v>
      </c>
      <c r="Q28" s="53">
        <f t="shared" si="10"/>
        <v>14422.333333333334</v>
      </c>
      <c r="R28" s="53">
        <f t="shared" si="10"/>
        <v>14422.333333333334</v>
      </c>
      <c r="S28" s="53">
        <f t="shared" si="10"/>
        <v>14422.333333333334</v>
      </c>
      <c r="T28" s="53">
        <f t="shared" si="10"/>
        <v>14422.333333333334</v>
      </c>
    </row>
    <row r="29" spans="3:22" ht="18" customHeight="1" thickTop="1" thickBot="1">
      <c r="C29" s="51" t="s">
        <v>56</v>
      </c>
      <c r="D29" s="52">
        <v>1</v>
      </c>
      <c r="E29" s="53">
        <v>50</v>
      </c>
      <c r="F29" s="53">
        <f t="shared" si="9"/>
        <v>50</v>
      </c>
      <c r="G29" s="52">
        <v>10</v>
      </c>
      <c r="H29" s="4"/>
      <c r="I29" s="4"/>
    </row>
    <row r="30" spans="3:22" ht="18" customHeight="1" thickTop="1" thickBot="1">
      <c r="C30" s="257" t="s">
        <v>5</v>
      </c>
      <c r="D30" s="257"/>
      <c r="E30" s="257"/>
      <c r="F30" s="53">
        <f>SUM(F27:F29)</f>
        <v>490</v>
      </c>
      <c r="G30" s="12"/>
      <c r="H30" s="4"/>
      <c r="I30" s="4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3"/>
      <c r="V30" s="114"/>
    </row>
    <row r="31" spans="3:22" ht="18" customHeight="1" thickTop="1" thickBot="1">
      <c r="C31" s="247" t="s">
        <v>174</v>
      </c>
      <c r="D31" s="248"/>
      <c r="E31" s="55"/>
      <c r="F31" s="55"/>
      <c r="G31" s="24"/>
      <c r="H31" s="4"/>
      <c r="I31" s="4"/>
      <c r="L31" s="242" t="s">
        <v>184</v>
      </c>
      <c r="M31" s="243"/>
      <c r="N31" s="243"/>
      <c r="O31" s="243"/>
      <c r="P31" s="243"/>
      <c r="Q31" s="243"/>
      <c r="R31" s="243"/>
      <c r="S31" s="243"/>
      <c r="T31" s="244"/>
      <c r="U31" s="110"/>
    </row>
    <row r="32" spans="3:22" ht="18" customHeight="1" thickTop="1" thickBot="1">
      <c r="C32" s="51" t="s">
        <v>40</v>
      </c>
      <c r="D32" s="52">
        <v>1</v>
      </c>
      <c r="E32" s="53">
        <v>25</v>
      </c>
      <c r="F32" s="53">
        <f t="shared" si="9"/>
        <v>25</v>
      </c>
      <c r="G32" s="56"/>
      <c r="H32" s="4"/>
      <c r="I32" s="4"/>
    </row>
    <row r="33" spans="3:23" ht="18" customHeight="1" thickTop="1" thickBot="1">
      <c r="C33" s="51" t="s">
        <v>57</v>
      </c>
      <c r="D33" s="52">
        <v>1</v>
      </c>
      <c r="E33" s="53">
        <v>200</v>
      </c>
      <c r="F33" s="53">
        <f>D33*E33</f>
        <v>200</v>
      </c>
      <c r="G33" s="56"/>
      <c r="H33" s="49"/>
      <c r="I33" s="4"/>
    </row>
    <row r="34" spans="3:23" ht="18" customHeight="1" thickTop="1" thickBot="1">
      <c r="C34" s="257" t="s">
        <v>5</v>
      </c>
      <c r="D34" s="257"/>
      <c r="E34" s="257"/>
      <c r="F34" s="53">
        <f>SUM(F32:F33)</f>
        <v>225</v>
      </c>
      <c r="G34" s="56"/>
      <c r="H34" s="4"/>
      <c r="I34" s="4"/>
      <c r="J34" s="103" t="s">
        <v>122</v>
      </c>
      <c r="K34" s="50" t="s">
        <v>65</v>
      </c>
      <c r="L34" s="50" t="s">
        <v>104</v>
      </c>
      <c r="M34" s="50">
        <v>1</v>
      </c>
      <c r="N34" s="50">
        <v>2</v>
      </c>
      <c r="O34" s="50">
        <v>3</v>
      </c>
      <c r="P34" s="50">
        <v>4</v>
      </c>
      <c r="Q34" s="50">
        <v>5</v>
      </c>
      <c r="R34" s="50">
        <v>6</v>
      </c>
      <c r="S34" s="50">
        <v>7</v>
      </c>
      <c r="T34" s="50">
        <v>8</v>
      </c>
      <c r="U34" s="50">
        <v>9</v>
      </c>
      <c r="V34" s="50">
        <v>10</v>
      </c>
      <c r="W34" t="s">
        <v>252</v>
      </c>
    </row>
    <row r="35" spans="3:23" ht="18" customHeight="1" thickTop="1" thickBot="1">
      <c r="C35" s="4"/>
      <c r="D35" s="4"/>
      <c r="E35" s="4"/>
      <c r="F35" s="4"/>
      <c r="G35" s="4"/>
      <c r="H35" s="4"/>
      <c r="I35" s="4"/>
      <c r="J35" s="115" t="s">
        <v>28</v>
      </c>
      <c r="K35" s="116">
        <f t="shared" ref="K35:K44" si="11">F7</f>
        <v>200000</v>
      </c>
      <c r="L35" s="131">
        <v>15</v>
      </c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65">
        <f>T7*5</f>
        <v>66666.666666666672</v>
      </c>
    </row>
    <row r="36" spans="3:23" ht="18" customHeight="1" thickTop="1" thickBot="1">
      <c r="C36" s="249" t="s">
        <v>122</v>
      </c>
      <c r="D36" s="249"/>
      <c r="E36" s="249"/>
      <c r="F36" s="249"/>
      <c r="G36" s="249"/>
      <c r="H36" s="249"/>
      <c r="I36" s="4"/>
      <c r="J36" s="115" t="s">
        <v>29</v>
      </c>
      <c r="K36" s="116">
        <f t="shared" si="11"/>
        <v>5000</v>
      </c>
      <c r="L36" s="131">
        <v>5</v>
      </c>
      <c r="M36" s="117"/>
      <c r="N36" s="117"/>
      <c r="O36" s="117"/>
      <c r="P36" s="117"/>
      <c r="Q36" s="117">
        <f>K36</f>
        <v>5000</v>
      </c>
      <c r="R36" s="117"/>
      <c r="S36" s="117"/>
      <c r="T36" s="117"/>
      <c r="U36" s="117"/>
      <c r="V36" s="117">
        <f t="shared" ref="V36:V41" si="12">K36</f>
        <v>5000</v>
      </c>
    </row>
    <row r="37" spans="3:23" ht="31.5" customHeight="1" thickTop="1" thickBot="1">
      <c r="C37" s="170"/>
      <c r="D37" s="171" t="s">
        <v>63</v>
      </c>
      <c r="E37" s="171" t="s">
        <v>64</v>
      </c>
      <c r="F37" s="171" t="s">
        <v>46</v>
      </c>
      <c r="G37" s="171" t="s">
        <v>65</v>
      </c>
      <c r="H37" s="172" t="s">
        <v>252</v>
      </c>
      <c r="J37" s="115" t="s">
        <v>30</v>
      </c>
      <c r="K37" s="116">
        <f t="shared" si="11"/>
        <v>3000</v>
      </c>
      <c r="L37" s="131">
        <v>5</v>
      </c>
      <c r="M37" s="117"/>
      <c r="N37" s="117"/>
      <c r="O37" s="117"/>
      <c r="P37" s="117"/>
      <c r="Q37" s="117">
        <f>K37</f>
        <v>3000</v>
      </c>
      <c r="R37" s="117"/>
      <c r="S37" s="117"/>
      <c r="T37" s="117"/>
      <c r="U37" s="117"/>
      <c r="V37" s="117">
        <f t="shared" si="12"/>
        <v>3000</v>
      </c>
    </row>
    <row r="38" spans="3:23" ht="18" customHeight="1" thickTop="1" thickBot="1">
      <c r="C38" s="173" t="s">
        <v>58</v>
      </c>
      <c r="D38" s="174" t="s">
        <v>62</v>
      </c>
      <c r="E38" s="175">
        <v>1800</v>
      </c>
      <c r="F38" s="176">
        <v>11.3</v>
      </c>
      <c r="G38" s="176">
        <f t="shared" ref="G38:G43" si="13">F38*E38</f>
        <v>20340</v>
      </c>
      <c r="H38" s="177">
        <f>G38</f>
        <v>20340</v>
      </c>
      <c r="J38" s="115" t="s">
        <v>253</v>
      </c>
      <c r="K38" s="116">
        <f t="shared" si="11"/>
        <v>2400</v>
      </c>
      <c r="L38" s="131">
        <v>5</v>
      </c>
      <c r="M38" s="117"/>
      <c r="N38" s="117"/>
      <c r="O38" s="117"/>
      <c r="Q38" s="117">
        <f>K38</f>
        <v>2400</v>
      </c>
      <c r="R38" s="117"/>
      <c r="S38" s="117"/>
      <c r="U38" s="117"/>
      <c r="V38" s="117">
        <f t="shared" si="12"/>
        <v>2400</v>
      </c>
    </row>
    <row r="39" spans="3:23" ht="18" customHeight="1" thickTop="1" thickBot="1">
      <c r="C39" s="173" t="s">
        <v>59</v>
      </c>
      <c r="D39" s="174" t="s">
        <v>62</v>
      </c>
      <c r="E39" s="175">
        <v>995</v>
      </c>
      <c r="F39" s="176">
        <v>200</v>
      </c>
      <c r="G39" s="176">
        <f t="shared" si="13"/>
        <v>199000</v>
      </c>
      <c r="H39" s="177">
        <f>G39*0.2</f>
        <v>39800</v>
      </c>
      <c r="J39" s="115" t="s">
        <v>81</v>
      </c>
      <c r="K39" s="116">
        <f t="shared" si="11"/>
        <v>360</v>
      </c>
      <c r="L39" s="131">
        <v>5</v>
      </c>
      <c r="M39" s="117"/>
      <c r="N39" s="117"/>
      <c r="O39" s="117"/>
      <c r="P39" s="117"/>
      <c r="Q39" s="117">
        <f>K39</f>
        <v>360</v>
      </c>
      <c r="R39" s="117"/>
      <c r="S39" s="117"/>
      <c r="T39" s="117"/>
      <c r="U39" s="117"/>
      <c r="V39" s="117">
        <f t="shared" si="12"/>
        <v>360</v>
      </c>
    </row>
    <row r="40" spans="3:23" ht="18" customHeight="1" thickTop="1" thickBot="1">
      <c r="C40" s="173" t="s">
        <v>223</v>
      </c>
      <c r="D40" s="174" t="s">
        <v>222</v>
      </c>
      <c r="E40" s="175">
        <v>3</v>
      </c>
      <c r="F40" s="176">
        <v>30</v>
      </c>
      <c r="G40" s="176">
        <f t="shared" si="13"/>
        <v>90</v>
      </c>
      <c r="H40" s="177">
        <f>G40*0.2</f>
        <v>18</v>
      </c>
      <c r="J40" s="115" t="s">
        <v>31</v>
      </c>
      <c r="K40" s="116">
        <f t="shared" si="11"/>
        <v>5000</v>
      </c>
      <c r="L40" s="131">
        <v>10</v>
      </c>
      <c r="M40" s="117"/>
      <c r="N40" s="117"/>
      <c r="O40" s="117"/>
      <c r="P40" s="117"/>
      <c r="Q40" s="117"/>
      <c r="R40" s="117"/>
      <c r="S40" s="117"/>
      <c r="T40" s="117"/>
      <c r="U40" s="117"/>
      <c r="V40" s="117">
        <f t="shared" si="12"/>
        <v>5000</v>
      </c>
    </row>
    <row r="41" spans="3:23" ht="18" customHeight="1" thickTop="1" thickBot="1">
      <c r="C41" s="173" t="s">
        <v>60</v>
      </c>
      <c r="D41" s="175" t="s">
        <v>222</v>
      </c>
      <c r="E41" s="175">
        <v>6</v>
      </c>
      <c r="F41" s="176">
        <v>40</v>
      </c>
      <c r="G41" s="176">
        <f t="shared" si="13"/>
        <v>240</v>
      </c>
      <c r="H41" s="177">
        <f>G41*0.2</f>
        <v>48</v>
      </c>
      <c r="J41" s="115" t="s">
        <v>32</v>
      </c>
      <c r="K41" s="116">
        <f t="shared" si="11"/>
        <v>300</v>
      </c>
      <c r="L41" s="131">
        <v>10</v>
      </c>
      <c r="M41" s="117"/>
      <c r="N41" s="117"/>
      <c r="O41" s="117"/>
      <c r="P41" s="117"/>
      <c r="Q41" s="117"/>
      <c r="R41" s="117"/>
      <c r="S41" s="117"/>
      <c r="T41" s="117"/>
      <c r="U41" s="117"/>
      <c r="V41" s="117">
        <f t="shared" si="12"/>
        <v>300</v>
      </c>
    </row>
    <row r="42" spans="3:23" ht="18" customHeight="1" thickTop="1" thickBot="1">
      <c r="C42" s="173" t="s">
        <v>224</v>
      </c>
      <c r="D42" s="175" t="s">
        <v>222</v>
      </c>
      <c r="E42" s="175">
        <v>1</v>
      </c>
      <c r="F42" s="176">
        <v>5000</v>
      </c>
      <c r="G42" s="176">
        <f t="shared" si="13"/>
        <v>5000</v>
      </c>
      <c r="H42" s="177">
        <f>G42*0.2</f>
        <v>1000</v>
      </c>
      <c r="J42" s="115" t="s">
        <v>33</v>
      </c>
      <c r="K42" s="116">
        <f t="shared" si="11"/>
        <v>40</v>
      </c>
      <c r="L42" s="131">
        <v>3</v>
      </c>
      <c r="M42" s="117"/>
      <c r="N42" s="117"/>
      <c r="O42" s="117">
        <f>K42</f>
        <v>40</v>
      </c>
      <c r="P42" s="117"/>
      <c r="Q42" s="117"/>
      <c r="R42" s="117">
        <f>K42</f>
        <v>40</v>
      </c>
      <c r="S42" s="117"/>
      <c r="T42" s="117"/>
      <c r="U42" s="117">
        <f>K42</f>
        <v>40</v>
      </c>
      <c r="V42" s="117"/>
      <c r="W42" s="65">
        <f>M14*2</f>
        <v>26.666666666666668</v>
      </c>
    </row>
    <row r="43" spans="3:23" ht="15.75" customHeight="1" thickTop="1" thickBot="1">
      <c r="C43" s="173" t="s">
        <v>61</v>
      </c>
      <c r="D43" s="175" t="s">
        <v>222</v>
      </c>
      <c r="E43" s="175">
        <v>1</v>
      </c>
      <c r="F43" s="176">
        <v>100</v>
      </c>
      <c r="G43" s="176">
        <f t="shared" si="13"/>
        <v>100</v>
      </c>
      <c r="H43" s="177">
        <f>G43*0.2</f>
        <v>20</v>
      </c>
      <c r="J43" s="115" t="s">
        <v>13</v>
      </c>
      <c r="K43" s="116">
        <f t="shared" si="11"/>
        <v>5100</v>
      </c>
      <c r="L43" s="131">
        <v>10</v>
      </c>
      <c r="M43" s="117"/>
      <c r="N43" s="117"/>
      <c r="O43" s="117"/>
      <c r="P43" s="117"/>
      <c r="Q43" s="117"/>
      <c r="R43" s="117"/>
      <c r="S43" s="117"/>
      <c r="T43" s="117"/>
      <c r="U43" s="117"/>
      <c r="V43" s="117">
        <f>K43</f>
        <v>5100</v>
      </c>
    </row>
    <row r="44" spans="3:23" ht="18" customHeight="1" thickTop="1" thickBot="1">
      <c r="C44" s="258"/>
      <c r="D44" s="258"/>
      <c r="E44" s="258"/>
      <c r="F44" s="258"/>
      <c r="G44" s="258"/>
      <c r="H44" s="170"/>
      <c r="J44" s="115" t="s">
        <v>220</v>
      </c>
      <c r="K44" s="116">
        <f t="shared" si="11"/>
        <v>7000</v>
      </c>
      <c r="L44" s="131">
        <v>5</v>
      </c>
      <c r="M44" s="117"/>
      <c r="N44" s="117"/>
      <c r="O44" s="117"/>
      <c r="P44" s="117"/>
      <c r="Q44" s="117">
        <f>K44</f>
        <v>7000</v>
      </c>
      <c r="R44" s="117"/>
      <c r="S44" s="117"/>
      <c r="T44" s="117"/>
      <c r="U44" s="117"/>
      <c r="V44" s="117">
        <f>K44</f>
        <v>7000</v>
      </c>
    </row>
    <row r="45" spans="3:23" ht="18" hidden="1" customHeight="1" thickTop="1" thickBot="1">
      <c r="C45" s="258"/>
      <c r="D45" s="258"/>
      <c r="E45" s="258"/>
      <c r="F45" s="258"/>
      <c r="G45" s="258"/>
      <c r="H45" s="170"/>
      <c r="J45" s="115" t="s">
        <v>35</v>
      </c>
      <c r="K45" s="116"/>
      <c r="L45" s="132"/>
      <c r="M45" s="117"/>
      <c r="N45" s="117"/>
      <c r="O45" s="117"/>
      <c r="P45" s="117"/>
      <c r="Q45" s="117"/>
      <c r="R45" s="117"/>
      <c r="S45" s="117"/>
      <c r="T45" s="117"/>
      <c r="U45" s="117"/>
      <c r="V45" s="117"/>
    </row>
    <row r="46" spans="3:23" ht="18" customHeight="1" thickTop="1" thickBot="1">
      <c r="C46" s="256" t="s">
        <v>5</v>
      </c>
      <c r="D46" s="256"/>
      <c r="E46" s="256"/>
      <c r="F46" s="256"/>
      <c r="G46" s="178">
        <f>SUM(G38:G44)</f>
        <v>224770</v>
      </c>
      <c r="H46" s="179">
        <f>SUM(H38:H43)</f>
        <v>61226</v>
      </c>
      <c r="J46" s="115" t="s">
        <v>105</v>
      </c>
      <c r="K46" s="116">
        <f>F18</f>
        <v>4500</v>
      </c>
      <c r="L46" s="131">
        <v>5</v>
      </c>
      <c r="M46" s="117"/>
      <c r="N46" s="117"/>
      <c r="O46" s="117"/>
      <c r="P46" s="117"/>
      <c r="Q46" s="117">
        <f>K46</f>
        <v>4500</v>
      </c>
      <c r="R46" s="117"/>
      <c r="S46" s="117"/>
      <c r="T46" s="117"/>
      <c r="U46" s="117"/>
      <c r="V46" s="117">
        <f>K46</f>
        <v>4500</v>
      </c>
    </row>
    <row r="47" spans="3:23" ht="18" customHeight="1" thickTop="1" thickBot="1">
      <c r="F47" s="250"/>
      <c r="G47" s="251"/>
      <c r="H47" s="252"/>
      <c r="J47" s="115" t="s">
        <v>106</v>
      </c>
      <c r="K47" s="116">
        <f>F19</f>
        <v>1400</v>
      </c>
      <c r="L47" s="131">
        <v>2</v>
      </c>
      <c r="M47" s="117"/>
      <c r="N47" s="117">
        <f>K47</f>
        <v>1400</v>
      </c>
      <c r="O47" s="117"/>
      <c r="P47" s="117">
        <f>K47</f>
        <v>1400</v>
      </c>
      <c r="Q47" s="117"/>
      <c r="R47" s="117">
        <f>K47</f>
        <v>1400</v>
      </c>
      <c r="S47" s="117"/>
      <c r="T47" s="117">
        <f>K47</f>
        <v>1400</v>
      </c>
      <c r="U47" s="117"/>
      <c r="V47" s="117">
        <f>K47</f>
        <v>1400</v>
      </c>
    </row>
    <row r="48" spans="3:23" ht="18" customHeight="1" thickTop="1" thickBot="1">
      <c r="F48" s="170" t="s">
        <v>254</v>
      </c>
      <c r="G48" s="170"/>
      <c r="H48" s="181">
        <f>H46+H25+W49</f>
        <v>130399.33333333334</v>
      </c>
      <c r="J48" s="115" t="s">
        <v>36</v>
      </c>
      <c r="K48" s="116">
        <f>F20</f>
        <v>300</v>
      </c>
      <c r="L48" s="131">
        <v>5</v>
      </c>
      <c r="M48" s="117"/>
      <c r="N48" s="117"/>
      <c r="O48" s="117"/>
      <c r="P48" s="117"/>
      <c r="Q48" s="117">
        <f>K48</f>
        <v>300</v>
      </c>
      <c r="R48" s="117"/>
      <c r="S48" s="117"/>
      <c r="T48" s="117"/>
      <c r="U48" s="117"/>
      <c r="V48" s="117"/>
    </row>
    <row r="49" spans="10:23" ht="18" customHeight="1" thickTop="1" thickBot="1">
      <c r="J49" s="253" t="s">
        <v>5</v>
      </c>
      <c r="K49" s="254"/>
      <c r="L49" s="255"/>
      <c r="M49" s="118">
        <f>SUM(M35:M48)</f>
        <v>0</v>
      </c>
      <c r="N49" s="118">
        <f t="shared" ref="N49:V49" si="14">SUM(N35:N48)</f>
        <v>1400</v>
      </c>
      <c r="O49" s="118">
        <f t="shared" si="14"/>
        <v>40</v>
      </c>
      <c r="P49" s="118">
        <f t="shared" si="14"/>
        <v>1400</v>
      </c>
      <c r="Q49" s="118">
        <f t="shared" si="14"/>
        <v>22560</v>
      </c>
      <c r="R49" s="118">
        <f t="shared" si="14"/>
        <v>1440</v>
      </c>
      <c r="S49" s="118">
        <f t="shared" si="14"/>
        <v>0</v>
      </c>
      <c r="T49" s="118">
        <f t="shared" si="14"/>
        <v>1400</v>
      </c>
      <c r="U49" s="118">
        <f t="shared" si="14"/>
        <v>40</v>
      </c>
      <c r="V49" s="118">
        <f t="shared" si="14"/>
        <v>34060</v>
      </c>
      <c r="W49" s="65">
        <f>W35+W42</f>
        <v>66693.333333333343</v>
      </c>
    </row>
    <row r="50" spans="10:23" ht="18" customHeight="1" thickTop="1">
      <c r="K50" s="24"/>
    </row>
    <row r="51" spans="10:23" ht="18" customHeight="1">
      <c r="K51" s="24"/>
    </row>
    <row r="52" spans="10:23" ht="18" customHeight="1">
      <c r="K52" s="24"/>
    </row>
    <row r="53" spans="10:23" ht="18" customHeight="1">
      <c r="K53" s="24"/>
    </row>
    <row r="54" spans="10:23" ht="18" customHeight="1">
      <c r="K54" s="24"/>
    </row>
    <row r="55" spans="10:23" ht="18" customHeight="1"/>
    <row r="56" spans="10:23" ht="18" customHeight="1"/>
    <row r="57" spans="10:23" ht="18" customHeight="1"/>
    <row r="58" spans="10:23" ht="18" customHeight="1"/>
    <row r="59" spans="10:23" ht="18" customHeight="1"/>
    <row r="60" spans="10:23" ht="18" customHeight="1"/>
    <row r="61" spans="10:23" ht="18" customHeight="1"/>
    <row r="62" spans="10:23" ht="18" customHeight="1"/>
    <row r="63" spans="10:23" ht="18" customHeight="1"/>
    <row r="64" spans="10:23" ht="18" customHeight="1"/>
    <row r="65" spans="3:7" ht="18" customHeight="1"/>
    <row r="66" spans="3:7" ht="18" customHeight="1"/>
    <row r="67" spans="3:7" ht="18" customHeight="1"/>
    <row r="68" spans="3:7" ht="18" customHeight="1"/>
    <row r="69" spans="3:7" ht="18" customHeight="1"/>
    <row r="70" spans="3:7" ht="18" customHeight="1"/>
    <row r="71" spans="3:7" ht="18" customHeight="1">
      <c r="F71" s="4"/>
      <c r="G71" s="4"/>
    </row>
    <row r="72" spans="3:7" ht="18" customHeight="1">
      <c r="F72" s="4"/>
      <c r="G72" s="4"/>
    </row>
    <row r="73" spans="3:7" ht="18" customHeight="1">
      <c r="C73" s="4"/>
      <c r="D73" s="4"/>
      <c r="E73" s="4"/>
      <c r="F73" s="4"/>
      <c r="G73" s="4"/>
    </row>
    <row r="74" spans="3:7" ht="18" customHeight="1"/>
    <row r="75" spans="3:7" ht="18" customHeight="1"/>
    <row r="76" spans="3:7" ht="18" customHeight="1"/>
    <row r="77" spans="3:7" ht="18" customHeight="1"/>
    <row r="78" spans="3:7" ht="18" customHeight="1"/>
    <row r="79" spans="3:7" ht="18" customHeight="1"/>
    <row r="80" spans="3: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dataConsolidate/>
  <mergeCells count="15">
    <mergeCell ref="J49:L49"/>
    <mergeCell ref="K4:S4"/>
    <mergeCell ref="C46:F46"/>
    <mergeCell ref="C4:G4"/>
    <mergeCell ref="C34:E34"/>
    <mergeCell ref="C30:E30"/>
    <mergeCell ref="C25:E25"/>
    <mergeCell ref="C21:E21"/>
    <mergeCell ref="C44:G45"/>
    <mergeCell ref="L31:T31"/>
    <mergeCell ref="C22:D22"/>
    <mergeCell ref="C26:D26"/>
    <mergeCell ref="C31:D31"/>
    <mergeCell ref="C36:H36"/>
    <mergeCell ref="F47:H47"/>
  </mergeCells>
  <phoneticPr fontId="7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BB114"/>
  <sheetViews>
    <sheetView topLeftCell="A27" zoomScale="71" zoomScaleNormal="71" workbookViewId="0">
      <selection activeCell="I21" sqref="I21"/>
    </sheetView>
  </sheetViews>
  <sheetFormatPr baseColWidth="10" defaultColWidth="9" defaultRowHeight="15"/>
  <cols>
    <col min="1" max="1" width="9" customWidth="1"/>
    <col min="2" max="2" width="28.5703125" customWidth="1"/>
    <col min="3" max="3" width="34.140625" customWidth="1"/>
    <col min="4" max="4" width="18.28515625" customWidth="1"/>
    <col min="5" max="5" width="27.85546875" customWidth="1"/>
    <col min="6" max="6" width="18.42578125" customWidth="1"/>
    <col min="7" max="7" width="22.28515625" customWidth="1"/>
    <col min="8" max="8" width="19.42578125" customWidth="1"/>
    <col min="9" max="10" width="16" customWidth="1"/>
    <col min="11" max="11" width="16.42578125" customWidth="1"/>
    <col min="12" max="12" width="17.7109375" customWidth="1"/>
    <col min="13" max="14" width="17" bestFit="1" customWidth="1"/>
  </cols>
  <sheetData>
    <row r="2" spans="2:14" ht="15.75" thickBot="1"/>
    <row r="3" spans="2:14" ht="16.5" customHeight="1" thickTop="1" thickBot="1">
      <c r="C3" s="60" t="s">
        <v>85</v>
      </c>
      <c r="D3" s="93">
        <v>0.02</v>
      </c>
      <c r="E3" s="235" t="s">
        <v>87</v>
      </c>
      <c r="F3" s="237"/>
    </row>
    <row r="4" spans="2:14" ht="16.5" thickTop="1" thickBot="1">
      <c r="C4" s="60" t="s">
        <v>86</v>
      </c>
      <c r="D4" s="93">
        <v>1.4999999999999999E-2</v>
      </c>
      <c r="E4" s="235"/>
      <c r="F4" s="237"/>
    </row>
    <row r="5" spans="2:14" ht="16.5" thickTop="1" thickBot="1">
      <c r="C5" s="60" t="s">
        <v>162</v>
      </c>
      <c r="D5" s="93">
        <v>0.01</v>
      </c>
      <c r="E5" s="235"/>
      <c r="F5" s="237"/>
    </row>
    <row r="6" spans="2:14" ht="16.5" thickTop="1" thickBot="1">
      <c r="C6" s="60" t="s">
        <v>118</v>
      </c>
      <c r="D6" s="93">
        <v>0.1</v>
      </c>
      <c r="E6" s="264" t="s">
        <v>127</v>
      </c>
      <c r="F6" s="265"/>
    </row>
    <row r="7" spans="2:14" ht="16.5" thickTop="1" thickBot="1">
      <c r="C7" s="60" t="s">
        <v>19</v>
      </c>
      <c r="D7" s="93">
        <v>0.25</v>
      </c>
      <c r="E7" s="92"/>
      <c r="F7" s="92"/>
    </row>
    <row r="8" spans="2:14" ht="15.75" thickTop="1"/>
    <row r="12" spans="2:14" ht="15.75" thickBot="1"/>
    <row r="13" spans="2:14" s="100" customFormat="1" ht="16.5" customHeight="1" thickTop="1" thickBot="1">
      <c r="C13" s="261" t="s">
        <v>165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3"/>
    </row>
    <row r="14" spans="2:14" ht="16.5" thickTop="1" thickBot="1">
      <c r="B14" s="1"/>
    </row>
    <row r="15" spans="2:14" ht="16.5" thickTop="1" thickBot="1">
      <c r="C15" s="6" t="s">
        <v>84</v>
      </c>
      <c r="D15" s="10">
        <v>0</v>
      </c>
      <c r="E15" s="10">
        <v>1</v>
      </c>
      <c r="F15" s="10">
        <v>2</v>
      </c>
      <c r="G15" s="10">
        <v>3</v>
      </c>
      <c r="H15" s="10">
        <v>4</v>
      </c>
      <c r="I15" s="10">
        <v>5</v>
      </c>
      <c r="J15" s="10">
        <v>6</v>
      </c>
      <c r="K15" s="10">
        <v>7</v>
      </c>
      <c r="L15" s="10">
        <v>8</v>
      </c>
      <c r="M15" s="10">
        <v>9</v>
      </c>
      <c r="N15" s="10">
        <v>10</v>
      </c>
    </row>
    <row r="16" spans="2:14" ht="16.5" thickTop="1" thickBot="1">
      <c r="C16" s="7" t="s">
        <v>27</v>
      </c>
      <c r="D16" s="41"/>
      <c r="E16" s="43">
        <f>'Ingresos y Egresos'!S34</f>
        <v>144604.98919775998</v>
      </c>
      <c r="F16" s="43">
        <f>E16</f>
        <v>144604.98919775998</v>
      </c>
      <c r="G16" s="43">
        <f t="shared" ref="G16:N16" si="0">F16*(1+$D$3)</f>
        <v>147497.08898171518</v>
      </c>
      <c r="H16" s="43">
        <f>G16*(1+$D$3)</f>
        <v>150447.03076134948</v>
      </c>
      <c r="I16" s="43">
        <f t="shared" si="0"/>
        <v>153455.97137657646</v>
      </c>
      <c r="J16" s="43">
        <f t="shared" si="0"/>
        <v>156525.09080410798</v>
      </c>
      <c r="K16" s="43">
        <f t="shared" si="0"/>
        <v>159655.59262019015</v>
      </c>
      <c r="L16" s="43">
        <f t="shared" si="0"/>
        <v>162848.70447259396</v>
      </c>
      <c r="M16" s="43">
        <f t="shared" si="0"/>
        <v>166105.67856204585</v>
      </c>
      <c r="N16" s="43">
        <f t="shared" si="0"/>
        <v>169427.79213328677</v>
      </c>
    </row>
    <row r="17" spans="2:16" ht="16.5" thickTop="1" thickBot="1">
      <c r="C17" s="7" t="s">
        <v>11</v>
      </c>
      <c r="D17" s="41"/>
      <c r="E17" s="43">
        <f>'Ingresos y Egresos'!S46</f>
        <v>67123.839999999997</v>
      </c>
      <c r="F17" s="43">
        <f>E17</f>
        <v>67123.839999999997</v>
      </c>
      <c r="G17" s="43">
        <f t="shared" ref="G17:N17" si="1">F17*(1+$D$4)</f>
        <v>68130.697599999985</v>
      </c>
      <c r="H17" s="43">
        <f t="shared" si="1"/>
        <v>69152.658063999974</v>
      </c>
      <c r="I17" s="43">
        <f t="shared" si="1"/>
        <v>70189.947934959971</v>
      </c>
      <c r="J17" s="43">
        <f t="shared" si="1"/>
        <v>71242.797153984371</v>
      </c>
      <c r="K17" s="43">
        <f t="shared" si="1"/>
        <v>72311.439111294123</v>
      </c>
      <c r="L17" s="43">
        <f t="shared" si="1"/>
        <v>73396.110697963522</v>
      </c>
      <c r="M17" s="43">
        <f t="shared" si="1"/>
        <v>74497.052358432964</v>
      </c>
      <c r="N17" s="43">
        <f t="shared" si="1"/>
        <v>75614.508143809449</v>
      </c>
      <c r="O17" s="2"/>
      <c r="P17" s="2"/>
    </row>
    <row r="18" spans="2:16" ht="16.5" thickTop="1" thickBot="1">
      <c r="C18" s="7"/>
      <c r="D18" s="43"/>
      <c r="E18" s="43"/>
      <c r="F18" s="43"/>
      <c r="G18" s="43"/>
      <c r="H18" s="43"/>
      <c r="I18" s="43"/>
      <c r="J18" s="43"/>
      <c r="K18" s="43"/>
      <c r="L18" s="43"/>
      <c r="M18" s="41"/>
      <c r="N18" s="41"/>
    </row>
    <row r="19" spans="2:16" ht="16.5" thickTop="1" thickBot="1">
      <c r="C19" s="9" t="s">
        <v>14</v>
      </c>
      <c r="D19" s="43"/>
      <c r="E19" s="43"/>
      <c r="F19" s="43"/>
      <c r="G19" s="43"/>
      <c r="H19" s="43"/>
      <c r="I19" s="43"/>
      <c r="J19" s="43"/>
      <c r="K19" s="43"/>
      <c r="L19" s="43"/>
      <c r="M19" s="41"/>
      <c r="N19" s="41"/>
    </row>
    <row r="20" spans="2:16" ht="16.5" thickTop="1" thickBot="1">
      <c r="C20" s="67" t="s">
        <v>126</v>
      </c>
      <c r="D20" s="43"/>
      <c r="E20" s="43"/>
      <c r="F20" s="43"/>
      <c r="G20" s="43"/>
      <c r="H20" s="43"/>
      <c r="I20" s="43"/>
      <c r="J20" s="43"/>
      <c r="K20" s="43"/>
      <c r="L20" s="43"/>
      <c r="M20" s="41"/>
      <c r="N20" s="41"/>
    </row>
    <row r="21" spans="2:16" ht="16.5" thickTop="1" thickBot="1">
      <c r="B21" s="15"/>
      <c r="C21" s="7" t="s">
        <v>25</v>
      </c>
      <c r="D21" s="43"/>
      <c r="E21" s="43">
        <f>-'Ingresos y Egresos'!G70</f>
        <v>-61320</v>
      </c>
      <c r="F21" s="43">
        <f>E21</f>
        <v>-61320</v>
      </c>
      <c r="G21" s="43">
        <f t="shared" ref="G21:N21" si="2">F21</f>
        <v>-61320</v>
      </c>
      <c r="H21" s="43">
        <f t="shared" si="2"/>
        <v>-61320</v>
      </c>
      <c r="I21" s="43">
        <f t="shared" si="2"/>
        <v>-61320</v>
      </c>
      <c r="J21" s="43">
        <f t="shared" si="2"/>
        <v>-61320</v>
      </c>
      <c r="K21" s="43">
        <f t="shared" si="2"/>
        <v>-61320</v>
      </c>
      <c r="L21" s="43">
        <f t="shared" si="2"/>
        <v>-61320</v>
      </c>
      <c r="M21" s="43">
        <f t="shared" si="2"/>
        <v>-61320</v>
      </c>
      <c r="N21" s="43">
        <f t="shared" si="2"/>
        <v>-61320</v>
      </c>
    </row>
    <row r="22" spans="2:16" ht="16.5" thickTop="1" thickBot="1">
      <c r="B22" s="15"/>
      <c r="C22" s="7" t="s">
        <v>125</v>
      </c>
      <c r="D22" s="43"/>
      <c r="E22" s="43">
        <f>-'Ingresos y Egresos'!N61</f>
        <v>-5648.28</v>
      </c>
      <c r="F22" s="43">
        <f>E22</f>
        <v>-5648.28</v>
      </c>
      <c r="G22" s="43">
        <f t="shared" ref="G22:N22" si="3">F22</f>
        <v>-5648.28</v>
      </c>
      <c r="H22" s="43">
        <f t="shared" si="3"/>
        <v>-5648.28</v>
      </c>
      <c r="I22" s="43">
        <f t="shared" si="3"/>
        <v>-5648.28</v>
      </c>
      <c r="J22" s="43">
        <f t="shared" si="3"/>
        <v>-5648.28</v>
      </c>
      <c r="K22" s="43">
        <f t="shared" si="3"/>
        <v>-5648.28</v>
      </c>
      <c r="L22" s="43">
        <f t="shared" si="3"/>
        <v>-5648.28</v>
      </c>
      <c r="M22" s="43">
        <f t="shared" si="3"/>
        <v>-5648.28</v>
      </c>
      <c r="N22" s="43">
        <f t="shared" si="3"/>
        <v>-5648.28</v>
      </c>
    </row>
    <row r="23" spans="2:16" ht="16.5" thickTop="1" thickBot="1">
      <c r="B23" s="15"/>
      <c r="C23" s="67" t="s">
        <v>128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16" ht="16.5" thickTop="1" thickBot="1">
      <c r="B24" s="15"/>
      <c r="C24" s="90" t="s">
        <v>159</v>
      </c>
      <c r="D24" s="43"/>
      <c r="E24" s="43">
        <f>-'Ingresos y Egresos'!G43</f>
        <v>-12172.8</v>
      </c>
      <c r="F24" s="43">
        <f>E24</f>
        <v>-12172.8</v>
      </c>
      <c r="G24" s="43">
        <f>F24</f>
        <v>-12172.8</v>
      </c>
      <c r="H24" s="43">
        <f t="shared" ref="H24:N25" si="4">G24*(1+$D$5)</f>
        <v>-12294.528</v>
      </c>
      <c r="I24" s="43">
        <f t="shared" si="4"/>
        <v>-12417.47328</v>
      </c>
      <c r="J24" s="43">
        <f t="shared" si="4"/>
        <v>-12541.6480128</v>
      </c>
      <c r="K24" s="43">
        <f t="shared" si="4"/>
        <v>-12667.064492928001</v>
      </c>
      <c r="L24" s="43">
        <f t="shared" si="4"/>
        <v>-12793.73513785728</v>
      </c>
      <c r="M24" s="43">
        <f t="shared" si="4"/>
        <v>-12921.672489235852</v>
      </c>
      <c r="N24" s="43">
        <f t="shared" si="4"/>
        <v>-13050.88921412821</v>
      </c>
    </row>
    <row r="25" spans="2:16" ht="16.5" thickTop="1" thickBot="1">
      <c r="B25" s="15"/>
      <c r="C25" s="90" t="s">
        <v>160</v>
      </c>
      <c r="D25" s="43"/>
      <c r="E25" s="43">
        <f>-'Ingresos y Egresos'!H53</f>
        <v>-10440</v>
      </c>
      <c r="F25" s="43">
        <f>E25</f>
        <v>-10440</v>
      </c>
      <c r="G25" s="43">
        <f>F25</f>
        <v>-10440</v>
      </c>
      <c r="H25" s="43">
        <f t="shared" si="4"/>
        <v>-10544.4</v>
      </c>
      <c r="I25" s="43">
        <f t="shared" si="4"/>
        <v>-10649.843999999999</v>
      </c>
      <c r="J25" s="43">
        <f t="shared" si="4"/>
        <v>-10756.342439999999</v>
      </c>
      <c r="K25" s="43">
        <f t="shared" si="4"/>
        <v>-10863.905864399998</v>
      </c>
      <c r="L25" s="43">
        <f t="shared" si="4"/>
        <v>-10972.544923043997</v>
      </c>
      <c r="M25" s="43">
        <f t="shared" si="4"/>
        <v>-11082.270372274437</v>
      </c>
      <c r="N25" s="43">
        <f t="shared" si="4"/>
        <v>-11193.093075997182</v>
      </c>
    </row>
    <row r="26" spans="2:16" ht="16.5" thickTop="1" thickBot="1">
      <c r="C26" s="91" t="s">
        <v>161</v>
      </c>
      <c r="D26" s="43"/>
      <c r="E26" s="43">
        <v>-3000</v>
      </c>
      <c r="F26" s="43">
        <f>E26</f>
        <v>-3000</v>
      </c>
      <c r="G26" s="43">
        <f>F26*(1+$D$3)</f>
        <v>-3060</v>
      </c>
      <c r="H26" s="43">
        <f t="shared" ref="H26:N26" si="5">G26*(1+$D$3)</f>
        <v>-3121.2000000000003</v>
      </c>
      <c r="I26" s="43">
        <f t="shared" si="5"/>
        <v>-3183.6240000000003</v>
      </c>
      <c r="J26" s="43">
        <f t="shared" si="5"/>
        <v>-3247.2964800000004</v>
      </c>
      <c r="K26" s="43">
        <f t="shared" si="5"/>
        <v>-3312.2424096000004</v>
      </c>
      <c r="L26" s="43">
        <f t="shared" si="5"/>
        <v>-3378.4872577920005</v>
      </c>
      <c r="M26" s="43">
        <f t="shared" si="5"/>
        <v>-3446.0570029478404</v>
      </c>
      <c r="N26" s="43">
        <f t="shared" si="5"/>
        <v>-3514.9781430067974</v>
      </c>
    </row>
    <row r="27" spans="2:16" ht="16.5" thickTop="1" thickBot="1">
      <c r="C27" s="7" t="s">
        <v>47</v>
      </c>
      <c r="D27" s="43"/>
      <c r="E27" s="43">
        <f>-'Ingresos y Egresos'!M53</f>
        <v>-4500</v>
      </c>
      <c r="F27" s="43">
        <f>E27</f>
        <v>-4500</v>
      </c>
      <c r="G27" s="43">
        <f>E27*(1+D6)</f>
        <v>-4950</v>
      </c>
      <c r="H27" s="43">
        <f>E27</f>
        <v>-4500</v>
      </c>
      <c r="I27" s="43">
        <f>E27</f>
        <v>-4500</v>
      </c>
      <c r="J27" s="43">
        <f>E27*(1+D6)</f>
        <v>-4950</v>
      </c>
      <c r="K27" s="43">
        <f>E27</f>
        <v>-4500</v>
      </c>
      <c r="L27" s="43">
        <f>E27</f>
        <v>-4500</v>
      </c>
      <c r="M27" s="43">
        <f>E27*(1+D6)</f>
        <v>-4950</v>
      </c>
      <c r="N27" s="43">
        <f>E27</f>
        <v>-4500</v>
      </c>
    </row>
    <row r="28" spans="2:16" ht="16.5" thickTop="1" thickBot="1">
      <c r="C28" s="7" t="s">
        <v>175</v>
      </c>
      <c r="D28" s="43"/>
      <c r="E28" s="43">
        <f>'Ingresos y Egresos'!P71</f>
        <v>9120</v>
      </c>
      <c r="F28" s="43">
        <f>$E$28</f>
        <v>9120</v>
      </c>
      <c r="G28" s="43">
        <f t="shared" ref="G28:N28" si="6">$E$28</f>
        <v>9120</v>
      </c>
      <c r="H28" s="43">
        <f t="shared" si="6"/>
        <v>9120</v>
      </c>
      <c r="I28" s="43">
        <f t="shared" si="6"/>
        <v>9120</v>
      </c>
      <c r="J28" s="43">
        <f t="shared" si="6"/>
        <v>9120</v>
      </c>
      <c r="K28" s="43">
        <f t="shared" si="6"/>
        <v>9120</v>
      </c>
      <c r="L28" s="43">
        <f t="shared" si="6"/>
        <v>9120</v>
      </c>
      <c r="M28" s="43">
        <f t="shared" si="6"/>
        <v>9120</v>
      </c>
      <c r="N28" s="43">
        <f t="shared" si="6"/>
        <v>9120</v>
      </c>
    </row>
    <row r="29" spans="2:16" ht="16.5" thickTop="1" thickBot="1">
      <c r="C29" s="7" t="s">
        <v>15</v>
      </c>
      <c r="D29" s="43"/>
      <c r="E29" s="43">
        <f>-Inversiones!K28</f>
        <v>-20131</v>
      </c>
      <c r="F29" s="43">
        <f>-Inversiones!L28</f>
        <v>-20061</v>
      </c>
      <c r="G29" s="43">
        <f>-Inversiones!M28</f>
        <v>-19361</v>
      </c>
      <c r="H29" s="43">
        <f>-Inversiones!N28</f>
        <v>-18934.333333333336</v>
      </c>
      <c r="I29" s="43">
        <f>-Inversiones!O28</f>
        <v>-18454.333333333336</v>
      </c>
      <c r="J29" s="43">
        <f>-Inversiones!P28</f>
        <v>-14422.333333333334</v>
      </c>
      <c r="K29" s="43">
        <f>-Inversiones!Q28</f>
        <v>-14422.333333333334</v>
      </c>
      <c r="L29" s="43">
        <f>-Inversiones!R28</f>
        <v>-14422.333333333334</v>
      </c>
      <c r="M29" s="43">
        <f>-Inversiones!S28</f>
        <v>-14422.333333333334</v>
      </c>
      <c r="N29" s="43">
        <f>-Inversiones!T28</f>
        <v>-14422.333333333334</v>
      </c>
    </row>
    <row r="30" spans="2:16" ht="16.5" thickTop="1" thickBot="1">
      <c r="C30" s="7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2:16" s="88" customFormat="1" ht="16.5" thickTop="1" thickBot="1">
      <c r="C31" s="9" t="s">
        <v>16</v>
      </c>
      <c r="D31" s="96"/>
      <c r="E31" s="96">
        <f t="shared" ref="E31:N31" si="7">SUM(E16:E29)</f>
        <v>103636.74919775999</v>
      </c>
      <c r="F31" s="96">
        <f t="shared" si="7"/>
        <v>103706.74919775999</v>
      </c>
      <c r="G31" s="96">
        <f t="shared" si="7"/>
        <v>107795.70658171517</v>
      </c>
      <c r="H31" s="96">
        <f t="shared" si="7"/>
        <v>112356.9474920161</v>
      </c>
      <c r="I31" s="96">
        <f t="shared" si="7"/>
        <v>116592.36469820308</v>
      </c>
      <c r="J31" s="96">
        <f t="shared" si="7"/>
        <v>124001.98769195903</v>
      </c>
      <c r="K31" s="96">
        <f t="shared" si="7"/>
        <v>128353.20563122294</v>
      </c>
      <c r="L31" s="96">
        <f t="shared" si="7"/>
        <v>132329.43451853085</v>
      </c>
      <c r="M31" s="96">
        <f t="shared" si="7"/>
        <v>135932.11772268734</v>
      </c>
      <c r="N31" s="96">
        <f t="shared" si="7"/>
        <v>140512.72651063072</v>
      </c>
    </row>
    <row r="32" spans="2:16" ht="16.5" thickTop="1" thickBot="1">
      <c r="C32" s="7" t="s">
        <v>17</v>
      </c>
      <c r="D32" s="43"/>
      <c r="E32" s="43">
        <f>'Balance Inicial'!F36</f>
        <v>17273.047000000002</v>
      </c>
      <c r="F32" s="43">
        <f>'Balance Inicial'!F37</f>
        <v>16143.167833259557</v>
      </c>
      <c r="G32" s="43">
        <f>'Balance Inicial'!F38</f>
        <v>14910.130698595711</v>
      </c>
      <c r="H32" s="43">
        <f>'Balance Inicial'!F39</f>
        <v>13564.517273537058</v>
      </c>
      <c r="I32" s="43">
        <f>'Balance Inicial'!F40</f>
        <v>12096.049342770548</v>
      </c>
      <c r="J32" s="43">
        <f>'Balance Inicial'!F41</f>
        <v>10493.510289925054</v>
      </c>
      <c r="K32" s="43">
        <f>'Balance Inicial'!F42</f>
        <v>8744.6594215547684</v>
      </c>
      <c r="L32" s="43">
        <f>'Balance Inicial'!F43</f>
        <v>6836.1384689022743</v>
      </c>
      <c r="M32" s="41">
        <f>'Balance Inicial'!F44</f>
        <v>4753.3695532726078</v>
      </c>
      <c r="N32" s="41">
        <f>'Balance Inicial'!F45</f>
        <v>2480.4438356459536</v>
      </c>
    </row>
    <row r="33" spans="3:14" s="88" customFormat="1" ht="16.5" thickTop="1" thickBot="1">
      <c r="C33" s="9" t="s">
        <v>18</v>
      </c>
      <c r="D33" s="96"/>
      <c r="E33" s="96">
        <f>E31-E32</f>
        <v>86363.70219775998</v>
      </c>
      <c r="F33" s="96">
        <f t="shared" ref="F33:N33" si="8">F31-F32</f>
        <v>87563.581364500424</v>
      </c>
      <c r="G33" s="96">
        <f t="shared" si="8"/>
        <v>92885.575883119469</v>
      </c>
      <c r="H33" s="96">
        <f t="shared" si="8"/>
        <v>98792.430218479043</v>
      </c>
      <c r="I33" s="96">
        <f t="shared" si="8"/>
        <v>104496.31535543253</v>
      </c>
      <c r="J33" s="96">
        <f t="shared" si="8"/>
        <v>113508.47740203398</v>
      </c>
      <c r="K33" s="96">
        <f t="shared" si="8"/>
        <v>119608.54620966817</v>
      </c>
      <c r="L33" s="96">
        <f t="shared" si="8"/>
        <v>125493.29604962858</v>
      </c>
      <c r="M33" s="96">
        <f t="shared" si="8"/>
        <v>131178.74816941473</v>
      </c>
      <c r="N33" s="96">
        <f t="shared" si="8"/>
        <v>138032.28267498477</v>
      </c>
    </row>
    <row r="34" spans="3:14" ht="16.5" thickTop="1" thickBot="1">
      <c r="C34" s="7" t="s">
        <v>19</v>
      </c>
      <c r="D34" s="43"/>
      <c r="E34" s="43">
        <f t="shared" ref="E34:N34" si="9">E33*$D$7</f>
        <v>21590.925549439995</v>
      </c>
      <c r="F34" s="43">
        <f t="shared" si="9"/>
        <v>21890.895341125106</v>
      </c>
      <c r="G34" s="43">
        <f t="shared" si="9"/>
        <v>23221.393970779867</v>
      </c>
      <c r="H34" s="43">
        <f t="shared" si="9"/>
        <v>24698.107554619761</v>
      </c>
      <c r="I34" s="43">
        <f t="shared" si="9"/>
        <v>26124.078838858131</v>
      </c>
      <c r="J34" s="43">
        <f t="shared" si="9"/>
        <v>28377.119350508496</v>
      </c>
      <c r="K34" s="43">
        <f t="shared" si="9"/>
        <v>29902.136552417043</v>
      </c>
      <c r="L34" s="43">
        <f t="shared" si="9"/>
        <v>31373.324012407145</v>
      </c>
      <c r="M34" s="43">
        <f t="shared" si="9"/>
        <v>32794.687042353682</v>
      </c>
      <c r="N34" s="43">
        <f t="shared" si="9"/>
        <v>34508.070668746193</v>
      </c>
    </row>
    <row r="35" spans="3:14" ht="16.5" thickTop="1" thickBot="1">
      <c r="C35" s="7"/>
      <c r="D35" s="43"/>
      <c r="E35" s="41"/>
      <c r="F35" s="43"/>
      <c r="G35" s="43"/>
      <c r="H35" s="43"/>
      <c r="I35" s="43"/>
      <c r="J35" s="43"/>
      <c r="K35" s="43"/>
      <c r="L35" s="43"/>
      <c r="M35" s="41"/>
      <c r="N35" s="41"/>
    </row>
    <row r="36" spans="3:14" s="88" customFormat="1" ht="16.5" thickTop="1" thickBot="1">
      <c r="C36" s="9" t="s">
        <v>20</v>
      </c>
      <c r="D36" s="96"/>
      <c r="E36" s="96">
        <f>E33-E34</f>
        <v>64772.776648319981</v>
      </c>
      <c r="F36" s="96">
        <f t="shared" ref="F36:N36" si="10">F33-F34</f>
        <v>65672.68602337531</v>
      </c>
      <c r="G36" s="96">
        <f t="shared" si="10"/>
        <v>69664.181912339598</v>
      </c>
      <c r="H36" s="96">
        <f t="shared" si="10"/>
        <v>74094.32266385929</v>
      </c>
      <c r="I36" s="96">
        <f t="shared" si="10"/>
        <v>78372.236516574398</v>
      </c>
      <c r="J36" s="96">
        <f t="shared" si="10"/>
        <v>85131.358051525487</v>
      </c>
      <c r="K36" s="96">
        <f t="shared" si="10"/>
        <v>89706.409657251133</v>
      </c>
      <c r="L36" s="96">
        <f t="shared" si="10"/>
        <v>94119.972037221436</v>
      </c>
      <c r="M36" s="96">
        <f t="shared" si="10"/>
        <v>98384.061127061053</v>
      </c>
      <c r="N36" s="96">
        <f t="shared" si="10"/>
        <v>103524.21200623858</v>
      </c>
    </row>
    <row r="37" spans="3:14" ht="16.5" thickTop="1" thickBot="1">
      <c r="C37" s="7"/>
      <c r="D37" s="43"/>
      <c r="E37" s="43"/>
      <c r="F37" s="43"/>
      <c r="G37" s="43"/>
      <c r="H37" s="43"/>
      <c r="I37" s="43"/>
      <c r="J37" s="43"/>
      <c r="K37" s="43"/>
      <c r="L37" s="43"/>
      <c r="M37" s="41"/>
      <c r="N37" s="41"/>
    </row>
    <row r="38" spans="3:14" ht="16.5" thickTop="1" thickBot="1">
      <c r="C38" s="7" t="s">
        <v>21</v>
      </c>
      <c r="D38" s="43"/>
      <c r="E38" s="43">
        <f>-E29</f>
        <v>20131</v>
      </c>
      <c r="F38" s="43">
        <f t="shared" ref="F38:N38" si="11">-F29</f>
        <v>20061</v>
      </c>
      <c r="G38" s="43">
        <f t="shared" si="11"/>
        <v>19361</v>
      </c>
      <c r="H38" s="43">
        <f t="shared" si="11"/>
        <v>18934.333333333336</v>
      </c>
      <c r="I38" s="43">
        <f t="shared" si="11"/>
        <v>18454.333333333336</v>
      </c>
      <c r="J38" s="43">
        <f t="shared" si="11"/>
        <v>14422.333333333334</v>
      </c>
      <c r="K38" s="43">
        <f t="shared" si="11"/>
        <v>14422.333333333334</v>
      </c>
      <c r="L38" s="43">
        <f t="shared" si="11"/>
        <v>14422.333333333334</v>
      </c>
      <c r="M38" s="43">
        <f t="shared" si="11"/>
        <v>14422.333333333334</v>
      </c>
      <c r="N38" s="43">
        <f t="shared" si="11"/>
        <v>14422.333333333334</v>
      </c>
    </row>
    <row r="39" spans="3:14" ht="16.5" thickTop="1" thickBot="1">
      <c r="C39" s="7"/>
      <c r="D39" s="43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3:14" ht="16.5" thickTop="1" thickBot="1">
      <c r="C40" s="9" t="s">
        <v>188</v>
      </c>
      <c r="D40" s="96">
        <f>-SUM(D41:D44)</f>
        <v>-461475</v>
      </c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3:14" ht="16.5" thickTop="1" thickBot="1">
      <c r="C41" s="7" t="s">
        <v>107</v>
      </c>
      <c r="D41" s="43">
        <f>+Inversiones!F25+Inversiones!F30+Inversiones!F34</f>
        <v>1955</v>
      </c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3:14" ht="16.5" thickTop="1" thickBot="1">
      <c r="C42" s="7" t="s">
        <v>66</v>
      </c>
      <c r="D42" s="43">
        <f>Inversiones!F21</f>
        <v>234750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3:14" ht="16.5" thickTop="1" thickBot="1">
      <c r="C43" s="7" t="s">
        <v>58</v>
      </c>
      <c r="D43" s="43">
        <f>Inversiones!G38</f>
        <v>20340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3:14" ht="16.5" thickTop="1" thickBot="1">
      <c r="C44" s="7" t="s">
        <v>68</v>
      </c>
      <c r="D44" s="43">
        <f>SUM(Inversiones!G39:G44)</f>
        <v>204430</v>
      </c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3:14" ht="16.5" thickTop="1" thickBot="1">
      <c r="C45" s="67" t="s">
        <v>185</v>
      </c>
      <c r="D45" s="43"/>
      <c r="E45" s="97">
        <f>-Inversiones!M49</f>
        <v>0</v>
      </c>
      <c r="F45" s="97">
        <f>-Inversiones!N49</f>
        <v>-1400</v>
      </c>
      <c r="G45" s="97">
        <f>-Inversiones!O49</f>
        <v>-40</v>
      </c>
      <c r="H45" s="97">
        <f>-Inversiones!P49</f>
        <v>-1400</v>
      </c>
      <c r="I45" s="97">
        <f>-Inversiones!Q49</f>
        <v>-22560</v>
      </c>
      <c r="J45" s="97">
        <f>-Inversiones!R49</f>
        <v>-1440</v>
      </c>
      <c r="K45" s="97">
        <f>-Inversiones!S49</f>
        <v>0</v>
      </c>
      <c r="L45" s="97">
        <f>-Inversiones!T49</f>
        <v>-1400</v>
      </c>
      <c r="M45" s="97">
        <f>-Inversiones!U49</f>
        <v>-40</v>
      </c>
      <c r="N45" s="97">
        <f>-Inversiones!V49</f>
        <v>-34060</v>
      </c>
    </row>
    <row r="46" spans="3:14" ht="16.5" thickTop="1" thickBot="1">
      <c r="C46" s="7" t="s">
        <v>22</v>
      </c>
      <c r="D46" s="43">
        <v>-15000</v>
      </c>
      <c r="E46" s="97"/>
      <c r="F46" s="97"/>
      <c r="G46" s="97"/>
      <c r="H46" s="97"/>
      <c r="I46" s="97"/>
      <c r="J46" s="97"/>
      <c r="K46" s="97"/>
      <c r="L46" s="97"/>
      <c r="M46" s="97"/>
      <c r="N46" s="97">
        <v>15000</v>
      </c>
    </row>
    <row r="47" spans="3:14" ht="16.5" thickTop="1" thickBot="1">
      <c r="C47" s="7"/>
      <c r="D47" s="43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 spans="3:14" ht="16.5" thickTop="1" thickBot="1">
      <c r="C48" s="7" t="s">
        <v>23</v>
      </c>
      <c r="D48" s="43">
        <f>'Balance Inicial'!D35</f>
        <v>189190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3:54" ht="16.5" thickTop="1" thickBot="1">
      <c r="C49" s="7" t="s">
        <v>24</v>
      </c>
      <c r="D49" s="43"/>
      <c r="E49" s="43">
        <f>-'Balance Inicial'!G36</f>
        <v>-12375.456371746368</v>
      </c>
      <c r="F49" s="43">
        <f>-'Balance Inicial'!G37</f>
        <v>-13505.335538486814</v>
      </c>
      <c r="G49" s="43">
        <f>-'Balance Inicial'!G38</f>
        <v>-14738.372673150659</v>
      </c>
      <c r="H49" s="43">
        <f>-'Balance Inicial'!G39</f>
        <v>-16083.986098209312</v>
      </c>
      <c r="I49" s="43">
        <f>-'Balance Inicial'!G40</f>
        <v>-17552.454028975822</v>
      </c>
      <c r="J49" s="43">
        <f>-'Balance Inicial'!G41</f>
        <v>-19154.993081821318</v>
      </c>
      <c r="K49" s="43">
        <f>-'Balance Inicial'!G42</f>
        <v>-20903.8439501916</v>
      </c>
      <c r="L49" s="43">
        <f>-'Balance Inicial'!G43</f>
        <v>-22812.364902844096</v>
      </c>
      <c r="M49" s="43">
        <f>-'Balance Inicial'!G44</f>
        <v>-24895.133818473761</v>
      </c>
      <c r="N49" s="43">
        <f>-'Balance Inicial'!G45</f>
        <v>-27168.059536100416</v>
      </c>
    </row>
    <row r="50" spans="3:54" ht="16.5" thickTop="1" thickBot="1">
      <c r="C50" s="7" t="s">
        <v>252</v>
      </c>
      <c r="D50" s="43"/>
      <c r="E50" s="43"/>
      <c r="F50" s="43"/>
      <c r="G50" s="43"/>
      <c r="H50" s="43"/>
      <c r="I50" s="43"/>
      <c r="J50" s="43"/>
      <c r="K50" s="43"/>
      <c r="L50" s="43"/>
      <c r="M50" s="41"/>
      <c r="N50" s="98">
        <f>Inversiones!H48</f>
        <v>130399.33333333334</v>
      </c>
      <c r="AY50" s="67" t="s">
        <v>80</v>
      </c>
      <c r="AZ50" s="267" t="s">
        <v>75</v>
      </c>
      <c r="BA50" s="267"/>
      <c r="BB50" s="99">
        <f>BB56</f>
        <v>0.10856000000000002</v>
      </c>
    </row>
    <row r="51" spans="3:54" s="88" customFormat="1" ht="16.5" thickTop="1" thickBot="1">
      <c r="C51" s="9" t="s">
        <v>88</v>
      </c>
      <c r="D51" s="96">
        <f>D40+D48</f>
        <v>-272285</v>
      </c>
      <c r="E51" s="96">
        <f>SUM(E36:E49)</f>
        <v>72528.320276573621</v>
      </c>
      <c r="F51" s="96">
        <f t="shared" ref="F51:M51" si="12">SUM(F36:F49)</f>
        <v>70828.350484888491</v>
      </c>
      <c r="G51" s="96">
        <f t="shared" si="12"/>
        <v>74246.809239188937</v>
      </c>
      <c r="H51" s="96">
        <f t="shared" si="12"/>
        <v>75544.669898983324</v>
      </c>
      <c r="I51" s="96">
        <f t="shared" si="12"/>
        <v>56714.115820931918</v>
      </c>
      <c r="J51" s="96">
        <f t="shared" si="12"/>
        <v>78958.698303037498</v>
      </c>
      <c r="K51" s="96">
        <f t="shared" si="12"/>
        <v>83224.899040392862</v>
      </c>
      <c r="L51" s="96">
        <f t="shared" si="12"/>
        <v>84329.940467710665</v>
      </c>
      <c r="M51" s="96">
        <f t="shared" si="12"/>
        <v>87871.260641920613</v>
      </c>
      <c r="N51" s="96">
        <f>SUM(N36:N50)</f>
        <v>202117.81913680484</v>
      </c>
      <c r="O51" s="269">
        <f>SUM(D51:N51)</f>
        <v>614079.88331043278</v>
      </c>
      <c r="P51" s="219"/>
      <c r="AY51"/>
      <c r="AZ51" s="260"/>
      <c r="BA51" s="260"/>
      <c r="BB51" s="59"/>
    </row>
    <row r="52" spans="3:54" ht="16.5" thickTop="1" thickBot="1">
      <c r="D52" s="2"/>
      <c r="E52" s="2"/>
      <c r="F52" s="2"/>
      <c r="G52" s="2"/>
      <c r="H52" s="2"/>
      <c r="I52" s="2"/>
      <c r="J52" s="2"/>
      <c r="K52" s="2"/>
      <c r="L52" s="2"/>
      <c r="AZ52" s="259" t="s">
        <v>76</v>
      </c>
      <c r="BA52" s="259"/>
      <c r="BB52" s="112">
        <v>9.1300000000000006E-2</v>
      </c>
    </row>
    <row r="53" spans="3:54" ht="16.5" thickTop="1" thickBot="1">
      <c r="C53" s="85" t="s">
        <v>73</v>
      </c>
      <c r="D53" s="162">
        <f>NPV(0.193,E51:N51,D51)</f>
        <v>300666.75357540441</v>
      </c>
      <c r="F53" s="123"/>
      <c r="G53" s="124"/>
      <c r="H53" s="2"/>
      <c r="I53" s="65"/>
      <c r="J53" s="2"/>
      <c r="K53" s="2"/>
      <c r="L53" s="2"/>
      <c r="AZ53" s="259" t="s">
        <v>77</v>
      </c>
      <c r="BA53" s="259"/>
      <c r="BB53" s="112">
        <v>4.4400000000000002E-2</v>
      </c>
    </row>
    <row r="54" spans="3:54" ht="16.5" thickTop="1" thickBot="1">
      <c r="C54" s="67" t="s">
        <v>74</v>
      </c>
      <c r="D54" s="11">
        <f>IRR(D51:N51)</f>
        <v>0.2548042776949267</v>
      </c>
      <c r="E54" s="2"/>
      <c r="F54" s="122"/>
      <c r="G54" s="15"/>
      <c r="AZ54" s="13" t="s">
        <v>78</v>
      </c>
      <c r="BA54" s="13"/>
      <c r="BB54" s="93">
        <v>0.25</v>
      </c>
    </row>
    <row r="55" spans="3:54" ht="20.25" thickTop="1" thickBot="1">
      <c r="D55" s="2"/>
      <c r="E55" s="2"/>
      <c r="F55" s="125"/>
      <c r="H55" s="266" t="s">
        <v>166</v>
      </c>
      <c r="I55" s="266"/>
      <c r="J55" s="266"/>
      <c r="K55" s="266"/>
      <c r="L55" s="266"/>
      <c r="AZ55" s="260"/>
      <c r="BA55" s="260"/>
      <c r="BB55" s="59"/>
    </row>
    <row r="56" spans="3:54" ht="31.5" thickTop="1" thickBot="1">
      <c r="D56" s="2"/>
      <c r="E56" s="2"/>
      <c r="F56" s="2"/>
      <c r="H56" s="50" t="s">
        <v>167</v>
      </c>
      <c r="I56" s="50" t="s">
        <v>168</v>
      </c>
      <c r="J56" s="58" t="s">
        <v>169</v>
      </c>
      <c r="K56" s="58" t="s">
        <v>170</v>
      </c>
      <c r="L56" s="58" t="s">
        <v>171</v>
      </c>
      <c r="AZ56" s="14" t="s">
        <v>79</v>
      </c>
      <c r="BA56" s="14"/>
      <c r="BB56" s="99">
        <f>((BB52+BB53)*(1-0.2))</f>
        <v>0.10856000000000002</v>
      </c>
    </row>
    <row r="57" spans="3:54" ht="17.25" thickTop="1" thickBot="1">
      <c r="D57" s="2"/>
      <c r="E57" s="268" t="s">
        <v>242</v>
      </c>
      <c r="F57" s="268"/>
      <c r="H57" s="41">
        <v>0</v>
      </c>
      <c r="I57" s="7"/>
      <c r="J57" s="7"/>
      <c r="K57" s="7"/>
      <c r="L57" s="7"/>
    </row>
    <row r="58" spans="3:54" ht="20.25" thickTop="1" thickBot="1">
      <c r="E58" s="164" t="s">
        <v>243</v>
      </c>
      <c r="F58" s="165">
        <v>0.193</v>
      </c>
      <c r="H58" s="41">
        <v>1</v>
      </c>
      <c r="I58" s="102">
        <f>-D51</f>
        <v>272285</v>
      </c>
      <c r="J58" s="104">
        <f>E51</f>
        <v>72528.320276573621</v>
      </c>
      <c r="K58" s="102">
        <f>I58*0.193</f>
        <v>52551.005000000005</v>
      </c>
      <c r="L58" s="102">
        <f>J58-K58</f>
        <v>19977.315276573616</v>
      </c>
    </row>
    <row r="59" spans="3:54" ht="20.25" thickTop="1" thickBot="1">
      <c r="E59" s="164" t="s">
        <v>244</v>
      </c>
      <c r="F59" s="166" t="s">
        <v>249</v>
      </c>
      <c r="H59" s="41">
        <v>2</v>
      </c>
      <c r="I59" s="102">
        <f t="shared" ref="I59:I67" si="13">I58-L58</f>
        <v>252307.68472342638</v>
      </c>
      <c r="J59" s="104">
        <f>F51</f>
        <v>70828.350484888491</v>
      </c>
      <c r="K59" s="102">
        <f t="shared" ref="K59:K67" si="14">I59*$BB$50</f>
        <v>27390.522253575171</v>
      </c>
      <c r="L59" s="102">
        <f t="shared" ref="L59:L67" si="15">J59-K59</f>
        <v>43437.828231313324</v>
      </c>
    </row>
    <row r="60" spans="3:54" ht="20.25" thickTop="1" thickBot="1">
      <c r="E60" s="164" t="s">
        <v>245</v>
      </c>
      <c r="F60" s="166" t="s">
        <v>246</v>
      </c>
      <c r="H60" s="41">
        <v>3</v>
      </c>
      <c r="I60" s="102">
        <f t="shared" si="13"/>
        <v>208869.85649211306</v>
      </c>
      <c r="J60" s="104">
        <f>G51</f>
        <v>74246.809239188937</v>
      </c>
      <c r="K60" s="102">
        <f t="shared" si="14"/>
        <v>22674.911620783798</v>
      </c>
      <c r="L60" s="102">
        <f t="shared" si="15"/>
        <v>51571.897618405143</v>
      </c>
    </row>
    <row r="61" spans="3:54" ht="20.25" thickTop="1" thickBot="1">
      <c r="E61" s="164" t="s">
        <v>247</v>
      </c>
      <c r="F61" s="166" t="s">
        <v>250</v>
      </c>
      <c r="H61" s="41">
        <v>4</v>
      </c>
      <c r="I61" s="102">
        <f t="shared" si="13"/>
        <v>157297.95887370792</v>
      </c>
      <c r="J61" s="104">
        <f>H51</f>
        <v>75544.669898983324</v>
      </c>
      <c r="K61" s="102">
        <f t="shared" si="14"/>
        <v>17076.266415329734</v>
      </c>
      <c r="L61" s="102">
        <f t="shared" si="15"/>
        <v>58468.403483653587</v>
      </c>
    </row>
    <row r="62" spans="3:54" ht="20.25" thickTop="1" thickBot="1">
      <c r="E62" s="164" t="s">
        <v>248</v>
      </c>
      <c r="F62" s="166" t="s">
        <v>251</v>
      </c>
      <c r="H62" s="41">
        <v>5</v>
      </c>
      <c r="I62" s="102">
        <f t="shared" si="13"/>
        <v>98829.555390054331</v>
      </c>
      <c r="J62" s="104">
        <f>I51</f>
        <v>56714.115820931918</v>
      </c>
      <c r="K62" s="102">
        <f t="shared" si="14"/>
        <v>10728.9365331443</v>
      </c>
      <c r="L62" s="102">
        <f t="shared" si="15"/>
        <v>45985.179287787614</v>
      </c>
    </row>
    <row r="63" spans="3:54" ht="16.5" thickTop="1" thickBot="1">
      <c r="H63" s="167">
        <v>6</v>
      </c>
      <c r="I63" s="168">
        <f t="shared" si="13"/>
        <v>52844.376102266717</v>
      </c>
      <c r="J63" s="169">
        <f>J51</f>
        <v>78958.698303037498</v>
      </c>
      <c r="K63" s="168">
        <f t="shared" si="14"/>
        <v>5736.7854696620761</v>
      </c>
      <c r="L63" s="168">
        <f t="shared" si="15"/>
        <v>73221.91283337542</v>
      </c>
    </row>
    <row r="64" spans="3:54" ht="16.5" thickTop="1" thickBot="1">
      <c r="G64" s="94"/>
      <c r="H64" s="119">
        <v>7</v>
      </c>
      <c r="I64" s="120">
        <f t="shared" si="13"/>
        <v>-20377.536731108703</v>
      </c>
      <c r="J64" s="121">
        <f>K51</f>
        <v>83224.899040392862</v>
      </c>
      <c r="K64" s="120">
        <f t="shared" si="14"/>
        <v>-2212.1853875291613</v>
      </c>
      <c r="L64" s="120">
        <f t="shared" si="15"/>
        <v>85437.084427922018</v>
      </c>
      <c r="N64" s="94"/>
    </row>
    <row r="65" spans="8:12" ht="16.5" thickTop="1" thickBot="1">
      <c r="H65" s="119">
        <v>8</v>
      </c>
      <c r="I65" s="120">
        <f t="shared" si="13"/>
        <v>-105814.62115903072</v>
      </c>
      <c r="J65" s="121">
        <f>L51</f>
        <v>84329.940467710665</v>
      </c>
      <c r="K65" s="120">
        <f t="shared" si="14"/>
        <v>-11487.235273024377</v>
      </c>
      <c r="L65" s="120">
        <f t="shared" si="15"/>
        <v>95817.175740735038</v>
      </c>
    </row>
    <row r="66" spans="8:12" ht="16.5" thickTop="1" thickBot="1">
      <c r="H66" s="119">
        <v>9</v>
      </c>
      <c r="I66" s="120">
        <f t="shared" si="13"/>
        <v>-201631.79689976576</v>
      </c>
      <c r="J66" s="121">
        <f>M51</f>
        <v>87871.260641920613</v>
      </c>
      <c r="K66" s="120">
        <f t="shared" si="14"/>
        <v>-21889.147871438574</v>
      </c>
      <c r="L66" s="120">
        <f t="shared" si="15"/>
        <v>109760.40851335919</v>
      </c>
    </row>
    <row r="67" spans="8:12" ht="16.5" thickTop="1" thickBot="1">
      <c r="H67" s="41">
        <v>10</v>
      </c>
      <c r="I67" s="102">
        <f t="shared" si="13"/>
        <v>-311392.20541312493</v>
      </c>
      <c r="J67" s="104">
        <f>N51</f>
        <v>202117.81913680484</v>
      </c>
      <c r="K67" s="102">
        <f t="shared" si="14"/>
        <v>-33804.73781964885</v>
      </c>
      <c r="L67" s="102">
        <f t="shared" si="15"/>
        <v>235922.55695645369</v>
      </c>
    </row>
    <row r="68" spans="8:12" ht="15.75" thickTop="1"/>
    <row r="106" spans="4:7" ht="15.75" thickBot="1"/>
    <row r="107" spans="4:7" ht="16.5" thickTop="1" thickBot="1">
      <c r="D107" s="67" t="s">
        <v>80</v>
      </c>
      <c r="E107" s="267" t="s">
        <v>75</v>
      </c>
      <c r="F107" s="267"/>
      <c r="G107" s="99">
        <f>G113</f>
        <v>0.10856000000000002</v>
      </c>
    </row>
    <row r="108" spans="4:7" ht="16.5" thickTop="1" thickBot="1">
      <c r="E108" s="260"/>
      <c r="F108" s="260"/>
      <c r="G108" s="126"/>
    </row>
    <row r="109" spans="4:7" ht="16.5" thickTop="1" thickBot="1">
      <c r="E109" s="259" t="s">
        <v>76</v>
      </c>
      <c r="F109" s="259"/>
      <c r="G109" s="112">
        <v>9.1300000000000006E-2</v>
      </c>
    </row>
    <row r="110" spans="4:7" ht="16.5" thickTop="1" thickBot="1">
      <c r="E110" s="259" t="s">
        <v>77</v>
      </c>
      <c r="F110" s="259"/>
      <c r="G110" s="112">
        <v>4.4400000000000002E-2</v>
      </c>
    </row>
    <row r="111" spans="4:7" ht="16.5" thickTop="1" thickBot="1">
      <c r="E111" s="13" t="s">
        <v>78</v>
      </c>
      <c r="F111" s="13"/>
      <c r="G111" s="93">
        <v>0.25</v>
      </c>
    </row>
    <row r="112" spans="4:7" ht="16.5" thickTop="1" thickBot="1">
      <c r="E112" s="260"/>
      <c r="F112" s="260"/>
      <c r="G112" s="126"/>
    </row>
    <row r="113" spans="5:7" ht="16.5" thickTop="1" thickBot="1">
      <c r="E113" s="14" t="s">
        <v>79</v>
      </c>
      <c r="F113" s="14"/>
      <c r="G113" s="99">
        <f>((G109+G110)*(1-0.2))</f>
        <v>0.10856000000000002</v>
      </c>
    </row>
    <row r="114" spans="5:7" ht="15.75" thickTop="1"/>
  </sheetData>
  <mergeCells count="16">
    <mergeCell ref="O51:P51"/>
    <mergeCell ref="AZ51:BA51"/>
    <mergeCell ref="AZ55:BA55"/>
    <mergeCell ref="AZ52:BA52"/>
    <mergeCell ref="AZ53:BA53"/>
    <mergeCell ref="AZ50:BA50"/>
    <mergeCell ref="E109:F109"/>
    <mergeCell ref="E110:F110"/>
    <mergeCell ref="E112:F112"/>
    <mergeCell ref="C13:N13"/>
    <mergeCell ref="E6:F6"/>
    <mergeCell ref="E3:F5"/>
    <mergeCell ref="H55:L55"/>
    <mergeCell ref="E107:F107"/>
    <mergeCell ref="E108:F108"/>
    <mergeCell ref="E57:F57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I66"/>
  <sheetViews>
    <sheetView topLeftCell="B40" zoomScale="80" zoomScaleNormal="80" workbookViewId="0">
      <selection activeCell="D60" sqref="D60:F65"/>
    </sheetView>
  </sheetViews>
  <sheetFormatPr baseColWidth="10" defaultColWidth="9" defaultRowHeight="15"/>
  <cols>
    <col min="1" max="1" width="9" customWidth="1"/>
    <col min="2" max="2" width="17.85546875" bestFit="1" customWidth="1"/>
    <col min="3" max="3" width="27.85546875" customWidth="1"/>
    <col min="4" max="4" width="24.7109375" customWidth="1"/>
    <col min="5" max="5" width="20.140625" customWidth="1"/>
    <col min="6" max="6" width="22.140625" customWidth="1"/>
    <col min="7" max="7" width="16.7109375" customWidth="1"/>
    <col min="8" max="8" width="14.42578125" customWidth="1"/>
    <col min="9" max="9" width="19" bestFit="1" customWidth="1"/>
  </cols>
  <sheetData>
    <row r="3" spans="3:9" ht="15.75" thickBot="1"/>
    <row r="4" spans="3:9" ht="16.5" thickTop="1" thickBot="1">
      <c r="C4" s="277" t="s">
        <v>48</v>
      </c>
      <c r="D4" s="278"/>
      <c r="E4" s="278"/>
      <c r="F4" s="278"/>
      <c r="G4" s="278"/>
      <c r="H4" s="278"/>
      <c r="I4" s="279"/>
    </row>
    <row r="5" spans="3:9" ht="15.75" thickTop="1"/>
    <row r="6" spans="3:9" ht="15.75" thickBot="1"/>
    <row r="7" spans="3:9" ht="16.5" thickTop="1" thickBot="1">
      <c r="C7" s="67" t="s">
        <v>49</v>
      </c>
      <c r="G7" s="67" t="s">
        <v>50</v>
      </c>
    </row>
    <row r="8" spans="3:9" ht="16.5" thickTop="1" thickBot="1">
      <c r="C8" s="67" t="s">
        <v>131</v>
      </c>
      <c r="D8" s="65"/>
      <c r="E8" s="65"/>
      <c r="F8" s="65"/>
      <c r="G8" s="7" t="s">
        <v>23</v>
      </c>
      <c r="H8" s="8">
        <f>E24*0.4</f>
        <v>189190</v>
      </c>
      <c r="I8" s="83"/>
    </row>
    <row r="9" spans="3:9" ht="16.5" thickTop="1" thickBot="1">
      <c r="C9" s="7" t="s">
        <v>132</v>
      </c>
      <c r="D9" s="70">
        <v>500</v>
      </c>
      <c r="E9" s="80"/>
      <c r="F9" s="65"/>
      <c r="G9" s="280" t="s">
        <v>148</v>
      </c>
      <c r="H9" s="281"/>
      <c r="I9" s="8">
        <f>H8</f>
        <v>189190</v>
      </c>
    </row>
    <row r="10" spans="3:9" ht="16.5" thickTop="1" thickBot="1">
      <c r="C10" s="7" t="s">
        <v>133</v>
      </c>
      <c r="D10" s="70">
        <v>10000</v>
      </c>
      <c r="E10" s="76"/>
      <c r="F10" s="65"/>
    </row>
    <row r="11" spans="3:9" ht="16.5" thickTop="1" thickBot="1">
      <c r="C11" s="280" t="s">
        <v>134</v>
      </c>
      <c r="D11" s="281"/>
      <c r="E11" s="75">
        <f>SUM(D9:D10)</f>
        <v>10500</v>
      </c>
      <c r="F11" s="74"/>
    </row>
    <row r="12" spans="3:9" ht="16.5" thickTop="1" thickBot="1">
      <c r="C12" s="67" t="s">
        <v>135</v>
      </c>
      <c r="D12" s="76"/>
      <c r="E12" s="81"/>
      <c r="F12" s="65"/>
      <c r="G12" s="67" t="s">
        <v>51</v>
      </c>
      <c r="H12" s="83"/>
      <c r="I12" s="84"/>
    </row>
    <row r="13" spans="3:9" ht="16.5" thickTop="1" thickBot="1">
      <c r="C13" s="7" t="s">
        <v>136</v>
      </c>
      <c r="D13" s="70">
        <f>Inversiones!F34</f>
        <v>225</v>
      </c>
      <c r="E13" s="80"/>
      <c r="F13" s="65"/>
      <c r="G13" s="282" t="s">
        <v>52</v>
      </c>
      <c r="H13" s="283"/>
      <c r="I13" s="8">
        <f>E24*0.6</f>
        <v>283785</v>
      </c>
    </row>
    <row r="14" spans="3:9" ht="16.5" thickTop="1" thickBot="1">
      <c r="C14" s="7" t="s">
        <v>137</v>
      </c>
      <c r="D14" s="70">
        <f>Inversiones!F30</f>
        <v>490</v>
      </c>
      <c r="E14" s="80"/>
      <c r="F14" s="65"/>
    </row>
    <row r="15" spans="3:9" ht="16.5" thickTop="1" thickBot="1">
      <c r="C15" s="7" t="s">
        <v>138</v>
      </c>
      <c r="D15" s="70">
        <f>Inversiones!F25</f>
        <v>1240</v>
      </c>
      <c r="E15" s="80"/>
      <c r="F15" s="65"/>
    </row>
    <row r="16" spans="3:9" ht="16.5" thickTop="1" thickBot="1">
      <c r="C16" s="7" t="s">
        <v>139</v>
      </c>
      <c r="D16" s="70">
        <f>Inversiones!F21</f>
        <v>234750</v>
      </c>
      <c r="E16" s="80"/>
      <c r="F16" s="65"/>
      <c r="G16" s="280" t="s">
        <v>147</v>
      </c>
      <c r="H16" s="281"/>
      <c r="I16" s="85">
        <f>SUM(I8:I15)</f>
        <v>472975</v>
      </c>
    </row>
    <row r="17" spans="3:7" ht="16.5" thickTop="1" thickBot="1">
      <c r="C17" s="7" t="s">
        <v>140</v>
      </c>
      <c r="D17" s="70">
        <f>Inversiones!G38</f>
        <v>20340</v>
      </c>
      <c r="E17" s="80"/>
      <c r="F17" s="65"/>
    </row>
    <row r="18" spans="3:7" ht="16.5" thickTop="1" thickBot="1">
      <c r="C18" s="7" t="s">
        <v>141</v>
      </c>
      <c r="D18" s="70">
        <f>SUM(Inversiones!G39:G44)</f>
        <v>204430</v>
      </c>
      <c r="E18" s="76"/>
      <c r="F18" s="65"/>
    </row>
    <row r="19" spans="3:7" ht="16.5" thickTop="1" thickBot="1">
      <c r="C19" s="280" t="s">
        <v>142</v>
      </c>
      <c r="D19" s="281"/>
      <c r="E19" s="75">
        <f>SUM(D13:D18)</f>
        <v>461475</v>
      </c>
      <c r="F19" s="65"/>
    </row>
    <row r="20" spans="3:7" ht="16.5" thickTop="1" thickBot="1">
      <c r="C20" s="67" t="s">
        <v>143</v>
      </c>
      <c r="D20" s="77"/>
      <c r="E20" s="82"/>
      <c r="F20" s="74"/>
    </row>
    <row r="21" spans="3:7" ht="16.5" thickTop="1" thickBot="1">
      <c r="C21" s="7" t="s">
        <v>144</v>
      </c>
      <c r="D21" s="70">
        <v>1000</v>
      </c>
      <c r="E21" s="76"/>
      <c r="F21" s="65"/>
    </row>
    <row r="22" spans="3:7" ht="16.5" thickTop="1" thickBot="1">
      <c r="C22" s="280" t="s">
        <v>145</v>
      </c>
      <c r="D22" s="281"/>
      <c r="E22" s="75">
        <f>+D21</f>
        <v>1000</v>
      </c>
      <c r="F22" s="65"/>
    </row>
    <row r="23" spans="3:7" ht="16.5" thickTop="1" thickBot="1">
      <c r="C23" s="78"/>
      <c r="D23" s="79"/>
      <c r="E23" s="79"/>
      <c r="F23" s="65"/>
    </row>
    <row r="24" spans="3:7" ht="16.5" thickTop="1" thickBot="1">
      <c r="C24" s="280" t="s">
        <v>146</v>
      </c>
      <c r="D24" s="281"/>
      <c r="E24" s="75">
        <f>SUM(E11:E22)</f>
        <v>472975</v>
      </c>
      <c r="F24" s="74"/>
    </row>
    <row r="25" spans="3:7" ht="15.75" thickTop="1">
      <c r="F25" s="65"/>
    </row>
    <row r="26" spans="3:7">
      <c r="F26" s="65"/>
    </row>
    <row r="27" spans="3:7" ht="15.75" thickBot="1">
      <c r="F27" s="65"/>
    </row>
    <row r="28" spans="3:7" ht="15.75" thickTop="1">
      <c r="C28" s="271" t="s">
        <v>226</v>
      </c>
      <c r="D28" s="272"/>
      <c r="E28" s="272"/>
      <c r="F28" s="272"/>
      <c r="G28" s="273"/>
    </row>
    <row r="29" spans="3:7" ht="15.75" thickBot="1">
      <c r="C29" s="274"/>
      <c r="D29" s="275"/>
      <c r="E29" s="275"/>
      <c r="F29" s="275"/>
      <c r="G29" s="276"/>
    </row>
    <row r="30" spans="3:7" ht="16.5" thickTop="1" thickBot="1"/>
    <row r="31" spans="3:7" ht="16.5" thickTop="1" thickBot="1">
      <c r="C31" s="73" t="s">
        <v>130</v>
      </c>
      <c r="D31" s="43">
        <f>H8</f>
        <v>189190</v>
      </c>
    </row>
    <row r="32" spans="3:7" ht="16.5" thickTop="1" thickBot="1">
      <c r="C32" s="64" t="s">
        <v>129</v>
      </c>
      <c r="D32" s="133">
        <v>9.1300000000000006E-2</v>
      </c>
    </row>
    <row r="33" spans="3:7" ht="16.5" thickTop="1" thickBot="1">
      <c r="D33" s="4"/>
      <c r="E33" s="4"/>
      <c r="F33" s="4"/>
      <c r="G33" s="4"/>
    </row>
    <row r="34" spans="3:7" ht="16.5" thickTop="1" thickBot="1">
      <c r="C34" s="4"/>
      <c r="D34" s="108" t="s">
        <v>69</v>
      </c>
      <c r="E34" s="108" t="s">
        <v>70</v>
      </c>
      <c r="F34" s="108" t="s">
        <v>71</v>
      </c>
      <c r="G34" s="108" t="s">
        <v>72</v>
      </c>
    </row>
    <row r="35" spans="3:7" ht="16.5" thickTop="1" thickBot="1">
      <c r="C35" s="61">
        <v>0</v>
      </c>
      <c r="D35" s="47">
        <f>H8</f>
        <v>189190</v>
      </c>
      <c r="E35" s="52"/>
      <c r="F35" s="52"/>
      <c r="G35" s="52"/>
    </row>
    <row r="36" spans="3:7" ht="16.5" thickTop="1" thickBot="1">
      <c r="C36" s="61">
        <v>1</v>
      </c>
      <c r="D36" s="71">
        <f>D35-G36</f>
        <v>176814.54362825362</v>
      </c>
      <c r="E36" s="71">
        <f>-PMT(D32,C45,D35)</f>
        <v>29648.50337174637</v>
      </c>
      <c r="F36" s="47">
        <f>D35*$D$32</f>
        <v>17273.047000000002</v>
      </c>
      <c r="G36" s="71">
        <f t="shared" ref="G36:G45" si="0">E36-F36</f>
        <v>12375.456371746368</v>
      </c>
    </row>
    <row r="37" spans="3:7" ht="16.5" thickTop="1" thickBot="1">
      <c r="C37" s="61">
        <v>2</v>
      </c>
      <c r="D37" s="71">
        <f t="shared" ref="D37:D45" si="1">D36-G37</f>
        <v>163309.20808976682</v>
      </c>
      <c r="E37" s="71">
        <f>E36</f>
        <v>29648.50337174637</v>
      </c>
      <c r="F37" s="47">
        <f t="shared" ref="F37:F45" si="2">D36*$D$32</f>
        <v>16143.167833259557</v>
      </c>
      <c r="G37" s="71">
        <f t="shared" si="0"/>
        <v>13505.335538486814</v>
      </c>
    </row>
    <row r="38" spans="3:7" ht="16.5" thickTop="1" thickBot="1">
      <c r="C38" s="61">
        <v>3</v>
      </c>
      <c r="D38" s="71">
        <f t="shared" si="1"/>
        <v>148570.83541661617</v>
      </c>
      <c r="E38" s="71">
        <f t="shared" ref="E38:E44" si="3">E37</f>
        <v>29648.50337174637</v>
      </c>
      <c r="F38" s="47">
        <f t="shared" si="2"/>
        <v>14910.130698595711</v>
      </c>
      <c r="G38" s="71">
        <f t="shared" si="0"/>
        <v>14738.372673150659</v>
      </c>
    </row>
    <row r="39" spans="3:7" ht="16.5" thickTop="1" thickBot="1">
      <c r="C39" s="61">
        <v>4</v>
      </c>
      <c r="D39" s="71">
        <f t="shared" si="1"/>
        <v>132486.84931840686</v>
      </c>
      <c r="E39" s="71">
        <f t="shared" si="3"/>
        <v>29648.50337174637</v>
      </c>
      <c r="F39" s="47">
        <f t="shared" si="2"/>
        <v>13564.517273537058</v>
      </c>
      <c r="G39" s="71">
        <f t="shared" si="0"/>
        <v>16083.986098209312</v>
      </c>
    </row>
    <row r="40" spans="3:7" ht="16.5" thickTop="1" thickBot="1">
      <c r="C40" s="61">
        <v>5</v>
      </c>
      <c r="D40" s="71">
        <f t="shared" si="1"/>
        <v>114934.39528943104</v>
      </c>
      <c r="E40" s="71">
        <f t="shared" si="3"/>
        <v>29648.50337174637</v>
      </c>
      <c r="F40" s="47">
        <f t="shared" si="2"/>
        <v>12096.049342770548</v>
      </c>
      <c r="G40" s="71">
        <f t="shared" si="0"/>
        <v>17552.454028975822</v>
      </c>
    </row>
    <row r="41" spans="3:7" ht="16.5" thickTop="1" thickBot="1">
      <c r="C41" s="61">
        <v>6</v>
      </c>
      <c r="D41" s="71">
        <f t="shared" si="1"/>
        <v>95779.402207609717</v>
      </c>
      <c r="E41" s="71">
        <f t="shared" si="3"/>
        <v>29648.50337174637</v>
      </c>
      <c r="F41" s="47">
        <f t="shared" si="2"/>
        <v>10493.510289925054</v>
      </c>
      <c r="G41" s="71">
        <f t="shared" si="0"/>
        <v>19154.993081821318</v>
      </c>
    </row>
    <row r="42" spans="3:7" ht="16.5" thickTop="1" thickBot="1">
      <c r="C42" s="61">
        <v>7</v>
      </c>
      <c r="D42" s="71">
        <f t="shared" si="1"/>
        <v>74875.558257418117</v>
      </c>
      <c r="E42" s="71">
        <f t="shared" si="3"/>
        <v>29648.50337174637</v>
      </c>
      <c r="F42" s="47">
        <f t="shared" si="2"/>
        <v>8744.6594215547684</v>
      </c>
      <c r="G42" s="71">
        <f t="shared" si="0"/>
        <v>20903.8439501916</v>
      </c>
    </row>
    <row r="43" spans="3:7" ht="16.5" thickTop="1" thickBot="1">
      <c r="C43" s="61">
        <v>8</v>
      </c>
      <c r="D43" s="71">
        <f t="shared" si="1"/>
        <v>52063.193354574018</v>
      </c>
      <c r="E43" s="71">
        <f t="shared" si="3"/>
        <v>29648.50337174637</v>
      </c>
      <c r="F43" s="47">
        <f t="shared" si="2"/>
        <v>6836.1384689022743</v>
      </c>
      <c r="G43" s="71">
        <f t="shared" si="0"/>
        <v>22812.364902844096</v>
      </c>
    </row>
    <row r="44" spans="3:7" ht="16.5" thickTop="1" thickBot="1">
      <c r="C44" s="61">
        <v>9</v>
      </c>
      <c r="D44" s="71">
        <f t="shared" si="1"/>
        <v>27168.059536100256</v>
      </c>
      <c r="E44" s="71">
        <f t="shared" si="3"/>
        <v>29648.50337174637</v>
      </c>
      <c r="F44" s="47">
        <f t="shared" si="2"/>
        <v>4753.3695532726078</v>
      </c>
      <c r="G44" s="71">
        <f t="shared" si="0"/>
        <v>24895.133818473761</v>
      </c>
    </row>
    <row r="45" spans="3:7" ht="16.5" thickTop="1" thickBot="1">
      <c r="C45" s="61">
        <v>10</v>
      </c>
      <c r="D45" s="71">
        <f t="shared" si="1"/>
        <v>-1.6007106751203537E-10</v>
      </c>
      <c r="E45" s="71">
        <f>E44</f>
        <v>29648.50337174637</v>
      </c>
      <c r="F45" s="47">
        <f t="shared" si="2"/>
        <v>2480.4438356459536</v>
      </c>
      <c r="G45" s="71">
        <f t="shared" si="0"/>
        <v>27168.059536100416</v>
      </c>
    </row>
    <row r="46" spans="3:7" ht="16.5" thickTop="1" thickBot="1">
      <c r="C46" s="4"/>
      <c r="D46" s="4"/>
      <c r="E46" s="4"/>
      <c r="F46" s="4"/>
      <c r="G46" s="72">
        <f>SUM(G36:G45)</f>
        <v>189190.00000000015</v>
      </c>
    </row>
    <row r="47" spans="3:7" ht="15.75" thickTop="1"/>
    <row r="59" spans="4:7" ht="15.75" thickBot="1"/>
    <row r="60" spans="4:7" ht="20.25" thickTop="1" thickBot="1">
      <c r="D60" s="270" t="s">
        <v>237</v>
      </c>
      <c r="E60" s="270"/>
      <c r="F60" s="270"/>
      <c r="G60" s="156"/>
    </row>
    <row r="61" spans="4:7" ht="16.5" thickTop="1" thickBot="1">
      <c r="D61" s="158" t="s">
        <v>238</v>
      </c>
      <c r="E61" s="158" t="s">
        <v>239</v>
      </c>
      <c r="F61" s="158" t="s">
        <v>240</v>
      </c>
      <c r="G61" s="155"/>
    </row>
    <row r="62" spans="4:7" ht="16.5" thickTop="1" thickBot="1">
      <c r="D62" s="159" t="s">
        <v>241</v>
      </c>
      <c r="E62" s="160">
        <v>0.6</v>
      </c>
      <c r="F62" s="8">
        <f>I13</f>
        <v>283785</v>
      </c>
    </row>
    <row r="63" spans="4:7" ht="16.5" thickTop="1" thickBot="1">
      <c r="D63" s="159" t="s">
        <v>226</v>
      </c>
      <c r="E63" s="160">
        <v>0.4</v>
      </c>
      <c r="F63" s="8">
        <f>H8</f>
        <v>189190</v>
      </c>
    </row>
    <row r="64" spans="4:7" ht="16.5" thickTop="1" thickBot="1">
      <c r="D64" s="159" t="s">
        <v>5</v>
      </c>
      <c r="E64" s="160">
        <v>1</v>
      </c>
      <c r="F64" s="7">
        <f>F62+F63</f>
        <v>472975</v>
      </c>
    </row>
    <row r="65" spans="4:6" ht="16.5" thickTop="1" thickBot="1">
      <c r="D65" s="157" t="s">
        <v>234</v>
      </c>
      <c r="E65" s="84"/>
      <c r="F65" s="141"/>
    </row>
    <row r="66" spans="4:6" ht="15.75" thickTop="1"/>
  </sheetData>
  <mergeCells count="10">
    <mergeCell ref="D60:F60"/>
    <mergeCell ref="C28:G29"/>
    <mergeCell ref="C4:I4"/>
    <mergeCell ref="C11:D11"/>
    <mergeCell ref="C19:D19"/>
    <mergeCell ref="C22:D22"/>
    <mergeCell ref="C24:D24"/>
    <mergeCell ref="G9:H9"/>
    <mergeCell ref="G16:H16"/>
    <mergeCell ref="G13:H13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K37"/>
  <sheetViews>
    <sheetView tabSelected="1" workbookViewId="0">
      <selection activeCell="A5" sqref="A5"/>
    </sheetView>
  </sheetViews>
  <sheetFormatPr baseColWidth="10" defaultRowHeight="15"/>
  <cols>
    <col min="2" max="2" width="14" customWidth="1"/>
    <col min="3" max="3" width="11.5703125" bestFit="1" customWidth="1"/>
    <col min="6" max="6" width="11.5703125" bestFit="1" customWidth="1"/>
    <col min="10" max="10" width="11.5703125" bestFit="1" customWidth="1"/>
    <col min="12" max="12" width="11.85546875" bestFit="1" customWidth="1"/>
  </cols>
  <sheetData>
    <row r="2" spans="2:11">
      <c r="B2" s="284" t="s">
        <v>257</v>
      </c>
      <c r="C2" s="284"/>
      <c r="E2" s="284" t="s">
        <v>258</v>
      </c>
      <c r="F2" s="284"/>
      <c r="I2" s="284" t="s">
        <v>259</v>
      </c>
      <c r="J2" s="284"/>
    </row>
    <row r="3" spans="2:11">
      <c r="B3" s="182" t="s">
        <v>255</v>
      </c>
      <c r="C3" s="182" t="s">
        <v>256</v>
      </c>
      <c r="E3" s="182" t="s">
        <v>255</v>
      </c>
      <c r="F3" s="182" t="s">
        <v>256</v>
      </c>
      <c r="I3" s="185" t="s">
        <v>255</v>
      </c>
      <c r="J3" s="182" t="s">
        <v>256</v>
      </c>
    </row>
    <row r="4" spans="2:11">
      <c r="B4" s="183">
        <v>0.02</v>
      </c>
      <c r="C4" s="180">
        <v>300666.75</v>
      </c>
      <c r="E4" s="184">
        <v>1.4999999999999999E-2</v>
      </c>
      <c r="F4" s="180">
        <v>300666.75</v>
      </c>
      <c r="I4" s="183">
        <v>0</v>
      </c>
      <c r="J4" s="180">
        <v>300666.75</v>
      </c>
    </row>
    <row r="5" spans="2:11">
      <c r="B5" s="183">
        <v>0.03</v>
      </c>
      <c r="C5" s="180">
        <v>312291.71000000002</v>
      </c>
      <c r="E5" s="184">
        <v>2.5000000000000001E-2</v>
      </c>
      <c r="F5" s="180">
        <v>306069.90999999997</v>
      </c>
      <c r="I5" s="183">
        <v>0.01</v>
      </c>
      <c r="J5" s="180">
        <v>317694.87</v>
      </c>
    </row>
    <row r="6" spans="2:11">
      <c r="B6" s="183">
        <v>0.04</v>
      </c>
      <c r="C6" s="180">
        <v>324383.39</v>
      </c>
      <c r="E6" s="184">
        <v>3.5000000000000003E-2</v>
      </c>
      <c r="F6" s="180">
        <v>311689.90000000002</v>
      </c>
      <c r="I6" s="183">
        <v>0.02</v>
      </c>
      <c r="J6" s="180">
        <v>335406.53999999998</v>
      </c>
    </row>
    <row r="7" spans="2:11">
      <c r="B7" s="183">
        <v>0.01</v>
      </c>
      <c r="C7" s="180">
        <v>289490.11</v>
      </c>
      <c r="E7" s="184">
        <v>5.0000000000000001E-3</v>
      </c>
      <c r="F7" s="180">
        <v>295471.86</v>
      </c>
      <c r="I7" s="183">
        <v>-0.01</v>
      </c>
      <c r="J7" s="180">
        <v>284295.21999999997</v>
      </c>
    </row>
    <row r="8" spans="2:11">
      <c r="B8" s="183">
        <v>-0.01</v>
      </c>
      <c r="C8" s="180">
        <v>268411.45</v>
      </c>
      <c r="E8" s="184">
        <v>-1.4999999999999999E-2</v>
      </c>
      <c r="F8" s="180">
        <v>285674.17</v>
      </c>
      <c r="I8" s="183">
        <v>-0.02</v>
      </c>
      <c r="J8" s="180">
        <v>268554.27</v>
      </c>
      <c r="K8" s="163"/>
    </row>
    <row r="9" spans="2:11">
      <c r="B9" s="183">
        <v>-0.02</v>
      </c>
      <c r="C9" s="180">
        <v>258475.87</v>
      </c>
      <c r="E9" s="184">
        <v>-2.5000000000000001E-2</v>
      </c>
      <c r="F9" s="180">
        <v>281055.75</v>
      </c>
      <c r="I9" s="183">
        <v>-0.03</v>
      </c>
      <c r="J9" s="180">
        <v>253418.86</v>
      </c>
    </row>
    <row r="29" spans="2:3">
      <c r="C29" s="163"/>
    </row>
    <row r="30" spans="2:3">
      <c r="B30" s="284" t="s">
        <v>260</v>
      </c>
      <c r="C30" s="284"/>
    </row>
    <row r="31" spans="2:3">
      <c r="B31" s="182" t="s">
        <v>261</v>
      </c>
      <c r="C31" s="182" t="s">
        <v>256</v>
      </c>
    </row>
    <row r="32" spans="2:3">
      <c r="B32" s="186">
        <v>0.193</v>
      </c>
      <c r="C32" s="187">
        <v>300666.75</v>
      </c>
    </row>
    <row r="33" spans="2:3">
      <c r="B33" s="186">
        <v>0.20300000000000001</v>
      </c>
      <c r="C33" s="187">
        <v>291391.02</v>
      </c>
    </row>
    <row r="34" spans="2:3">
      <c r="B34" s="186">
        <v>0.21299999999999999</v>
      </c>
      <c r="C34" s="187">
        <v>282555.82</v>
      </c>
    </row>
    <row r="35" spans="2:3">
      <c r="B35" s="186">
        <v>0.183</v>
      </c>
      <c r="C35" s="187">
        <v>310409.43</v>
      </c>
    </row>
    <row r="36" spans="2:3">
      <c r="B36" s="186">
        <v>0.17299999999999999</v>
      </c>
      <c r="C36" s="187">
        <v>320647.07</v>
      </c>
    </row>
    <row r="37" spans="2:3">
      <c r="B37" s="186">
        <v>0.16300000000000001</v>
      </c>
      <c r="C37" s="187">
        <v>331409.40999999997</v>
      </c>
    </row>
  </sheetData>
  <mergeCells count="4">
    <mergeCell ref="B2:C2"/>
    <mergeCell ref="E2:F2"/>
    <mergeCell ref="I2:J2"/>
    <mergeCell ref="B30:C30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N42"/>
    </sheetView>
  </sheetViews>
  <sheetFormatPr baseColWidth="10" defaultRowHeight="15"/>
  <cols>
    <col min="6" max="7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Ingresos y Egresos</vt:lpstr>
      <vt:lpstr>Inversiones</vt:lpstr>
      <vt:lpstr>Flujo de Caja del Inversionista</vt:lpstr>
      <vt:lpstr>Balance Inicial</vt:lpstr>
      <vt:lpstr>escenarios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Noralma</dc:creator>
  <cp:lastModifiedBy>Familia</cp:lastModifiedBy>
  <cp:lastPrinted>2010-04-27T04:38:57Z</cp:lastPrinted>
  <dcterms:created xsi:type="dcterms:W3CDTF">2009-01-26T15:40:49Z</dcterms:created>
  <dcterms:modified xsi:type="dcterms:W3CDTF">2010-05-05T03:09:35Z</dcterms:modified>
</cp:coreProperties>
</file>