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30" windowWidth="7395" windowHeight="3930" firstSheet="5" activeTab="6"/>
  </bookViews>
  <sheets>
    <sheet name="Costos" sheetId="1" r:id="rId1"/>
    <sheet name="Ingresos" sheetId="2" r:id="rId2"/>
    <sheet name="demanda anual" sheetId="3" r:id="rId3"/>
    <sheet name="Arreglando" sheetId="4" r:id="rId4"/>
    <sheet name="Flujo de caja" sheetId="5" r:id="rId5"/>
    <sheet name="Resumen de escenario" sheetId="8" r:id="rId6"/>
    <sheet name="Flujo de caja (3)" sheetId="9" r:id="rId7"/>
    <sheet name="Resumen de escenario con TMAR" sheetId="13" r:id="rId8"/>
  </sheets>
  <calcPr calcId="125725"/>
</workbook>
</file>

<file path=xl/calcChain.xml><?xml version="1.0" encoding="utf-8"?>
<calcChain xmlns="http://schemas.openxmlformats.org/spreadsheetml/2006/main">
  <c r="E12" i="1"/>
  <c r="C76" s="1"/>
  <c r="E45"/>
  <c r="E23"/>
  <c r="C5" i="4" s="1"/>
  <c r="H61" i="1"/>
  <c r="G63"/>
  <c r="G64"/>
  <c r="F4"/>
  <c r="F5"/>
  <c r="F6"/>
  <c r="F7"/>
  <c r="F8"/>
  <c r="F9"/>
  <c r="F10"/>
  <c r="F11"/>
  <c r="F12"/>
  <c r="G5"/>
  <c r="I5"/>
  <c r="J5" s="1"/>
  <c r="G6"/>
  <c r="I6"/>
  <c r="J6"/>
  <c r="G7"/>
  <c r="I7"/>
  <c r="J7" s="1"/>
  <c r="G8"/>
  <c r="I8"/>
  <c r="J8"/>
  <c r="G9"/>
  <c r="I9"/>
  <c r="J9" s="1"/>
  <c r="G10"/>
  <c r="J11"/>
  <c r="G4"/>
  <c r="G12" s="1"/>
  <c r="J12" s="1"/>
  <c r="H12"/>
  <c r="I4"/>
  <c r="I12"/>
  <c r="F51"/>
  <c r="F52"/>
  <c r="F57" s="1"/>
  <c r="F53"/>
  <c r="F54"/>
  <c r="F55"/>
  <c r="F56"/>
  <c r="F67"/>
  <c r="F73"/>
  <c r="C7" i="4"/>
  <c r="F81" i="1"/>
  <c r="F89"/>
  <c r="C77" s="1"/>
  <c r="C95"/>
  <c r="G95" s="1"/>
  <c r="C96"/>
  <c r="E34"/>
  <c r="E35"/>
  <c r="E36"/>
  <c r="E37"/>
  <c r="E38"/>
  <c r="E39"/>
  <c r="E40"/>
  <c r="E41"/>
  <c r="E42"/>
  <c r="E43"/>
  <c r="E44"/>
  <c r="C71"/>
  <c r="C8" i="4" s="1"/>
  <c r="E36" i="2"/>
  <c r="F36" s="1"/>
  <c r="F38" s="1"/>
  <c r="E37"/>
  <c r="F37" s="1"/>
  <c r="C4"/>
  <c r="D4" s="1"/>
  <c r="C28" s="1"/>
  <c r="D3"/>
  <c r="C27" s="1"/>
  <c r="D16" i="4"/>
  <c r="E16" i="2"/>
  <c r="E17"/>
  <c r="F17" s="1"/>
  <c r="E18"/>
  <c r="F18" s="1"/>
  <c r="E19"/>
  <c r="F19" s="1"/>
  <c r="E20"/>
  <c r="F20" s="1"/>
  <c r="E21"/>
  <c r="F21" s="1"/>
  <c r="G51" i="1"/>
  <c r="G52"/>
  <c r="G53"/>
  <c r="G54"/>
  <c r="G55"/>
  <c r="G56"/>
  <c r="G57"/>
  <c r="D9" i="5" s="1"/>
  <c r="G85" i="1"/>
  <c r="G86"/>
  <c r="G87"/>
  <c r="G88"/>
  <c r="G89"/>
  <c r="C22"/>
  <c r="C4" i="4"/>
  <c r="E28" i="1"/>
  <c r="E29"/>
  <c r="E46" s="1"/>
  <c r="C6" i="4" s="1"/>
  <c r="E30" i="1"/>
  <c r="E31"/>
  <c r="E32"/>
  <c r="E33"/>
  <c r="C78"/>
  <c r="D24" i="3"/>
  <c r="D25" s="1"/>
  <c r="D26" s="1"/>
  <c r="D27" s="1"/>
  <c r="N5" i="1"/>
  <c r="N6"/>
  <c r="N7"/>
  <c r="N8"/>
  <c r="N9"/>
  <c r="N10"/>
  <c r="N4"/>
  <c r="N13" s="1"/>
  <c r="F8" i="4"/>
  <c r="F7"/>
  <c r="F6"/>
  <c r="F5"/>
  <c r="F4"/>
  <c r="C22" i="2"/>
  <c r="D57" i="1"/>
  <c r="D12"/>
  <c r="G5" i="3"/>
  <c r="I5" s="1"/>
  <c r="E16" s="1"/>
  <c r="G6"/>
  <c r="I6"/>
  <c r="E17" s="1"/>
  <c r="G7"/>
  <c r="I7" s="1"/>
  <c r="E18" s="1"/>
  <c r="G8"/>
  <c r="I8"/>
  <c r="E19" s="1"/>
  <c r="G4"/>
  <c r="I4" s="1"/>
  <c r="E15" s="1"/>
  <c r="F5"/>
  <c r="H5"/>
  <c r="D16" s="1"/>
  <c r="C16" s="1"/>
  <c r="F6"/>
  <c r="H6"/>
  <c r="D17" s="1"/>
  <c r="C17" s="1"/>
  <c r="F7"/>
  <c r="H7"/>
  <c r="D18" s="1"/>
  <c r="C18" s="1"/>
  <c r="F8"/>
  <c r="H8"/>
  <c r="D19" s="1"/>
  <c r="C19" s="1"/>
  <c r="F4"/>
  <c r="H4" s="1"/>
  <c r="D15" s="1"/>
  <c r="F9" i="4"/>
  <c r="F16" i="2"/>
  <c r="E22"/>
  <c r="E95" i="1"/>
  <c r="D104"/>
  <c r="F104" s="1"/>
  <c r="F106" s="1"/>
  <c r="C97"/>
  <c r="C98" s="1"/>
  <c r="J10"/>
  <c r="J4"/>
  <c r="G66"/>
  <c r="F95"/>
  <c r="E97"/>
  <c r="F97" s="1"/>
  <c r="G97" s="1"/>
  <c r="D16" i="5"/>
  <c r="E16"/>
  <c r="F16" s="1"/>
  <c r="G16" s="1"/>
  <c r="H16" s="1"/>
  <c r="D16" i="9"/>
  <c r="E16" s="1"/>
  <c r="F16" s="1"/>
  <c r="G16" s="1"/>
  <c r="H16" s="1"/>
  <c r="G65" i="1"/>
  <c r="G67"/>
  <c r="D9" i="9"/>
  <c r="D105" i="1"/>
  <c r="F105" s="1"/>
  <c r="E96"/>
  <c r="D15" i="9"/>
  <c r="E15" s="1"/>
  <c r="F15" s="1"/>
  <c r="G15" s="1"/>
  <c r="H15" s="1"/>
  <c r="D15" i="5"/>
  <c r="E15" s="1"/>
  <c r="F15" s="1"/>
  <c r="G15" s="1"/>
  <c r="H15" s="1"/>
  <c r="F96" i="1"/>
  <c r="G96" s="1"/>
  <c r="E9" i="9"/>
  <c r="F9"/>
  <c r="G9" s="1"/>
  <c r="H9" s="1"/>
  <c r="D19" i="5" l="1"/>
  <c r="D27" s="1"/>
  <c r="E19"/>
  <c r="D19" i="9"/>
  <c r="D27" s="1"/>
  <c r="E19"/>
  <c r="D31" i="2"/>
  <c r="C27" i="3"/>
  <c r="E27" s="1"/>
  <c r="D30" i="2"/>
  <c r="C26" i="3"/>
  <c r="E26" s="1"/>
  <c r="C25"/>
  <c r="E25" s="1"/>
  <c r="D29" i="2"/>
  <c r="D28"/>
  <c r="E28" s="1"/>
  <c r="C24" i="3"/>
  <c r="E24" s="1"/>
  <c r="D6" i="9"/>
  <c r="E6" s="1"/>
  <c r="F6" s="1"/>
  <c r="G6" s="1"/>
  <c r="H6" s="1"/>
  <c r="D6" i="5"/>
  <c r="E6" s="1"/>
  <c r="F6" s="1"/>
  <c r="G6" s="1"/>
  <c r="H6" s="1"/>
  <c r="F22" i="2"/>
  <c r="C79" i="1"/>
  <c r="C9" i="4" s="1"/>
  <c r="C10" s="1"/>
  <c r="G81" i="1" s="1"/>
  <c r="E98"/>
  <c r="N12"/>
  <c r="N11" s="1"/>
  <c r="E9" i="5"/>
  <c r="D14" i="9"/>
  <c r="D14" i="5"/>
  <c r="C15" i="3"/>
  <c r="C5" i="2"/>
  <c r="E4" i="9" l="1"/>
  <c r="E4" i="5"/>
  <c r="G79" i="1"/>
  <c r="G80"/>
  <c r="D5" i="2"/>
  <c r="C29" s="1"/>
  <c r="E29" s="1"/>
  <c r="C6"/>
  <c r="D27"/>
  <c r="E27" s="1"/>
  <c r="C23" i="3"/>
  <c r="E23" s="1"/>
  <c r="E14" i="5"/>
  <c r="D5"/>
  <c r="E5" s="1"/>
  <c r="F5" s="1"/>
  <c r="G5" s="1"/>
  <c r="H5" s="1"/>
  <c r="D5" i="9"/>
  <c r="E5" s="1"/>
  <c r="F5" s="1"/>
  <c r="G5" s="1"/>
  <c r="H5" s="1"/>
  <c r="F10"/>
  <c r="F11" s="1"/>
  <c r="F10" i="5"/>
  <c r="E14" i="9"/>
  <c r="F9" i="5"/>
  <c r="E99" i="1"/>
  <c r="F98"/>
  <c r="G98" s="1"/>
  <c r="G99" s="1"/>
  <c r="E10" i="5"/>
  <c r="E11" s="1"/>
  <c r="E10" i="9"/>
  <c r="E11" s="1"/>
  <c r="G10"/>
  <c r="G11" s="1"/>
  <c r="G10" i="5"/>
  <c r="H10"/>
  <c r="H10" i="9"/>
  <c r="H11" s="1"/>
  <c r="F19"/>
  <c r="E27"/>
  <c r="F19" i="5"/>
  <c r="E27"/>
  <c r="G19" l="1"/>
  <c r="F27"/>
  <c r="G19" i="9"/>
  <c r="F27"/>
  <c r="D18" i="5"/>
  <c r="D26" s="1"/>
  <c r="E18"/>
  <c r="E26" s="1"/>
  <c r="F18"/>
  <c r="F26" s="1"/>
  <c r="G18"/>
  <c r="G26" s="1"/>
  <c r="H18"/>
  <c r="H26" s="1"/>
  <c r="D18" i="9"/>
  <c r="D26" s="1"/>
  <c r="E18"/>
  <c r="E26" s="1"/>
  <c r="F18"/>
  <c r="F26" s="1"/>
  <c r="G18"/>
  <c r="G26" s="1"/>
  <c r="H18"/>
  <c r="H26" s="1"/>
  <c r="F14"/>
  <c r="D4"/>
  <c r="D7" s="1"/>
  <c r="D4" i="5"/>
  <c r="D7" s="1"/>
  <c r="F4" i="9"/>
  <c r="F7" s="1"/>
  <c r="F12" s="1"/>
  <c r="F4" i="5"/>
  <c r="F7" s="1"/>
  <c r="C28" i="9"/>
  <c r="C31" s="1"/>
  <c r="J3" i="4"/>
  <c r="C28" i="5"/>
  <c r="C31" s="1"/>
  <c r="E7" i="9"/>
  <c r="E12" s="1"/>
  <c r="H30"/>
  <c r="H30" i="5"/>
  <c r="F11"/>
  <c r="G9"/>
  <c r="F14"/>
  <c r="D10" i="9"/>
  <c r="D11" s="1"/>
  <c r="D10" i="5"/>
  <c r="D11" s="1"/>
  <c r="D6" i="2"/>
  <c r="C30" s="1"/>
  <c r="E30" s="1"/>
  <c r="C7"/>
  <c r="D7" s="1"/>
  <c r="C31" s="1"/>
  <c r="E31" s="1"/>
  <c r="E7" i="5"/>
  <c r="E12" s="1"/>
  <c r="G14" l="1"/>
  <c r="C32"/>
  <c r="C33" s="1"/>
  <c r="C32" i="9"/>
  <c r="C33" s="1"/>
  <c r="H19"/>
  <c r="H27" s="1"/>
  <c r="G27"/>
  <c r="H19" i="5"/>
  <c r="H27" s="1"/>
  <c r="G27"/>
  <c r="D12" i="9"/>
  <c r="G4"/>
  <c r="G7" s="1"/>
  <c r="G12" s="1"/>
  <c r="G4" i="5"/>
  <c r="G7" s="1"/>
  <c r="H4"/>
  <c r="H7" s="1"/>
  <c r="H4" i="9"/>
  <c r="H7" s="1"/>
  <c r="H12" s="1"/>
  <c r="G11" i="5"/>
  <c r="H9"/>
  <c r="H11" s="1"/>
  <c r="L8" i="4"/>
  <c r="L10"/>
  <c r="L12"/>
  <c r="I7"/>
  <c r="L9"/>
  <c r="L11"/>
  <c r="G14" i="9"/>
  <c r="F12" i="5"/>
  <c r="D12"/>
  <c r="G12" l="1"/>
  <c r="H14" i="9"/>
  <c r="H14" i="5"/>
  <c r="H12"/>
  <c r="K8" i="4"/>
  <c r="D17" i="9" l="1"/>
  <c r="D20" s="1"/>
  <c r="D21" s="1"/>
  <c r="D17" i="5"/>
  <c r="D20" s="1"/>
  <c r="D21" s="1"/>
  <c r="J8" i="4"/>
  <c r="D22" i="9" l="1"/>
  <c r="D23" s="1"/>
  <c r="D22" i="5"/>
  <c r="D23"/>
  <c r="D29" i="9"/>
  <c r="D29" i="5"/>
  <c r="I8" i="4"/>
  <c r="D24" i="9" l="1"/>
  <c r="D25" s="1"/>
  <c r="D31" s="1"/>
  <c r="K9" i="4"/>
  <c r="D25" i="5"/>
  <c r="D31" s="1"/>
  <c r="D24"/>
  <c r="D32" i="9" l="1"/>
  <c r="D33" s="1"/>
  <c r="D32" i="5"/>
  <c r="D33" s="1"/>
  <c r="E17"/>
  <c r="E20" s="1"/>
  <c r="E21" s="1"/>
  <c r="E17" i="9"/>
  <c r="E20" s="1"/>
  <c r="E21" s="1"/>
  <c r="J9" i="4"/>
  <c r="E29" i="5" l="1"/>
  <c r="E29" i="9"/>
  <c r="I9" i="4"/>
  <c r="E22" i="5"/>
  <c r="E23" s="1"/>
  <c r="E22" i="9"/>
  <c r="E23" s="1"/>
  <c r="E24" l="1"/>
  <c r="E25" s="1"/>
  <c r="E31" s="1"/>
  <c r="E24" i="5"/>
  <c r="E25" s="1"/>
  <c r="E31" s="1"/>
  <c r="K10" i="4"/>
  <c r="E32" i="9" l="1"/>
  <c r="E33" s="1"/>
  <c r="E32" i="5"/>
  <c r="E33" s="1"/>
  <c r="F17" i="9"/>
  <c r="F20" s="1"/>
  <c r="F21" s="1"/>
  <c r="F17" i="5"/>
  <c r="F20" s="1"/>
  <c r="F21" s="1"/>
  <c r="J10" i="4"/>
  <c r="F29" i="9" l="1"/>
  <c r="F29" i="5"/>
  <c r="I10" i="4"/>
  <c r="F22" i="9"/>
  <c r="F23" s="1"/>
  <c r="F22" i="5"/>
  <c r="F23" s="1"/>
  <c r="F24" l="1"/>
  <c r="F25" s="1"/>
  <c r="F31" s="1"/>
  <c r="F24" i="9"/>
  <c r="F25" s="1"/>
  <c r="F31" s="1"/>
  <c r="K11" i="4"/>
  <c r="F32" i="5" l="1"/>
  <c r="F32" i="9"/>
  <c r="G17" i="5"/>
  <c r="G20" s="1"/>
  <c r="G21" s="1"/>
  <c r="G17" i="9"/>
  <c r="G20" s="1"/>
  <c r="G21" s="1"/>
  <c r="J11" i="4"/>
  <c r="G22" i="5" l="1"/>
  <c r="G23" s="1"/>
  <c r="F33"/>
  <c r="C37"/>
  <c r="G29"/>
  <c r="G29" i="9"/>
  <c r="I11" i="4"/>
  <c r="G23" i="9"/>
  <c r="G22"/>
  <c r="F33"/>
  <c r="C37"/>
  <c r="G24" i="5" l="1"/>
  <c r="G25" s="1"/>
  <c r="G31" s="1"/>
  <c r="K12" i="4"/>
  <c r="G24" i="9"/>
  <c r="G25" s="1"/>
  <c r="G31" s="1"/>
  <c r="G32" i="5" l="1"/>
  <c r="G33" s="1"/>
  <c r="G32" i="9"/>
  <c r="G33" s="1"/>
  <c r="H17"/>
  <c r="H20" s="1"/>
  <c r="H21" s="1"/>
  <c r="H17" i="5"/>
  <c r="H20" s="1"/>
  <c r="H21" s="1"/>
  <c r="J12" i="4"/>
  <c r="H29" i="9" l="1"/>
  <c r="H29" i="5"/>
  <c r="I12" i="4"/>
  <c r="H22" i="9"/>
  <c r="H23" s="1"/>
  <c r="H22" i="5"/>
  <c r="H23" s="1"/>
  <c r="H24" l="1"/>
  <c r="H25" s="1"/>
  <c r="H31" s="1"/>
  <c r="H24" i="9"/>
  <c r="H25" s="1"/>
  <c r="H31" s="1"/>
  <c r="H32" i="5" l="1"/>
  <c r="H33" s="1"/>
  <c r="C36"/>
  <c r="C35"/>
  <c r="H32" i="9"/>
  <c r="H33" s="1"/>
  <c r="C36"/>
  <c r="C35"/>
</calcChain>
</file>

<file path=xl/sharedStrings.xml><?xml version="1.0" encoding="utf-8"?>
<sst xmlns="http://schemas.openxmlformats.org/spreadsheetml/2006/main" count="370" uniqueCount="253">
  <si>
    <t>Cargo</t>
  </si>
  <si>
    <t>Entrenador</t>
  </si>
  <si>
    <t>Ayudantes deportivos</t>
  </si>
  <si>
    <t>Tiempo de trabajo</t>
  </si>
  <si>
    <t>Tiempo completo</t>
  </si>
  <si>
    <t>Medio tiempo</t>
  </si>
  <si>
    <t>Gasto de salario mensual</t>
  </si>
  <si>
    <t>Decimo tercer sueldo</t>
  </si>
  <si>
    <t>Decimo cuarto sueldo</t>
  </si>
  <si>
    <t>Vacaciones</t>
  </si>
  <si>
    <t>Gasto del salario anual</t>
  </si>
  <si>
    <t>BALANCE DEL PERSONAL</t>
  </si>
  <si>
    <t>Materiales</t>
  </si>
  <si>
    <t>Costo x unidad</t>
  </si>
  <si>
    <t xml:space="preserve">Cantidad </t>
  </si>
  <si>
    <t>Costo total</t>
  </si>
  <si>
    <t xml:space="preserve">Cesped sintetico </t>
  </si>
  <si>
    <t>Lamparas de 400 w</t>
  </si>
  <si>
    <t>paca de red</t>
  </si>
  <si>
    <t>El cesped sintetico viene incluido su instalacion y arreglo de suelo y drenaje</t>
  </si>
  <si>
    <t>Balones</t>
  </si>
  <si>
    <t xml:space="preserve">Focos </t>
  </si>
  <si>
    <t>Arcos(incluye net)</t>
  </si>
  <si>
    <t>Asientos de madera</t>
  </si>
  <si>
    <t>duchas</t>
  </si>
  <si>
    <t>Inodoros</t>
  </si>
  <si>
    <t>lavados</t>
  </si>
  <si>
    <t>refrigeradora</t>
  </si>
  <si>
    <t>Chalecos</t>
  </si>
  <si>
    <t>Computadora</t>
  </si>
  <si>
    <t>Las instalaciones del camerino, baño y garaje vienen valoradas en sus distintos precios incluyendo</t>
  </si>
  <si>
    <t xml:space="preserve">la mano de obra y materiales de construccion </t>
  </si>
  <si>
    <t>Obra fisica del camerino</t>
  </si>
  <si>
    <t>obra fisica del garage</t>
  </si>
  <si>
    <t>Obra fisica del complejo</t>
  </si>
  <si>
    <t>4 metros de ancho y 8 metros de largo</t>
  </si>
  <si>
    <t>Obra fisica del bar</t>
  </si>
  <si>
    <t>4 metros de ancho y 2 metros de largo</t>
  </si>
  <si>
    <t>35 metros de ancho y 48 metros de largo</t>
  </si>
  <si>
    <t>cancha es de 38 metros de largo y 20 metros de ancho</t>
  </si>
  <si>
    <t>12 metros de ancho y 7 metros de largo</t>
  </si>
  <si>
    <t>MEDIDAS</t>
  </si>
  <si>
    <t>Rubros</t>
  </si>
  <si>
    <t>Valor</t>
  </si>
  <si>
    <t>Impuestos prediales</t>
  </si>
  <si>
    <t>Cuerpo de bombero</t>
  </si>
  <si>
    <t>Patente municipal</t>
  </si>
  <si>
    <t>Ministerio de salud</t>
  </si>
  <si>
    <t>Permiso de funcionamiento</t>
  </si>
  <si>
    <t>Medidor de empresa electrica</t>
  </si>
  <si>
    <t>Linea telefonica</t>
  </si>
  <si>
    <t>Medidor de agua potable</t>
  </si>
  <si>
    <t>CAPITAL DE TRABAJO</t>
  </si>
  <si>
    <t>valor</t>
  </si>
  <si>
    <t>Sueldos</t>
  </si>
  <si>
    <t>Servicios Basicos</t>
  </si>
  <si>
    <t>Publicidad</t>
  </si>
  <si>
    <t>Total</t>
  </si>
  <si>
    <t>GASTOS DE PUBLICIDAD</t>
  </si>
  <si>
    <t>Papeleria</t>
  </si>
  <si>
    <t>Diarios</t>
  </si>
  <si>
    <t>Radio</t>
  </si>
  <si>
    <t>Television</t>
  </si>
  <si>
    <t>Costo anual</t>
  </si>
  <si>
    <t>Costo Anual</t>
  </si>
  <si>
    <t>Luz Electrica</t>
  </si>
  <si>
    <t>Agua potable</t>
  </si>
  <si>
    <t>Telefono</t>
  </si>
  <si>
    <t xml:space="preserve">Terreno </t>
  </si>
  <si>
    <t>Internet</t>
  </si>
  <si>
    <t>COSTOS DEL BAR</t>
  </si>
  <si>
    <t>Cantidades mensuales</t>
  </si>
  <si>
    <t>Bebidas hidratantes</t>
  </si>
  <si>
    <t>Bebidas gaseosas</t>
  </si>
  <si>
    <t>Bebidas Alcoholicas</t>
  </si>
  <si>
    <t>Botella de Agua</t>
  </si>
  <si>
    <t>Costo mensual</t>
  </si>
  <si>
    <t>Obra fisica</t>
  </si>
  <si>
    <t>INGRESOS POR BAR</t>
  </si>
  <si>
    <t>Precio unitario</t>
  </si>
  <si>
    <t>Ingreso mensual</t>
  </si>
  <si>
    <t>Ingreso anual</t>
  </si>
  <si>
    <t>meses</t>
  </si>
  <si>
    <t>INGRESOS DEL ALQUILER DE CANCHAS</t>
  </si>
  <si>
    <t>ESCUELA DE FUTBOL</t>
  </si>
  <si>
    <t>Inscriptos</t>
  </si>
  <si>
    <t>Precio por Inscripto</t>
  </si>
  <si>
    <t>Inscripciones</t>
  </si>
  <si>
    <t>Cursos</t>
  </si>
  <si>
    <t xml:space="preserve">meses </t>
  </si>
  <si>
    <t>Financiamiento</t>
  </si>
  <si>
    <t>Prestamo</t>
  </si>
  <si>
    <t>Capital</t>
  </si>
  <si>
    <t>Porcentaje</t>
  </si>
  <si>
    <t>Dinero</t>
  </si>
  <si>
    <t>AÑOS</t>
  </si>
  <si>
    <t>Capacidad fines de semana</t>
  </si>
  <si>
    <t>DEMANDA PROYECTADA</t>
  </si>
  <si>
    <t>años</t>
  </si>
  <si>
    <t>capacidad productiva</t>
  </si>
  <si>
    <t>Capacidad dias laborables</t>
  </si>
  <si>
    <t>Asistencia diaria dias laborables</t>
  </si>
  <si>
    <t>Capacidad diaria fines de semana</t>
  </si>
  <si>
    <t>DEMANDA ANUAL</t>
  </si>
  <si>
    <t>total de horas anuales</t>
  </si>
  <si>
    <t>Años</t>
  </si>
  <si>
    <t>%</t>
  </si>
  <si>
    <t>total de horas mensual dias laborables</t>
  </si>
  <si>
    <t>total de horas mensual dias feriado</t>
  </si>
  <si>
    <t>total de horas anuales dias laborables</t>
  </si>
  <si>
    <t>total de horas anuales fines de semana</t>
  </si>
  <si>
    <t>dias laborables</t>
  </si>
  <si>
    <t>dias fines de semana</t>
  </si>
  <si>
    <t>Costo unitario</t>
  </si>
  <si>
    <t>OBRA FISICA</t>
  </si>
  <si>
    <t>Rubro</t>
  </si>
  <si>
    <t>cesped sintetico</t>
  </si>
  <si>
    <t>Mobiliarios y equipos</t>
  </si>
  <si>
    <t>Gastos de instalacion</t>
  </si>
  <si>
    <t>Capital de trabajo</t>
  </si>
  <si>
    <t>Impresoras</t>
  </si>
  <si>
    <t>telefono inalambrico</t>
  </si>
  <si>
    <t>Escritorio</t>
  </si>
  <si>
    <t>sillas</t>
  </si>
  <si>
    <t>TOTAL</t>
  </si>
  <si>
    <t>INVERSION DE EQUIPOS Y MOBILIARIOS</t>
  </si>
  <si>
    <t>COSTO DE CONSTITUCION</t>
  </si>
  <si>
    <t>COSTOS DE INSTALACION</t>
  </si>
  <si>
    <t>total de gastos</t>
  </si>
  <si>
    <t>Gastos de constitucion</t>
  </si>
  <si>
    <t>Administrador</t>
  </si>
  <si>
    <t>Asistente financiera</t>
  </si>
  <si>
    <t>Relacionista publico</t>
  </si>
  <si>
    <t>Encargado del Bar</t>
  </si>
  <si>
    <t>Empleado de limpieza</t>
  </si>
  <si>
    <t>Empleados de seguridad</t>
  </si>
  <si>
    <t>Botellas de guitig</t>
  </si>
  <si>
    <t>Snacker</t>
  </si>
  <si>
    <t>Botellas de Guitig</t>
  </si>
  <si>
    <t>Aire condicionado</t>
  </si>
  <si>
    <t>Total Inversion</t>
  </si>
  <si>
    <t>INVERSION INICIAL</t>
  </si>
  <si>
    <t>Construccion del camerinos</t>
  </si>
  <si>
    <t>Construccion del bar y oficina</t>
  </si>
  <si>
    <t>Construccion del garaje</t>
  </si>
  <si>
    <t>Construccion del complejo</t>
  </si>
  <si>
    <t>Terreno</t>
  </si>
  <si>
    <t>Proveedor</t>
  </si>
  <si>
    <t>Poligrass S.A</t>
  </si>
  <si>
    <t>Producto</t>
  </si>
  <si>
    <t>Total a pagar</t>
  </si>
  <si>
    <t>Costo del Cesped sintetitico</t>
  </si>
  <si>
    <t>Momentum poletielino</t>
  </si>
  <si>
    <t>Aprobacion de planos Estructurales</t>
  </si>
  <si>
    <t>Aprobacion de planos electricos</t>
  </si>
  <si>
    <t>Aprobacion de planos arquitectonicos</t>
  </si>
  <si>
    <t>GASTO DE APORTE AL IESS</t>
  </si>
  <si>
    <t>CARGO</t>
  </si>
  <si>
    <t>SUELDO MENSUAL</t>
  </si>
  <si>
    <t>subtotal</t>
  </si>
  <si>
    <t>Aporte al iess (9,35%)</t>
  </si>
  <si>
    <t>TABLA DE AMORTIZACION</t>
  </si>
  <si>
    <t>plazo</t>
  </si>
  <si>
    <t>tasa</t>
  </si>
  <si>
    <t>Año</t>
  </si>
  <si>
    <t>Saldo de capital</t>
  </si>
  <si>
    <t>Pago de capital</t>
  </si>
  <si>
    <t>Intereses</t>
  </si>
  <si>
    <t>Cuotas</t>
  </si>
  <si>
    <t>DEPRECIACION</t>
  </si>
  <si>
    <t>Activo</t>
  </si>
  <si>
    <t>Vida util</t>
  </si>
  <si>
    <t xml:space="preserve">costo </t>
  </si>
  <si>
    <t>Valor en libros</t>
  </si>
  <si>
    <t>Cesped Sintetico</t>
  </si>
  <si>
    <t>Construccion</t>
  </si>
  <si>
    <t>Muebles y equipos</t>
  </si>
  <si>
    <t>Total depreciacion</t>
  </si>
  <si>
    <t xml:space="preserve">Precios </t>
  </si>
  <si>
    <t>Aumento del precio</t>
  </si>
  <si>
    <t>IVA</t>
  </si>
  <si>
    <t>Precios</t>
  </si>
  <si>
    <t>Demanda Anual</t>
  </si>
  <si>
    <t>Por cancha de alquiler</t>
  </si>
  <si>
    <t>Por bar</t>
  </si>
  <si>
    <t>Por escuela de futbol</t>
  </si>
  <si>
    <t>Total de ingresos</t>
  </si>
  <si>
    <t>Costo por bar</t>
  </si>
  <si>
    <t>Mantenimiento</t>
  </si>
  <si>
    <t>COSTO DE MANTENIMIENTO</t>
  </si>
  <si>
    <t>Total de horas Anuales</t>
  </si>
  <si>
    <t>Costos anuales</t>
  </si>
  <si>
    <t>Total de costos</t>
  </si>
  <si>
    <t>Utilidad operativa</t>
  </si>
  <si>
    <t>GASTOS ADMINISTRATIVOS</t>
  </si>
  <si>
    <t>INGRESOS</t>
  </si>
  <si>
    <t>COSTO DE VENTA</t>
  </si>
  <si>
    <t>Sueldos y salarios</t>
  </si>
  <si>
    <t>Servicios basicos</t>
  </si>
  <si>
    <t>GASTOS DE AMORTIZACION</t>
  </si>
  <si>
    <t>Amortizacion anual</t>
  </si>
  <si>
    <t>Costos de instalacion</t>
  </si>
  <si>
    <t>Costos de constitucion</t>
  </si>
  <si>
    <t>Depreciacion</t>
  </si>
  <si>
    <t>Amortizacion</t>
  </si>
  <si>
    <t>total de gastos de amortizacion</t>
  </si>
  <si>
    <t>Utilidad ant participacion trabajadores</t>
  </si>
  <si>
    <t>15% participacion trabajadores</t>
  </si>
  <si>
    <t>Utilidad antes de impuesto</t>
  </si>
  <si>
    <t>25% impuesto a la renta</t>
  </si>
  <si>
    <t>Utilidad neta</t>
  </si>
  <si>
    <t>Inversion inicial</t>
  </si>
  <si>
    <t>Amortizacion de deuda</t>
  </si>
  <si>
    <t>valor de desecho</t>
  </si>
  <si>
    <t>Flujo neto de efectivo</t>
  </si>
  <si>
    <t>Flujo de caja descontado</t>
  </si>
  <si>
    <t>Flujo de caja acumulado</t>
  </si>
  <si>
    <t>Tmar</t>
  </si>
  <si>
    <t>Van</t>
  </si>
  <si>
    <t>Tir</t>
  </si>
  <si>
    <t>Payback</t>
  </si>
  <si>
    <t>Inflacion</t>
  </si>
  <si>
    <t>1680 metros cuadrado; el metro cuadrado cuesta $14</t>
  </si>
  <si>
    <r>
      <t>Cantidad MT.</t>
    </r>
    <r>
      <rPr>
        <sz val="8"/>
        <color indexed="8"/>
        <rFont val="Bodoni MT"/>
        <family val="1"/>
      </rPr>
      <t>2</t>
    </r>
  </si>
  <si>
    <r>
      <t>Precio / MT.</t>
    </r>
    <r>
      <rPr>
        <sz val="8"/>
        <color indexed="8"/>
        <rFont val="Bodoni MT"/>
        <family val="1"/>
      </rPr>
      <t>2</t>
    </r>
  </si>
  <si>
    <t>CÉSPED SINTÉTICO</t>
  </si>
  <si>
    <t>FINANCIAMIENTO</t>
  </si>
  <si>
    <t xml:space="preserve">salario anual </t>
  </si>
  <si>
    <t>nº de empleados</t>
  </si>
  <si>
    <t>VAN</t>
  </si>
  <si>
    <t>TIR</t>
  </si>
  <si>
    <t>$C$36</t>
  </si>
  <si>
    <t>$C$37</t>
  </si>
  <si>
    <t>Resumen de escenario</t>
  </si>
  <si>
    <t>Celdas cambiantes:</t>
  </si>
  <si>
    <t>Valores actuales:</t>
  </si>
  <si>
    <t>Celdas de resultado:</t>
  </si>
  <si>
    <t>Notas: La columna de valores actuales representa los valores de las celdas cambiantes</t>
  </si>
  <si>
    <t>en el momento en que se creó el Informe resumen de escenario. Las celdas cambiantes de</t>
  </si>
  <si>
    <t>cada escenario se muestran en gris.</t>
  </si>
  <si>
    <t>$E$42</t>
  </si>
  <si>
    <t>Creado por Sandy Baidal el 24/04/2010
Modificado por Sandy Baidal el 24/04/2010</t>
  </si>
  <si>
    <t>televisor</t>
  </si>
  <si>
    <t>Descripción</t>
  </si>
  <si>
    <t>Depreciación acumulada</t>
  </si>
  <si>
    <t>Depreciación anual</t>
  </si>
  <si>
    <t>determinaciòn del capital de trabajo</t>
  </si>
  <si>
    <t>VARIACIÒN DE LOS INGRESOS</t>
  </si>
  <si>
    <t>89471.37</t>
  </si>
  <si>
    <t>93282.36</t>
  </si>
  <si>
    <t>100904.34</t>
  </si>
  <si>
    <t>104715.33</t>
  </si>
  <si>
    <t>97093.35</t>
  </si>
</sst>
</file>

<file path=xl/styles.xml><?xml version="1.0" encoding="utf-8"?>
<styleSheet xmlns="http://schemas.openxmlformats.org/spreadsheetml/2006/main">
  <numFmts count="9"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4" formatCode="_(&quot;$&quot;\ * #,##0.00_);_(&quot;$&quot;\ * \(#,##0.00\);_(&quot;$&quot;\ * &quot;-&quot;??_);_(@_)"/>
    <numFmt numFmtId="178" formatCode="&quot;$&quot;\ #,##0.00;[Red]&quot;$&quot;\ #,##0.00"/>
    <numFmt numFmtId="179" formatCode="&quot;$&quot;\ #,##0.00"/>
    <numFmt numFmtId="181" formatCode="&quot;$&quot;\ #,##0"/>
    <numFmt numFmtId="187" formatCode="0.000%"/>
    <numFmt numFmtId="194" formatCode="_([$€]\ * #,##0.00_);_([$€]\ * \(#,##0.00\);_([$€]\ * &quot;-&quot;??_);_(@_)"/>
  </numFmts>
  <fonts count="25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4"/>
      <color indexed="8"/>
      <name val="Verdana"/>
      <family val="2"/>
    </font>
    <font>
      <sz val="11"/>
      <color indexed="8"/>
      <name val="Verdana"/>
      <family val="2"/>
    </font>
    <font>
      <sz val="8"/>
      <name val="Calibri"/>
      <family val="2"/>
    </font>
    <font>
      <sz val="8"/>
      <color indexed="8"/>
      <name val="Verdana"/>
      <family val="2"/>
    </font>
    <font>
      <sz val="8"/>
      <color indexed="8"/>
      <name val="Calibri"/>
      <family val="2"/>
    </font>
    <font>
      <sz val="14"/>
      <color indexed="8"/>
      <name val="Bodoni MT"/>
      <family val="1"/>
    </font>
    <font>
      <sz val="11"/>
      <color indexed="8"/>
      <name val="Bodoni MT"/>
      <family val="1"/>
    </font>
    <font>
      <u/>
      <sz val="14"/>
      <color indexed="8"/>
      <name val="Bodoni MT"/>
      <family val="1"/>
    </font>
    <font>
      <u/>
      <sz val="11"/>
      <color indexed="8"/>
      <name val="Bodoni MT"/>
      <family val="1"/>
    </font>
    <font>
      <sz val="8"/>
      <color indexed="8"/>
      <name val="Bodoni MT"/>
      <family val="1"/>
    </font>
    <font>
      <sz val="16"/>
      <color indexed="8"/>
      <name val="Bodoni MT"/>
      <family val="1"/>
    </font>
    <font>
      <b/>
      <sz val="12"/>
      <color indexed="8"/>
      <name val="Bodoni MT"/>
      <family val="1"/>
    </font>
    <font>
      <b/>
      <sz val="11"/>
      <color indexed="8"/>
      <name val="Bodoni MT"/>
      <family val="1"/>
    </font>
    <font>
      <b/>
      <sz val="14"/>
      <color indexed="8"/>
      <name val="Bodoni MT"/>
      <family val="1"/>
    </font>
    <font>
      <b/>
      <sz val="12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18"/>
      <name val="Calibri"/>
      <family val="2"/>
    </font>
    <font>
      <sz val="10"/>
      <color indexed="9"/>
      <name val="Calibri"/>
      <family val="2"/>
    </font>
    <font>
      <sz val="8"/>
      <color indexed="8"/>
      <name val="Calibri"/>
      <family val="2"/>
    </font>
    <font>
      <sz val="12"/>
      <color indexed="8"/>
      <name val="Bodoni MT"/>
      <family val="1"/>
    </font>
    <font>
      <b/>
      <sz val="12"/>
      <color indexed="8"/>
      <name val="Calibri"/>
      <family val="2"/>
    </font>
    <font>
      <sz val="10"/>
      <color indexed="8"/>
      <name val="Calibri"/>
      <family val="2"/>
    </font>
    <font>
      <sz val="11"/>
      <color indexed="8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indexed="17"/>
        <bgColor indexed="64"/>
      </patternFill>
    </fill>
    <fill>
      <patternFill patternType="solid">
        <fgColor indexed="20"/>
        <bgColor indexed="24"/>
      </patternFill>
    </fill>
    <fill>
      <patternFill patternType="solid">
        <fgColor indexed="22"/>
        <bgColor indexed="2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6"/>
        <bgColor indexed="2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94" fontId="1" fillId="0" borderId="0" applyFont="0" applyFill="0" applyBorder="0" applyAlignment="0" applyProtection="0"/>
  </cellStyleXfs>
  <cellXfs count="170">
    <xf numFmtId="0" fontId="0" fillId="0" borderId="0" xfId="0"/>
    <xf numFmtId="8" fontId="0" fillId="0" borderId="0" xfId="0" applyNumberFormat="1"/>
    <xf numFmtId="0" fontId="0" fillId="0" borderId="0" xfId="0" applyBorder="1"/>
    <xf numFmtId="0" fontId="0" fillId="0" borderId="1" xfId="0" applyBorder="1"/>
    <xf numFmtId="0" fontId="0" fillId="0" borderId="1" xfId="0" applyBorder="1" applyAlignment="1">
      <alignment horizontal="center"/>
    </xf>
    <xf numFmtId="0" fontId="2" fillId="0" borderId="1" xfId="0" applyFont="1" applyBorder="1"/>
    <xf numFmtId="8" fontId="0" fillId="0" borderId="1" xfId="0" applyNumberFormat="1" applyBorder="1"/>
    <xf numFmtId="9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9" fontId="3" fillId="0" borderId="0" xfId="0" applyNumberFormat="1" applyFont="1" applyBorder="1" applyAlignment="1">
      <alignment horizontal="center" wrapText="1"/>
    </xf>
    <xf numFmtId="1" fontId="0" fillId="0" borderId="1" xfId="0" applyNumberFormat="1" applyBorder="1"/>
    <xf numFmtId="0" fontId="0" fillId="0" borderId="1" xfId="0" applyBorder="1" applyAlignment="1">
      <alignment horizontal="center" wrapText="1"/>
    </xf>
    <xf numFmtId="0" fontId="3" fillId="0" borderId="0" xfId="0" applyFont="1" applyBorder="1"/>
    <xf numFmtId="10" fontId="0" fillId="0" borderId="0" xfId="0" applyNumberFormat="1"/>
    <xf numFmtId="0" fontId="2" fillId="0" borderId="0" xfId="0" applyFont="1" applyBorder="1" applyAlignment="1">
      <alignment horizontal="right"/>
    </xf>
    <xf numFmtId="0" fontId="8" fillId="0" borderId="0" xfId="0" applyFont="1"/>
    <xf numFmtId="0" fontId="8" fillId="0" borderId="1" xfId="0" applyFont="1" applyBorder="1" applyAlignment="1">
      <alignment horizontal="center"/>
    </xf>
    <xf numFmtId="0" fontId="8" fillId="0" borderId="1" xfId="0" applyFont="1" applyBorder="1"/>
    <xf numFmtId="0" fontId="8" fillId="0" borderId="1" xfId="0" applyFont="1" applyBorder="1" applyAlignment="1">
      <alignment horizontal="right"/>
    </xf>
    <xf numFmtId="6" fontId="8" fillId="0" borderId="1" xfId="0" applyNumberFormat="1" applyFont="1" applyBorder="1" applyAlignment="1">
      <alignment horizontal="right"/>
    </xf>
    <xf numFmtId="7" fontId="8" fillId="0" borderId="1" xfId="0" applyNumberFormat="1" applyFont="1" applyBorder="1" applyAlignment="1">
      <alignment horizontal="center"/>
    </xf>
    <xf numFmtId="6" fontId="8" fillId="0" borderId="1" xfId="0" applyNumberFormat="1" applyFont="1" applyBorder="1"/>
    <xf numFmtId="179" fontId="8" fillId="0" borderId="1" xfId="0" applyNumberFormat="1" applyFont="1" applyBorder="1"/>
    <xf numFmtId="0" fontId="7" fillId="0" borderId="0" xfId="0" applyFont="1" applyAlignment="1">
      <alignment horizontal="right"/>
    </xf>
    <xf numFmtId="7" fontId="8" fillId="0" borderId="1" xfId="0" applyNumberFormat="1" applyFont="1" applyBorder="1"/>
    <xf numFmtId="0" fontId="8" fillId="0" borderId="1" xfId="0" applyFont="1" applyFill="1" applyBorder="1"/>
    <xf numFmtId="0" fontId="8" fillId="0" borderId="0" xfId="0" applyFont="1" applyFill="1" applyBorder="1"/>
    <xf numFmtId="6" fontId="8" fillId="0" borderId="0" xfId="0" applyNumberFormat="1" applyFont="1" applyBorder="1"/>
    <xf numFmtId="178" fontId="8" fillId="0" borderId="0" xfId="0" applyNumberFormat="1" applyFont="1"/>
    <xf numFmtId="6" fontId="8" fillId="0" borderId="0" xfId="0" applyNumberFormat="1" applyFont="1"/>
    <xf numFmtId="8" fontId="8" fillId="0" borderId="1" xfId="0" applyNumberFormat="1" applyFont="1" applyBorder="1" applyAlignment="1">
      <alignment horizontal="center"/>
    </xf>
    <xf numFmtId="0" fontId="7" fillId="0" borderId="0" xfId="0" applyFont="1"/>
    <xf numFmtId="0" fontId="8" fillId="0" borderId="0" xfId="0" applyFont="1" applyBorder="1"/>
    <xf numFmtId="38" fontId="8" fillId="0" borderId="1" xfId="0" applyNumberFormat="1" applyFont="1" applyBorder="1" applyAlignment="1">
      <alignment horizontal="center"/>
    </xf>
    <xf numFmtId="8" fontId="8" fillId="0" borderId="0" xfId="0" applyNumberFormat="1" applyFont="1" applyBorder="1" applyAlignment="1">
      <alignment horizontal="center"/>
    </xf>
    <xf numFmtId="38" fontId="8" fillId="0" borderId="0" xfId="0" applyNumberFormat="1" applyFont="1" applyBorder="1" applyAlignment="1">
      <alignment horizontal="center"/>
    </xf>
    <xf numFmtId="7" fontId="8" fillId="0" borderId="0" xfId="0" applyNumberFormat="1" applyFont="1" applyBorder="1" applyAlignment="1">
      <alignment horizontal="center"/>
    </xf>
    <xf numFmtId="7" fontId="8" fillId="0" borderId="0" xfId="0" applyNumberFormat="1" applyFont="1"/>
    <xf numFmtId="44" fontId="8" fillId="0" borderId="0" xfId="0" applyNumberFormat="1" applyFont="1" applyBorder="1"/>
    <xf numFmtId="8" fontId="8" fillId="0" borderId="1" xfId="0" applyNumberFormat="1" applyFont="1" applyBorder="1"/>
    <xf numFmtId="0" fontId="8" fillId="0" borderId="0" xfId="0" applyFont="1" applyAlignment="1">
      <alignment horizontal="left" wrapText="1"/>
    </xf>
    <xf numFmtId="9" fontId="8" fillId="0" borderId="1" xfId="0" applyNumberFormat="1" applyFont="1" applyBorder="1"/>
    <xf numFmtId="8" fontId="8" fillId="0" borderId="0" xfId="0" applyNumberFormat="1" applyFont="1"/>
    <xf numFmtId="9" fontId="8" fillId="0" borderId="0" xfId="0" applyNumberFormat="1" applyFont="1"/>
    <xf numFmtId="0" fontId="14" fillId="0" borderId="1" xfId="0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179" fontId="8" fillId="0" borderId="1" xfId="0" applyNumberFormat="1" applyFont="1" applyBorder="1" applyAlignment="1">
      <alignment horizontal="center" wrapText="1"/>
    </xf>
    <xf numFmtId="179" fontId="8" fillId="0" borderId="1" xfId="0" applyNumberFormat="1" applyFont="1" applyBorder="1" applyAlignment="1">
      <alignment horizontal="center"/>
    </xf>
    <xf numFmtId="0" fontId="13" fillId="2" borderId="2" xfId="0" applyFont="1" applyFill="1" applyBorder="1"/>
    <xf numFmtId="0" fontId="13" fillId="2" borderId="2" xfId="0" applyFont="1" applyFill="1" applyBorder="1" applyAlignment="1">
      <alignment vertical="center" wrapText="1"/>
    </xf>
    <xf numFmtId="0" fontId="14" fillId="2" borderId="2" xfId="0" applyFont="1" applyFill="1" applyBorder="1" applyAlignment="1">
      <alignment horizontal="center" wrapText="1"/>
    </xf>
    <xf numFmtId="0" fontId="13" fillId="2" borderId="2" xfId="0" applyFont="1" applyFill="1" applyBorder="1" applyAlignment="1">
      <alignment horizontal="center" wrapText="1"/>
    </xf>
    <xf numFmtId="0" fontId="13" fillId="2" borderId="2" xfId="0" applyFont="1" applyFill="1" applyBorder="1" applyAlignment="1">
      <alignment horizontal="center" vertical="center" wrapText="1"/>
    </xf>
    <xf numFmtId="0" fontId="0" fillId="0" borderId="0" xfId="0" applyFill="1" applyBorder="1" applyAlignment="1"/>
    <xf numFmtId="0" fontId="0" fillId="0" borderId="3" xfId="0" applyFill="1" applyBorder="1" applyAlignment="1"/>
    <xf numFmtId="0" fontId="16" fillId="3" borderId="4" xfId="0" applyFont="1" applyFill="1" applyBorder="1" applyAlignment="1">
      <alignment horizontal="left"/>
    </xf>
    <xf numFmtId="0" fontId="16" fillId="3" borderId="5" xfId="0" applyFont="1" applyFill="1" applyBorder="1" applyAlignment="1">
      <alignment horizontal="left"/>
    </xf>
    <xf numFmtId="0" fontId="0" fillId="0" borderId="6" xfId="0" applyFill="1" applyBorder="1" applyAlignment="1"/>
    <xf numFmtId="0" fontId="17" fillId="4" borderId="0" xfId="0" applyFont="1" applyFill="1" applyBorder="1" applyAlignment="1">
      <alignment horizontal="left"/>
    </xf>
    <xf numFmtId="0" fontId="18" fillId="4" borderId="6" xfId="0" applyFont="1" applyFill="1" applyBorder="1" applyAlignment="1">
      <alignment horizontal="left"/>
    </xf>
    <xf numFmtId="0" fontId="17" fillId="4" borderId="3" xfId="0" applyFont="1" applyFill="1" applyBorder="1" applyAlignment="1">
      <alignment horizontal="left"/>
    </xf>
    <xf numFmtId="0" fontId="19" fillId="3" borderId="5" xfId="0" applyFont="1" applyFill="1" applyBorder="1" applyAlignment="1">
      <alignment horizontal="right"/>
    </xf>
    <xf numFmtId="0" fontId="19" fillId="3" borderId="4" xfId="0" applyFont="1" applyFill="1" applyBorder="1" applyAlignment="1">
      <alignment horizontal="right"/>
    </xf>
    <xf numFmtId="0" fontId="20" fillId="0" borderId="0" xfId="0" applyFont="1" applyFill="1" applyBorder="1" applyAlignment="1">
      <alignment vertical="top" wrapText="1"/>
    </xf>
    <xf numFmtId="187" fontId="0" fillId="0" borderId="0" xfId="0" applyNumberFormat="1" applyFill="1" applyBorder="1" applyAlignment="1"/>
    <xf numFmtId="0" fontId="18" fillId="4" borderId="0" xfId="0" applyFont="1" applyFill="1" applyBorder="1" applyAlignment="1">
      <alignment horizontal="left"/>
    </xf>
    <xf numFmtId="0" fontId="21" fillId="0" borderId="1" xfId="0" applyFont="1" applyBorder="1"/>
    <xf numFmtId="181" fontId="8" fillId="0" borderId="1" xfId="0" applyNumberFormat="1" applyFont="1" applyBorder="1"/>
    <xf numFmtId="0" fontId="14" fillId="0" borderId="1" xfId="0" applyFont="1" applyBorder="1"/>
    <xf numFmtId="4" fontId="8" fillId="0" borderId="1" xfId="0" applyNumberFormat="1" applyFont="1" applyBorder="1"/>
    <xf numFmtId="10" fontId="8" fillId="0" borderId="1" xfId="0" applyNumberFormat="1" applyFont="1" applyBorder="1"/>
    <xf numFmtId="2" fontId="8" fillId="0" borderId="1" xfId="0" applyNumberFormat="1" applyFont="1" applyBorder="1"/>
    <xf numFmtId="0" fontId="8" fillId="5" borderId="1" xfId="0" applyFont="1" applyFill="1" applyBorder="1"/>
    <xf numFmtId="0" fontId="13" fillId="0" borderId="1" xfId="0" applyFont="1" applyBorder="1"/>
    <xf numFmtId="0" fontId="14" fillId="0" borderId="0" xfId="0" applyFont="1" applyBorder="1" applyAlignment="1">
      <alignment horizontal="center"/>
    </xf>
    <xf numFmtId="179" fontId="8" fillId="0" borderId="0" xfId="0" applyNumberFormat="1" applyFont="1" applyBorder="1" applyAlignment="1">
      <alignment horizontal="center" wrapText="1"/>
    </xf>
    <xf numFmtId="0" fontId="8" fillId="0" borderId="0" xfId="0" applyFont="1" applyBorder="1" applyAlignment="1">
      <alignment horizontal="center"/>
    </xf>
    <xf numFmtId="0" fontId="5" fillId="6" borderId="1" xfId="0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wrapText="1"/>
    </xf>
    <xf numFmtId="0" fontId="5" fillId="6" borderId="1" xfId="0" applyFont="1" applyFill="1" applyBorder="1" applyAlignment="1">
      <alignment horizontal="center"/>
    </xf>
    <xf numFmtId="9" fontId="5" fillId="6" borderId="1" xfId="0" applyNumberFormat="1" applyFont="1" applyFill="1" applyBorder="1" applyAlignment="1">
      <alignment horizontal="center"/>
    </xf>
    <xf numFmtId="1" fontId="5" fillId="6" borderId="1" xfId="0" applyNumberFormat="1" applyFont="1" applyFill="1" applyBorder="1" applyAlignment="1">
      <alignment horizontal="center"/>
    </xf>
    <xf numFmtId="1" fontId="6" fillId="6" borderId="1" xfId="0" applyNumberFormat="1" applyFont="1" applyFill="1" applyBorder="1"/>
    <xf numFmtId="0" fontId="0" fillId="6" borderId="1" xfId="0" applyFill="1" applyBorder="1" applyAlignment="1">
      <alignment horizontal="center"/>
    </xf>
    <xf numFmtId="0" fontId="0" fillId="6" borderId="1" xfId="0" applyFill="1" applyBorder="1" applyAlignment="1">
      <alignment horizontal="center" wrapText="1"/>
    </xf>
    <xf numFmtId="1" fontId="0" fillId="6" borderId="1" xfId="0" applyNumberFormat="1" applyFill="1" applyBorder="1" applyAlignment="1">
      <alignment horizontal="center"/>
    </xf>
    <xf numFmtId="0" fontId="14" fillId="6" borderId="1" xfId="0" applyFont="1" applyFill="1" applyBorder="1" applyAlignment="1">
      <alignment horizontal="center"/>
    </xf>
    <xf numFmtId="0" fontId="8" fillId="6" borderId="1" xfId="0" applyFont="1" applyFill="1" applyBorder="1" applyAlignment="1">
      <alignment horizontal="center"/>
    </xf>
    <xf numFmtId="6" fontId="8" fillId="6" borderId="1" xfId="0" applyNumberFormat="1" applyFont="1" applyFill="1" applyBorder="1" applyAlignment="1">
      <alignment horizontal="right"/>
    </xf>
    <xf numFmtId="7" fontId="8" fillId="6" borderId="1" xfId="0" applyNumberFormat="1" applyFont="1" applyFill="1" applyBorder="1" applyAlignment="1">
      <alignment horizontal="right"/>
    </xf>
    <xf numFmtId="0" fontId="8" fillId="6" borderId="1" xfId="0" applyFont="1" applyFill="1" applyBorder="1"/>
    <xf numFmtId="0" fontId="8" fillId="6" borderId="1" xfId="0" applyFont="1" applyFill="1" applyBorder="1" applyAlignment="1">
      <alignment horizontal="center" wrapText="1"/>
    </xf>
    <xf numFmtId="6" fontId="8" fillId="6" borderId="1" xfId="0" applyNumberFormat="1" applyFont="1" applyFill="1" applyBorder="1"/>
    <xf numFmtId="179" fontId="8" fillId="6" borderId="1" xfId="0" applyNumberFormat="1" applyFont="1" applyFill="1" applyBorder="1"/>
    <xf numFmtId="0" fontId="8" fillId="6" borderId="1" xfId="0" applyFont="1" applyFill="1" applyBorder="1" applyAlignment="1">
      <alignment wrapText="1"/>
    </xf>
    <xf numFmtId="6" fontId="8" fillId="6" borderId="1" xfId="0" applyNumberFormat="1" applyFont="1" applyFill="1" applyBorder="1" applyAlignment="1">
      <alignment horizontal="center"/>
    </xf>
    <xf numFmtId="7" fontId="8" fillId="6" borderId="1" xfId="0" applyNumberFormat="1" applyFont="1" applyFill="1" applyBorder="1" applyAlignment="1">
      <alignment horizontal="center"/>
    </xf>
    <xf numFmtId="8" fontId="8" fillId="6" borderId="1" xfId="0" applyNumberFormat="1" applyFont="1" applyFill="1" applyBorder="1" applyAlignment="1">
      <alignment horizontal="center"/>
    </xf>
    <xf numFmtId="6" fontId="14" fillId="6" borderId="1" xfId="0" applyNumberFormat="1" applyFont="1" applyFill="1" applyBorder="1" applyAlignment="1">
      <alignment horizontal="center"/>
    </xf>
    <xf numFmtId="178" fontId="8" fillId="0" borderId="0" xfId="0" applyNumberFormat="1" applyFont="1" applyBorder="1" applyAlignment="1">
      <alignment horizontal="center"/>
    </xf>
    <xf numFmtId="6" fontId="13" fillId="6" borderId="1" xfId="0" applyNumberFormat="1" applyFont="1" applyFill="1" applyBorder="1" applyAlignment="1">
      <alignment horizontal="center"/>
    </xf>
    <xf numFmtId="178" fontId="21" fillId="6" borderId="1" xfId="0" applyNumberFormat="1" applyFont="1" applyFill="1" applyBorder="1" applyAlignment="1">
      <alignment horizontal="center"/>
    </xf>
    <xf numFmtId="9" fontId="21" fillId="6" borderId="1" xfId="0" applyNumberFormat="1" applyFont="1" applyFill="1" applyBorder="1" applyAlignment="1">
      <alignment horizontal="center"/>
    </xf>
    <xf numFmtId="0" fontId="21" fillId="6" borderId="1" xfId="0" applyFont="1" applyFill="1" applyBorder="1" applyAlignment="1">
      <alignment horizontal="center"/>
    </xf>
    <xf numFmtId="8" fontId="21" fillId="6" borderId="1" xfId="0" applyNumberFormat="1" applyFont="1" applyFill="1" applyBorder="1" applyAlignment="1">
      <alignment horizontal="center"/>
    </xf>
    <xf numFmtId="6" fontId="21" fillId="6" borderId="1" xfId="0" applyNumberFormat="1" applyFont="1" applyFill="1" applyBorder="1" applyAlignment="1">
      <alignment horizontal="center"/>
    </xf>
    <xf numFmtId="179" fontId="8" fillId="6" borderId="1" xfId="0" applyNumberFormat="1" applyFont="1" applyFill="1" applyBorder="1" applyAlignment="1">
      <alignment horizontal="center"/>
    </xf>
    <xf numFmtId="1" fontId="8" fillId="6" borderId="1" xfId="0" applyNumberFormat="1" applyFont="1" applyFill="1" applyBorder="1" applyAlignment="1">
      <alignment horizontal="center"/>
    </xf>
    <xf numFmtId="0" fontId="14" fillId="6" borderId="1" xfId="0" applyFont="1" applyFill="1" applyBorder="1"/>
    <xf numFmtId="0" fontId="8" fillId="6" borderId="0" xfId="0" applyFont="1" applyFill="1" applyBorder="1"/>
    <xf numFmtId="0" fontId="8" fillId="6" borderId="0" xfId="0" applyFont="1" applyFill="1"/>
    <xf numFmtId="6" fontId="8" fillId="6" borderId="0" xfId="0" applyNumberFormat="1" applyFont="1" applyFill="1"/>
    <xf numFmtId="178" fontId="8" fillId="6" borderId="1" xfId="0" applyNumberFormat="1" applyFont="1" applyFill="1" applyBorder="1" applyAlignment="1">
      <alignment horizontal="center"/>
    </xf>
    <xf numFmtId="10" fontId="8" fillId="6" borderId="1" xfId="0" applyNumberFormat="1" applyFont="1" applyFill="1" applyBorder="1" applyAlignment="1">
      <alignment horizontal="center"/>
    </xf>
    <xf numFmtId="44" fontId="14" fillId="6" borderId="1" xfId="0" applyNumberFormat="1" applyFont="1" applyFill="1" applyBorder="1"/>
    <xf numFmtId="7" fontId="8" fillId="6" borderId="1" xfId="0" applyNumberFormat="1" applyFont="1" applyFill="1" applyBorder="1"/>
    <xf numFmtId="0" fontId="7" fillId="6" borderId="1" xfId="0" applyFont="1" applyFill="1" applyBorder="1"/>
    <xf numFmtId="37" fontId="8" fillId="6" borderId="1" xfId="0" applyNumberFormat="1" applyFont="1" applyFill="1" applyBorder="1"/>
    <xf numFmtId="44" fontId="14" fillId="6" borderId="1" xfId="0" applyNumberFormat="1" applyFont="1" applyFill="1" applyBorder="1" applyAlignment="1">
      <alignment horizontal="center"/>
    </xf>
    <xf numFmtId="8" fontId="8" fillId="6" borderId="1" xfId="0" applyNumberFormat="1" applyFont="1" applyFill="1" applyBorder="1"/>
    <xf numFmtId="9" fontId="8" fillId="6" borderId="1" xfId="0" applyNumberFormat="1" applyFont="1" applyFill="1" applyBorder="1"/>
    <xf numFmtId="9" fontId="0" fillId="0" borderId="0" xfId="0" applyNumberFormat="1"/>
    <xf numFmtId="4" fontId="0" fillId="0" borderId="0" xfId="0" applyNumberFormat="1" applyAlignment="1">
      <alignment horizontal="center"/>
    </xf>
    <xf numFmtId="0" fontId="7" fillId="6" borderId="0" xfId="0" applyFont="1" applyFill="1"/>
    <xf numFmtId="10" fontId="19" fillId="3" borderId="4" xfId="0" applyNumberFormat="1" applyFont="1" applyFill="1" applyBorder="1" applyAlignment="1">
      <alignment horizontal="right"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/>
    </xf>
    <xf numFmtId="4" fontId="0" fillId="0" borderId="0" xfId="0" applyNumberFormat="1" applyAlignment="1">
      <alignment horizontal="right"/>
    </xf>
    <xf numFmtId="0" fontId="22" fillId="7" borderId="5" xfId="0" applyFont="1" applyFill="1" applyBorder="1" applyAlignment="1">
      <alignment horizontal="left"/>
    </xf>
    <xf numFmtId="0" fontId="23" fillId="7" borderId="5" xfId="0" applyFont="1" applyFill="1" applyBorder="1" applyAlignment="1">
      <alignment horizontal="right"/>
    </xf>
    <xf numFmtId="0" fontId="22" fillId="7" borderId="4" xfId="0" applyFont="1" applyFill="1" applyBorder="1" applyAlignment="1">
      <alignment horizontal="left"/>
    </xf>
    <xf numFmtId="0" fontId="23" fillId="7" borderId="4" xfId="0" applyFont="1" applyFill="1" applyBorder="1" applyAlignment="1">
      <alignment horizontal="right"/>
    </xf>
    <xf numFmtId="9" fontId="24" fillId="8" borderId="0" xfId="0" applyNumberFormat="1" applyFont="1" applyFill="1" applyAlignment="1">
      <alignment horizontal="center"/>
    </xf>
    <xf numFmtId="9" fontId="23" fillId="7" borderId="4" xfId="0" applyNumberFormat="1" applyFont="1" applyFill="1" applyBorder="1" applyAlignment="1">
      <alignment horizontal="right"/>
    </xf>
    <xf numFmtId="9" fontId="0" fillId="9" borderId="1" xfId="0" applyNumberFormat="1" applyFill="1" applyBorder="1" applyAlignment="1"/>
    <xf numFmtId="0" fontId="0" fillId="9" borderId="1" xfId="0" applyFill="1" applyBorder="1" applyAlignment="1">
      <alignment horizontal="center"/>
    </xf>
    <xf numFmtId="0" fontId="0" fillId="9" borderId="1" xfId="0" applyFill="1" applyBorder="1" applyAlignment="1"/>
    <xf numFmtId="0" fontId="0" fillId="9" borderId="1" xfId="0" applyFill="1" applyBorder="1"/>
    <xf numFmtId="9" fontId="0" fillId="9" borderId="1" xfId="0" applyNumberFormat="1" applyFill="1" applyBorder="1" applyAlignment="1">
      <alignment horizontal="center"/>
    </xf>
    <xf numFmtId="4" fontId="0" fillId="9" borderId="1" xfId="0" applyNumberFormat="1" applyFill="1" applyBorder="1" applyAlignment="1">
      <alignment horizontal="center"/>
    </xf>
    <xf numFmtId="9" fontId="0" fillId="9" borderId="1" xfId="0" applyNumberFormat="1" applyFill="1" applyBorder="1"/>
    <xf numFmtId="0" fontId="23" fillId="7" borderId="0" xfId="0" applyFont="1" applyFill="1" applyBorder="1" applyAlignment="1">
      <alignment horizontal="right"/>
    </xf>
    <xf numFmtId="0" fontId="12" fillId="5" borderId="9" xfId="0" applyFont="1" applyFill="1" applyBorder="1" applyAlignment="1">
      <alignment horizontal="center"/>
    </xf>
    <xf numFmtId="0" fontId="12" fillId="5" borderId="10" xfId="0" applyFont="1" applyFill="1" applyBorder="1" applyAlignment="1">
      <alignment horizontal="center"/>
    </xf>
    <xf numFmtId="0" fontId="12" fillId="5" borderId="11" xfId="0" applyFont="1" applyFill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8" fillId="10" borderId="7" xfId="0" applyFont="1" applyFill="1" applyBorder="1" applyAlignment="1">
      <alignment horizontal="center"/>
    </xf>
    <xf numFmtId="0" fontId="8" fillId="10" borderId="6" xfId="0" applyFont="1" applyFill="1" applyBorder="1" applyAlignment="1">
      <alignment horizontal="center"/>
    </xf>
    <xf numFmtId="0" fontId="8" fillId="10" borderId="8" xfId="0" applyFont="1" applyFill="1" applyBorder="1" applyAlignment="1">
      <alignment horizontal="center"/>
    </xf>
    <xf numFmtId="0" fontId="7" fillId="6" borderId="7" xfId="0" applyFont="1" applyFill="1" applyBorder="1" applyAlignment="1">
      <alignment horizontal="center"/>
    </xf>
    <xf numFmtId="0" fontId="7" fillId="6" borderId="6" xfId="0" applyFont="1" applyFill="1" applyBorder="1" applyAlignment="1">
      <alignment horizontal="center"/>
    </xf>
    <xf numFmtId="0" fontId="7" fillId="6" borderId="8" xfId="0" applyFont="1" applyFill="1" applyBorder="1" applyAlignment="1">
      <alignment horizontal="center"/>
    </xf>
    <xf numFmtId="0" fontId="12" fillId="6" borderId="7" xfId="0" applyFont="1" applyFill="1" applyBorder="1" applyAlignment="1">
      <alignment horizontal="center"/>
    </xf>
    <xf numFmtId="0" fontId="12" fillId="6" borderId="6" xfId="0" applyFont="1" applyFill="1" applyBorder="1" applyAlignment="1">
      <alignment horizontal="center"/>
    </xf>
    <xf numFmtId="0" fontId="12" fillId="6" borderId="8" xfId="0" applyFont="1" applyFill="1" applyBorder="1" applyAlignment="1">
      <alignment horizontal="center"/>
    </xf>
    <xf numFmtId="6" fontId="7" fillId="0" borderId="7" xfId="0" applyNumberFormat="1" applyFont="1" applyBorder="1" applyAlignment="1">
      <alignment horizontal="center"/>
    </xf>
    <xf numFmtId="6" fontId="7" fillId="0" borderId="8" xfId="0" applyNumberFormat="1" applyFont="1" applyBorder="1" applyAlignment="1">
      <alignment horizontal="center"/>
    </xf>
    <xf numFmtId="0" fontId="7" fillId="0" borderId="0" xfId="0" applyFont="1" applyBorder="1" applyAlignment="1">
      <alignment horizontal="left" wrapText="1"/>
    </xf>
    <xf numFmtId="0" fontId="7" fillId="0" borderId="7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178" fontId="21" fillId="6" borderId="4" xfId="0" applyNumberFormat="1" applyFont="1" applyFill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2" fillId="6" borderId="7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0" fillId="6" borderId="8" xfId="0" applyFill="1" applyBorder="1" applyAlignment="1">
      <alignment horizontal="center"/>
    </xf>
    <xf numFmtId="0" fontId="9" fillId="6" borderId="7" xfId="0" applyFont="1" applyFill="1" applyBorder="1" applyAlignment="1">
      <alignment horizontal="center"/>
    </xf>
    <xf numFmtId="0" fontId="10" fillId="6" borderId="8" xfId="0" applyFont="1" applyFill="1" applyBorder="1" applyAlignment="1">
      <alignment horizontal="center"/>
    </xf>
  </cellXfs>
  <cellStyles count="2">
    <cellStyle name="Euro" xfId="1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C"/>
  <c:roundedCorners val="1"/>
  <c:chart>
    <c:title>
      <c:layout>
        <c:manualLayout>
          <c:xMode val="edge"/>
          <c:yMode val="edge"/>
          <c:x val="0.46534652556185579"/>
          <c:y val="3.8167938931297711E-2"/>
        </c:manualLayout>
      </c:layout>
      <c:spPr>
        <a:noFill/>
        <a:ln w="25400">
          <a:noFill/>
        </a:ln>
      </c:spPr>
      <c:txPr>
        <a:bodyPr/>
        <a:lstStyle/>
        <a:p>
          <a:pPr>
            <a:defRPr sz="850" b="0" i="0" u="none" strike="noStrike" baseline="0">
              <a:solidFill>
                <a:srgbClr val="000000"/>
              </a:solidFill>
              <a:latin typeface="Bookman Old Style"/>
              <a:ea typeface="Bookman Old Style"/>
              <a:cs typeface="Bookman Old Style"/>
            </a:defRPr>
          </a:pPr>
          <a:endParaRPr lang="es-EC"/>
        </a:p>
      </c:txPr>
    </c:title>
    <c:plotArea>
      <c:layout>
        <c:manualLayout>
          <c:layoutTarget val="inner"/>
          <c:xMode val="edge"/>
          <c:yMode val="edge"/>
          <c:x val="4.5189504373177841E-2"/>
          <c:y val="0.23664166239575082"/>
          <c:w val="0.73469387755102045"/>
          <c:h val="0.58397055397661091"/>
        </c:manualLayout>
      </c:layout>
      <c:scatterChart>
        <c:scatterStyle val="smoothMarker"/>
        <c:ser>
          <c:idx val="0"/>
          <c:order val="0"/>
          <c:tx>
            <c:v>VAN</c:v>
          </c:tx>
          <c:spPr>
            <a:ln w="38100">
              <a:solidFill>
                <a:srgbClr val="99CC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'Resumen de escenario'!$F$6:$N$6</c:f>
              <c:numCache>
                <c:formatCode>0%</c:formatCode>
                <c:ptCount val="9"/>
                <c:pt idx="0">
                  <c:v>-0.25</c:v>
                </c:pt>
                <c:pt idx="1">
                  <c:v>-0.2</c:v>
                </c:pt>
                <c:pt idx="2">
                  <c:v>-0.1</c:v>
                </c:pt>
                <c:pt idx="3">
                  <c:v>-0.05</c:v>
                </c:pt>
                <c:pt idx="4">
                  <c:v>0</c:v>
                </c:pt>
                <c:pt idx="5">
                  <c:v>0.05</c:v>
                </c:pt>
                <c:pt idx="6">
                  <c:v>0.1</c:v>
                </c:pt>
                <c:pt idx="7">
                  <c:v>0.2</c:v>
                </c:pt>
                <c:pt idx="8">
                  <c:v>0.25</c:v>
                </c:pt>
              </c:numCache>
            </c:numRef>
          </c:xVal>
          <c:yVal>
            <c:numRef>
              <c:f>'Resumen de escenario'!$F$8:$N$8</c:f>
              <c:numCache>
                <c:formatCode>#,##0.00</c:formatCode>
                <c:ptCount val="9"/>
                <c:pt idx="0">
                  <c:v>78038.399999999994</c:v>
                </c:pt>
                <c:pt idx="1">
                  <c:v>81849.39</c:v>
                </c:pt>
                <c:pt idx="2">
                  <c:v>89471.37</c:v>
                </c:pt>
                <c:pt idx="3">
                  <c:v>93282.36</c:v>
                </c:pt>
                <c:pt idx="4">
                  <c:v>97093.35</c:v>
                </c:pt>
                <c:pt idx="5">
                  <c:v>100904.34</c:v>
                </c:pt>
                <c:pt idx="6">
                  <c:v>104715.33</c:v>
                </c:pt>
                <c:pt idx="7">
                  <c:v>112337.32</c:v>
                </c:pt>
                <c:pt idx="8">
                  <c:v>116148.31</c:v>
                </c:pt>
              </c:numCache>
            </c:numRef>
          </c:yVal>
          <c:smooth val="1"/>
        </c:ser>
        <c:axId val="177391872"/>
        <c:axId val="177394048"/>
      </c:scatterChart>
      <c:valAx>
        <c:axId val="177391872"/>
        <c:scaling>
          <c:orientation val="minMax"/>
        </c:scaling>
        <c:axPos val="b"/>
        <c:numFmt formatCode="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Bookman Old Style"/>
                <a:ea typeface="Bookman Old Style"/>
                <a:cs typeface="Bookman Old Style"/>
              </a:defRPr>
            </a:pPr>
            <a:endParaRPr lang="es-EC"/>
          </a:p>
        </c:txPr>
        <c:crossAx val="177394048"/>
        <c:crosses val="autoZero"/>
        <c:crossBetween val="midCat"/>
      </c:valAx>
      <c:valAx>
        <c:axId val="17739404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.0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Bookman Old Style"/>
                <a:ea typeface="Bookman Old Style"/>
                <a:cs typeface="Bookman Old Style"/>
              </a:defRPr>
            </a:pPr>
            <a:endParaRPr lang="es-EC"/>
          </a:p>
        </c:txPr>
        <c:crossAx val="177391872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86588921282798836"/>
          <c:y val="0.53053515257157735"/>
          <c:w val="0.95918367346938782"/>
          <c:h val="0.61068782432730251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15" b="0" i="0" u="none" strike="noStrike" baseline="0">
              <a:solidFill>
                <a:srgbClr val="000000"/>
              </a:solidFill>
              <a:latin typeface="Bookman Old Style"/>
              <a:ea typeface="Bookman Old Style"/>
              <a:cs typeface="Bookman Old Style"/>
            </a:defRPr>
          </a:pPr>
          <a:endParaRPr lang="es-EC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Bookman Old Style"/>
          <a:ea typeface="Bookman Old Style"/>
          <a:cs typeface="Bookman Old Style"/>
        </a:defRPr>
      </a:pPr>
      <a:endParaRPr lang="es-EC"/>
    </a:p>
  </c:txPr>
  <c:printSettings>
    <c:headerFooter alignWithMargins="0"/>
    <c:pageMargins b="1" l="0.75" r="0.75" t="1" header="0" footer="0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C"/>
  <c:roundedCorners val="1"/>
  <c:chart>
    <c:title>
      <c:layout>
        <c:manualLayout>
          <c:xMode val="edge"/>
          <c:yMode val="edge"/>
          <c:x val="0.47255371965808124"/>
          <c:y val="4.2372881355932202E-2"/>
        </c:manualLayout>
      </c:layout>
      <c:spPr>
        <a:noFill/>
        <a:ln w="25400">
          <a:noFill/>
        </a:ln>
      </c:spPr>
      <c:txPr>
        <a:bodyPr/>
        <a:lstStyle/>
        <a:p>
          <a:pPr>
            <a:defRPr sz="875" b="0" i="0" u="none" strike="noStrike" baseline="0">
              <a:solidFill>
                <a:srgbClr val="000000"/>
              </a:solidFill>
              <a:latin typeface="Bookman Old Style"/>
              <a:ea typeface="Bookman Old Style"/>
              <a:cs typeface="Bookman Old Style"/>
            </a:defRPr>
          </a:pPr>
          <a:endParaRPr lang="es-EC"/>
        </a:p>
      </c:txPr>
    </c:title>
    <c:plotArea>
      <c:layout>
        <c:manualLayout>
          <c:layoutTarget val="inner"/>
          <c:xMode val="edge"/>
          <c:yMode val="edge"/>
          <c:x val="4.5649072753209702E-2"/>
          <c:y val="0.25847457627118642"/>
          <c:w val="0.75035663338088443"/>
          <c:h val="0.5423728813559322"/>
        </c:manualLayout>
      </c:layout>
      <c:scatterChart>
        <c:scatterStyle val="smoothMarker"/>
        <c:ser>
          <c:idx val="0"/>
          <c:order val="0"/>
          <c:tx>
            <c:v>TIR</c:v>
          </c:tx>
          <c:spPr>
            <a:ln w="38100">
              <a:solidFill>
                <a:srgbClr val="808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80800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'Resumen de escenario'!$H$6:$L$6</c:f>
              <c:numCache>
                <c:formatCode>0%</c:formatCode>
                <c:ptCount val="5"/>
                <c:pt idx="0">
                  <c:v>-0.1</c:v>
                </c:pt>
                <c:pt idx="1">
                  <c:v>-0.05</c:v>
                </c:pt>
                <c:pt idx="2">
                  <c:v>0</c:v>
                </c:pt>
                <c:pt idx="3">
                  <c:v>0.05</c:v>
                </c:pt>
                <c:pt idx="4">
                  <c:v>0.1</c:v>
                </c:pt>
              </c:numCache>
            </c:numRef>
          </c:xVal>
          <c:yVal>
            <c:numRef>
              <c:f>'Resumen de escenario'!$H$9:$L$9</c:f>
              <c:numCache>
                <c:formatCode>0%</c:formatCode>
                <c:ptCount val="5"/>
                <c:pt idx="0">
                  <c:v>0.51</c:v>
                </c:pt>
                <c:pt idx="1">
                  <c:v>0.54</c:v>
                </c:pt>
                <c:pt idx="2">
                  <c:v>0.56000000000000005</c:v>
                </c:pt>
                <c:pt idx="3">
                  <c:v>0.57999999999999996</c:v>
                </c:pt>
                <c:pt idx="4">
                  <c:v>0.6</c:v>
                </c:pt>
              </c:numCache>
            </c:numRef>
          </c:yVal>
          <c:smooth val="1"/>
        </c:ser>
        <c:axId val="177687936"/>
        <c:axId val="177694208"/>
      </c:scatterChart>
      <c:valAx>
        <c:axId val="177687936"/>
        <c:scaling>
          <c:orientation val="minMax"/>
        </c:scaling>
        <c:axPos val="b"/>
        <c:numFmt formatCode="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Bookman Old Style"/>
                <a:ea typeface="Bookman Old Style"/>
                <a:cs typeface="Bookman Old Style"/>
              </a:defRPr>
            </a:pPr>
            <a:endParaRPr lang="es-EC"/>
          </a:p>
        </c:txPr>
        <c:crossAx val="177694208"/>
        <c:crosses val="autoZero"/>
        <c:crossBetween val="midCat"/>
      </c:valAx>
      <c:valAx>
        <c:axId val="17769420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Bookman Old Style"/>
                <a:ea typeface="Bookman Old Style"/>
                <a:cs typeface="Bookman Old Style"/>
              </a:defRPr>
            </a:pPr>
            <a:endParaRPr lang="es-EC"/>
          </a:p>
        </c:txPr>
        <c:crossAx val="177687936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87874465049928674"/>
          <c:y val="0.48728813559322032"/>
          <c:w val="0.96433666191155498"/>
          <c:h val="0.57627118644067798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40" b="0" i="0" u="none" strike="noStrike" baseline="0">
              <a:solidFill>
                <a:srgbClr val="000000"/>
              </a:solidFill>
              <a:latin typeface="Bookman Old Style"/>
              <a:ea typeface="Bookman Old Style"/>
              <a:cs typeface="Bookman Old Style"/>
            </a:defRPr>
          </a:pPr>
          <a:endParaRPr lang="es-EC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Bookman Old Style"/>
          <a:ea typeface="Bookman Old Style"/>
          <a:cs typeface="Bookman Old Style"/>
        </a:defRPr>
      </a:pPr>
      <a:endParaRPr lang="es-EC"/>
    </a:p>
  </c:txPr>
  <c:printSettings>
    <c:headerFooter alignWithMargins="0"/>
    <c:pageMargins b="1" l="0.75" r="0.75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C"/>
  <c:roundedCorners val="1"/>
  <c:chart>
    <c:title>
      <c:tx>
        <c:rich>
          <a:bodyPr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Bookman Old Style"/>
                <a:ea typeface="Bookman Old Style"/>
                <a:cs typeface="Bookman Old Style"/>
              </a:defRPr>
            </a:pPr>
            <a:r>
              <a:t>TMAR VS VAN</a:t>
            </a:r>
          </a:p>
        </c:rich>
      </c:tx>
      <c:layout>
        <c:manualLayout>
          <c:xMode val="edge"/>
          <c:yMode val="edge"/>
          <c:x val="0.46534652893158995"/>
          <c:y val="3.8167938931297711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7.6732673267326773E-2"/>
          <c:y val="0.23664166239575082"/>
          <c:w val="0.67821782178217849"/>
          <c:h val="0.58397055397661068"/>
        </c:manualLayout>
      </c:layout>
      <c:scatterChart>
        <c:scatterStyle val="smoothMarker"/>
        <c:ser>
          <c:idx val="0"/>
          <c:order val="0"/>
          <c:spPr>
            <a:ln w="38100">
              <a:solidFill>
                <a:srgbClr val="99CC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'Resumen de escenario con TMAR'!$E$6:$K$6</c:f>
              <c:numCache>
                <c:formatCode>0.00%</c:formatCode>
                <c:ptCount val="7"/>
                <c:pt idx="0">
                  <c:v>0.20399999999999999</c:v>
                </c:pt>
                <c:pt idx="1">
                  <c:v>0.19400000000000001</c:v>
                </c:pt>
                <c:pt idx="2">
                  <c:v>0.184</c:v>
                </c:pt>
                <c:pt idx="3">
                  <c:v>0.17399999999999999</c:v>
                </c:pt>
                <c:pt idx="4">
                  <c:v>0.16400000000000001</c:v>
                </c:pt>
                <c:pt idx="5">
                  <c:v>0.154</c:v>
                </c:pt>
                <c:pt idx="6">
                  <c:v>0.14399999999999999</c:v>
                </c:pt>
              </c:numCache>
            </c:numRef>
          </c:xVal>
          <c:yVal>
            <c:numRef>
              <c:f>'Resumen de escenario con TMAR'!$E$8:$K$8</c:f>
              <c:numCache>
                <c:formatCode>#,##0.00</c:formatCode>
                <c:ptCount val="7"/>
                <c:pt idx="0">
                  <c:v>83755.789999999994</c:v>
                </c:pt>
                <c:pt idx="1">
                  <c:v>88022.65</c:v>
                </c:pt>
                <c:pt idx="2">
                  <c:v>92465.4</c:v>
                </c:pt>
                <c:pt idx="3">
                  <c:v>97093.35</c:v>
                </c:pt>
                <c:pt idx="4">
                  <c:v>101916.4</c:v>
                </c:pt>
                <c:pt idx="5">
                  <c:v>106945.07</c:v>
                </c:pt>
                <c:pt idx="6">
                  <c:v>112190.6</c:v>
                </c:pt>
              </c:numCache>
            </c:numRef>
          </c:yVal>
          <c:smooth val="1"/>
        </c:ser>
        <c:axId val="182023296"/>
        <c:axId val="182025216"/>
      </c:scatterChart>
      <c:valAx>
        <c:axId val="182023296"/>
        <c:scaling>
          <c:orientation val="minMax"/>
        </c:scaling>
        <c:axPos val="b"/>
        <c:numFmt formatCode="0.0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Bookman Old Style"/>
                <a:ea typeface="Bookman Old Style"/>
                <a:cs typeface="Bookman Old Style"/>
              </a:defRPr>
            </a:pPr>
            <a:endParaRPr lang="es-EC"/>
          </a:p>
        </c:txPr>
        <c:crossAx val="182025216"/>
        <c:crosses val="autoZero"/>
        <c:crossBetween val="midCat"/>
      </c:valAx>
      <c:valAx>
        <c:axId val="18202521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.0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Bookman Old Style"/>
                <a:ea typeface="Bookman Old Style"/>
                <a:cs typeface="Bookman Old Style"/>
              </a:defRPr>
            </a:pPr>
            <a:endParaRPr lang="es-EC"/>
          </a:p>
        </c:txPr>
        <c:crossAx val="182023296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Bookman Old Style"/>
          <a:ea typeface="Bookman Old Style"/>
          <a:cs typeface="Bookman Old Style"/>
        </a:defRPr>
      </a:pPr>
      <a:endParaRPr lang="es-EC"/>
    </a:p>
  </c:txPr>
  <c:printSettings>
    <c:headerFooter alignWithMargins="0"/>
    <c:pageMargins b="1" l="0.75000000000000022" r="0.75000000000000022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381000</xdr:colOff>
      <xdr:row>14</xdr:row>
      <xdr:rowOff>104775</xdr:rowOff>
    </xdr:from>
    <xdr:to>
      <xdr:col>10</xdr:col>
      <xdr:colOff>228600</xdr:colOff>
      <xdr:row>27</xdr:row>
      <xdr:rowOff>123825</xdr:rowOff>
    </xdr:to>
    <xdr:graphicFrame macro="">
      <xdr:nvGraphicFramePr>
        <xdr:cNvPr id="108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390525</xdr:colOff>
      <xdr:row>28</xdr:row>
      <xdr:rowOff>152400</xdr:rowOff>
    </xdr:from>
    <xdr:to>
      <xdr:col>10</xdr:col>
      <xdr:colOff>381000</xdr:colOff>
      <xdr:row>40</xdr:row>
      <xdr:rowOff>114300</xdr:rowOff>
    </xdr:to>
    <xdr:graphicFrame macro="">
      <xdr:nvGraphicFramePr>
        <xdr:cNvPr id="1088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381000</xdr:colOff>
      <xdr:row>14</xdr:row>
      <xdr:rowOff>104775</xdr:rowOff>
    </xdr:from>
    <xdr:to>
      <xdr:col>8</xdr:col>
      <xdr:colOff>676275</xdr:colOff>
      <xdr:row>27</xdr:row>
      <xdr:rowOff>123825</xdr:rowOff>
    </xdr:to>
    <xdr:graphicFrame macro="">
      <xdr:nvGraphicFramePr>
        <xdr:cNvPr id="6451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112"/>
  <sheetViews>
    <sheetView topLeftCell="A12" workbookViewId="0">
      <selection activeCell="I84" sqref="I84"/>
    </sheetView>
  </sheetViews>
  <sheetFormatPr baseColWidth="10" defaultColWidth="11" defaultRowHeight="15"/>
  <cols>
    <col min="1" max="1" width="11" style="16"/>
    <col min="2" max="2" width="34.7109375" style="16" customWidth="1"/>
    <col min="3" max="3" width="22.42578125" style="16" customWidth="1"/>
    <col min="4" max="4" width="23.85546875" style="16" customWidth="1"/>
    <col min="5" max="5" width="28.28515625" style="16" customWidth="1"/>
    <col min="6" max="6" width="23.28515625" style="16" customWidth="1"/>
    <col min="7" max="7" width="15.7109375" style="16" customWidth="1"/>
    <col min="8" max="8" width="9.140625" style="16" customWidth="1"/>
    <col min="9" max="9" width="12.42578125" style="16" customWidth="1"/>
    <col min="10" max="10" width="12.140625" style="16" customWidth="1"/>
    <col min="11" max="12" width="11" style="16"/>
    <col min="13" max="13" width="27.42578125" style="16" bestFit="1" customWidth="1"/>
    <col min="14" max="14" width="22" style="16" customWidth="1"/>
    <col min="15" max="16384" width="11" style="16"/>
  </cols>
  <sheetData>
    <row r="1" spans="2:14" ht="15.75" thickBot="1"/>
    <row r="2" spans="2:14" ht="20.25" customHeight="1" thickBot="1">
      <c r="B2" s="144" t="s">
        <v>11</v>
      </c>
      <c r="C2" s="145"/>
      <c r="D2" s="145"/>
      <c r="E2" s="145"/>
      <c r="F2" s="145"/>
      <c r="G2" s="145"/>
      <c r="H2" s="145"/>
      <c r="I2" s="145"/>
      <c r="J2" s="146"/>
      <c r="M2" s="32" t="s">
        <v>156</v>
      </c>
    </row>
    <row r="3" spans="2:14" ht="28.5" customHeight="1">
      <c r="B3" s="49" t="s">
        <v>0</v>
      </c>
      <c r="C3" s="50" t="s">
        <v>3</v>
      </c>
      <c r="D3" s="51" t="s">
        <v>228</v>
      </c>
      <c r="E3" s="52" t="s">
        <v>6</v>
      </c>
      <c r="F3" s="52" t="s">
        <v>227</v>
      </c>
      <c r="G3" s="52" t="s">
        <v>7</v>
      </c>
      <c r="H3" s="52" t="s">
        <v>8</v>
      </c>
      <c r="I3" s="53" t="s">
        <v>9</v>
      </c>
      <c r="J3" s="52" t="s">
        <v>10</v>
      </c>
      <c r="M3" s="18" t="s">
        <v>157</v>
      </c>
      <c r="N3" s="18" t="s">
        <v>158</v>
      </c>
    </row>
    <row r="4" spans="2:14">
      <c r="B4" s="18" t="s">
        <v>130</v>
      </c>
      <c r="C4" s="18" t="s">
        <v>4</v>
      </c>
      <c r="D4" s="18">
        <v>1</v>
      </c>
      <c r="E4" s="22">
        <v>450</v>
      </c>
      <c r="F4" s="22">
        <f>E4*12</f>
        <v>5400</v>
      </c>
      <c r="G4" s="22">
        <f t="shared" ref="G4:G10" si="0">E4</f>
        <v>450</v>
      </c>
      <c r="H4" s="22">
        <v>240</v>
      </c>
      <c r="I4" s="22">
        <f t="shared" ref="I4:I9" si="1">E4/2</f>
        <v>225</v>
      </c>
      <c r="J4" s="22">
        <f>(F4+G4+H4+I4)</f>
        <v>6315</v>
      </c>
      <c r="M4" s="18" t="s">
        <v>130</v>
      </c>
      <c r="N4" s="22">
        <f>E4</f>
        <v>450</v>
      </c>
    </row>
    <row r="5" spans="2:14">
      <c r="B5" s="18" t="s">
        <v>131</v>
      </c>
      <c r="C5" s="18" t="s">
        <v>4</v>
      </c>
      <c r="D5" s="18">
        <v>1</v>
      </c>
      <c r="E5" s="22">
        <v>300</v>
      </c>
      <c r="F5" s="22">
        <f t="shared" ref="F5:F11" si="2">E5*12</f>
        <v>3600</v>
      </c>
      <c r="G5" s="22">
        <f t="shared" si="0"/>
        <v>300</v>
      </c>
      <c r="H5" s="22">
        <v>240</v>
      </c>
      <c r="I5" s="22">
        <f t="shared" si="1"/>
        <v>150</v>
      </c>
      <c r="J5" s="22">
        <f t="shared" ref="J5:J11" si="3">(F5+G5+H5+I5)</f>
        <v>4290</v>
      </c>
      <c r="M5" s="18" t="s">
        <v>131</v>
      </c>
      <c r="N5" s="22">
        <f t="shared" ref="N5:N10" si="4">E5</f>
        <v>300</v>
      </c>
    </row>
    <row r="6" spans="2:14">
      <c r="B6" s="18" t="s">
        <v>132</v>
      </c>
      <c r="C6" s="18" t="s">
        <v>5</v>
      </c>
      <c r="D6" s="18">
        <v>1</v>
      </c>
      <c r="E6" s="22">
        <v>300</v>
      </c>
      <c r="F6" s="22">
        <f t="shared" si="2"/>
        <v>3600</v>
      </c>
      <c r="G6" s="22">
        <f t="shared" si="0"/>
        <v>300</v>
      </c>
      <c r="H6" s="22">
        <v>240</v>
      </c>
      <c r="I6" s="22">
        <f t="shared" si="1"/>
        <v>150</v>
      </c>
      <c r="J6" s="22">
        <f t="shared" si="3"/>
        <v>4290</v>
      </c>
      <c r="M6" s="18" t="s">
        <v>132</v>
      </c>
      <c r="N6" s="22">
        <f t="shared" si="4"/>
        <v>300</v>
      </c>
    </row>
    <row r="7" spans="2:14">
      <c r="B7" s="18" t="s">
        <v>133</v>
      </c>
      <c r="C7" s="18" t="s">
        <v>4</v>
      </c>
      <c r="D7" s="18">
        <v>1</v>
      </c>
      <c r="E7" s="22">
        <v>250</v>
      </c>
      <c r="F7" s="22">
        <f t="shared" si="2"/>
        <v>3000</v>
      </c>
      <c r="G7" s="22">
        <f t="shared" si="0"/>
        <v>250</v>
      </c>
      <c r="H7" s="22">
        <v>240</v>
      </c>
      <c r="I7" s="22">
        <f t="shared" si="1"/>
        <v>125</v>
      </c>
      <c r="J7" s="22">
        <f t="shared" si="3"/>
        <v>3615</v>
      </c>
      <c r="M7" s="18" t="s">
        <v>133</v>
      </c>
      <c r="N7" s="22">
        <f t="shared" si="4"/>
        <v>250</v>
      </c>
    </row>
    <row r="8" spans="2:14">
      <c r="B8" s="18" t="s">
        <v>134</v>
      </c>
      <c r="C8" s="18" t="s">
        <v>4</v>
      </c>
      <c r="D8" s="18">
        <v>1</v>
      </c>
      <c r="E8" s="22">
        <v>250</v>
      </c>
      <c r="F8" s="22">
        <f t="shared" si="2"/>
        <v>3000</v>
      </c>
      <c r="G8" s="22">
        <f t="shared" si="0"/>
        <v>250</v>
      </c>
      <c r="H8" s="22">
        <v>240</v>
      </c>
      <c r="I8" s="22">
        <f t="shared" si="1"/>
        <v>125</v>
      </c>
      <c r="J8" s="22">
        <f t="shared" si="3"/>
        <v>3615</v>
      </c>
      <c r="M8" s="18" t="s">
        <v>134</v>
      </c>
      <c r="N8" s="22">
        <f t="shared" si="4"/>
        <v>250</v>
      </c>
    </row>
    <row r="9" spans="2:14">
      <c r="B9" s="18" t="s">
        <v>135</v>
      </c>
      <c r="C9" s="18" t="s">
        <v>4</v>
      </c>
      <c r="D9" s="18">
        <v>2</v>
      </c>
      <c r="E9" s="22">
        <v>500</v>
      </c>
      <c r="F9" s="22">
        <f t="shared" si="2"/>
        <v>6000</v>
      </c>
      <c r="G9" s="22">
        <f t="shared" si="0"/>
        <v>500</v>
      </c>
      <c r="H9" s="22">
        <v>240</v>
      </c>
      <c r="I9" s="22">
        <f t="shared" si="1"/>
        <v>250</v>
      </c>
      <c r="J9" s="22">
        <f t="shared" si="3"/>
        <v>6990</v>
      </c>
      <c r="M9" s="18" t="s">
        <v>135</v>
      </c>
      <c r="N9" s="22">
        <f t="shared" si="4"/>
        <v>500</v>
      </c>
    </row>
    <row r="10" spans="2:14">
      <c r="B10" s="18" t="s">
        <v>1</v>
      </c>
      <c r="C10" s="18" t="s">
        <v>5</v>
      </c>
      <c r="D10" s="18">
        <v>1</v>
      </c>
      <c r="E10" s="22">
        <v>350</v>
      </c>
      <c r="F10" s="22">
        <f t="shared" si="2"/>
        <v>4200</v>
      </c>
      <c r="G10" s="22">
        <f t="shared" si="0"/>
        <v>350</v>
      </c>
      <c r="H10" s="22">
        <v>240</v>
      </c>
      <c r="I10" s="22">
        <v>250</v>
      </c>
      <c r="J10" s="22">
        <f t="shared" si="3"/>
        <v>5040</v>
      </c>
      <c r="M10" s="18" t="s">
        <v>1</v>
      </c>
      <c r="N10" s="22">
        <f t="shared" si="4"/>
        <v>350</v>
      </c>
    </row>
    <row r="11" spans="2:14">
      <c r="B11" s="18" t="s">
        <v>2</v>
      </c>
      <c r="C11" s="18" t="s">
        <v>5</v>
      </c>
      <c r="D11" s="18">
        <v>2</v>
      </c>
      <c r="E11" s="22">
        <v>300</v>
      </c>
      <c r="F11" s="22">
        <f t="shared" si="2"/>
        <v>3600</v>
      </c>
      <c r="G11" s="22">
        <v>0</v>
      </c>
      <c r="H11" s="22">
        <v>0</v>
      </c>
      <c r="I11" s="22">
        <v>0</v>
      </c>
      <c r="J11" s="22">
        <f t="shared" si="3"/>
        <v>3600</v>
      </c>
      <c r="M11" s="26" t="s">
        <v>159</v>
      </c>
      <c r="N11" s="22">
        <f>N13-N12</f>
        <v>2175.6</v>
      </c>
    </row>
    <row r="12" spans="2:14">
      <c r="B12" s="18" t="s">
        <v>57</v>
      </c>
      <c r="C12" s="18"/>
      <c r="D12" s="18">
        <f t="shared" ref="D12:I12" si="5">SUM(D4:D11)</f>
        <v>10</v>
      </c>
      <c r="E12" s="22">
        <f>SUM(E4:E11)</f>
        <v>2700</v>
      </c>
      <c r="F12" s="22">
        <f>SUM(F4:F11)</f>
        <v>32400</v>
      </c>
      <c r="G12" s="22">
        <f t="shared" si="5"/>
        <v>2400</v>
      </c>
      <c r="H12" s="22">
        <f t="shared" si="5"/>
        <v>1680</v>
      </c>
      <c r="I12" s="22">
        <f t="shared" si="5"/>
        <v>1275</v>
      </c>
      <c r="J12" s="22">
        <f>(F12+G12+H12+I12)</f>
        <v>37755</v>
      </c>
      <c r="M12" s="26" t="s">
        <v>160</v>
      </c>
      <c r="N12" s="22">
        <f>N13*0.0935</f>
        <v>224.4</v>
      </c>
    </row>
    <row r="13" spans="2:14">
      <c r="M13" s="26" t="s">
        <v>57</v>
      </c>
      <c r="N13" s="22">
        <f>SUM(N4:N10)</f>
        <v>2400</v>
      </c>
    </row>
    <row r="14" spans="2:14">
      <c r="B14" s="16" t="s">
        <v>30</v>
      </c>
    </row>
    <row r="15" spans="2:14" ht="14.25" customHeight="1">
      <c r="B15" s="16" t="s">
        <v>31</v>
      </c>
      <c r="G15" s="16" t="s">
        <v>19</v>
      </c>
    </row>
    <row r="16" spans="2:14">
      <c r="B16" s="149" t="s">
        <v>41</v>
      </c>
      <c r="C16" s="150"/>
      <c r="D16" s="150"/>
      <c r="E16" s="151"/>
    </row>
    <row r="17" spans="2:6">
      <c r="B17" s="18" t="s">
        <v>32</v>
      </c>
      <c r="C17" s="22">
        <v>1350</v>
      </c>
      <c r="D17" s="18" t="s">
        <v>35</v>
      </c>
      <c r="E17" s="18"/>
    </row>
    <row r="18" spans="2:6">
      <c r="B18" s="18" t="s">
        <v>36</v>
      </c>
      <c r="C18" s="22">
        <v>1058</v>
      </c>
      <c r="D18" s="18" t="s">
        <v>37</v>
      </c>
      <c r="E18" s="18"/>
    </row>
    <row r="19" spans="2:6">
      <c r="B19" s="18" t="s">
        <v>33</v>
      </c>
      <c r="C19" s="22">
        <v>395</v>
      </c>
      <c r="D19" s="18" t="s">
        <v>40</v>
      </c>
      <c r="E19" s="18"/>
    </row>
    <row r="20" spans="2:6">
      <c r="B20" s="18" t="s">
        <v>34</v>
      </c>
      <c r="C20" s="22">
        <v>25840</v>
      </c>
      <c r="D20" s="18" t="s">
        <v>38</v>
      </c>
      <c r="E20" s="18"/>
    </row>
    <row r="21" spans="2:6">
      <c r="B21" s="26" t="s">
        <v>68</v>
      </c>
      <c r="C21" s="22">
        <v>23520</v>
      </c>
      <c r="D21" s="26" t="s">
        <v>222</v>
      </c>
      <c r="E21" s="18"/>
    </row>
    <row r="22" spans="2:6">
      <c r="B22" s="18" t="s">
        <v>151</v>
      </c>
      <c r="C22" s="22">
        <f>SUM(C17:C21)</f>
        <v>52163</v>
      </c>
      <c r="D22" s="147"/>
      <c r="E22" s="148"/>
    </row>
    <row r="23" spans="2:6">
      <c r="B23" s="18" t="s">
        <v>16</v>
      </c>
      <c r="C23" s="31">
        <v>36</v>
      </c>
      <c r="D23" s="34">
        <v>760</v>
      </c>
      <c r="E23" s="21">
        <f>C23*D23</f>
        <v>27360</v>
      </c>
      <c r="F23" s="16" t="s">
        <v>39</v>
      </c>
    </row>
    <row r="24" spans="2:6">
      <c r="B24" s="27"/>
      <c r="C24" s="35"/>
      <c r="D24" s="36"/>
      <c r="E24" s="37"/>
    </row>
    <row r="25" spans="2:6">
      <c r="B25" s="33"/>
      <c r="C25" s="35"/>
      <c r="D25" s="36"/>
      <c r="E25" s="37"/>
    </row>
    <row r="26" spans="2:6" ht="20.25">
      <c r="B26" s="155" t="s">
        <v>125</v>
      </c>
      <c r="C26" s="156"/>
      <c r="D26" s="156"/>
      <c r="E26" s="157"/>
    </row>
    <row r="27" spans="2:6">
      <c r="B27" s="92" t="s">
        <v>12</v>
      </c>
      <c r="C27" s="96" t="s">
        <v>13</v>
      </c>
      <c r="D27" s="92" t="s">
        <v>14</v>
      </c>
      <c r="E27" s="92" t="s">
        <v>15</v>
      </c>
    </row>
    <row r="28" spans="2:6">
      <c r="B28" s="92" t="s">
        <v>17</v>
      </c>
      <c r="C28" s="97">
        <v>45</v>
      </c>
      <c r="D28" s="89">
        <v>8</v>
      </c>
      <c r="E28" s="98">
        <f t="shared" ref="E28:E45" si="6">C28*D28</f>
        <v>360</v>
      </c>
    </row>
    <row r="29" spans="2:6">
      <c r="B29" s="92" t="s">
        <v>18</v>
      </c>
      <c r="C29" s="97">
        <v>5</v>
      </c>
      <c r="D29" s="89">
        <v>120</v>
      </c>
      <c r="E29" s="98">
        <f t="shared" si="6"/>
        <v>600</v>
      </c>
    </row>
    <row r="30" spans="2:6">
      <c r="B30" s="92" t="s">
        <v>22</v>
      </c>
      <c r="C30" s="97">
        <v>850</v>
      </c>
      <c r="D30" s="89">
        <v>2</v>
      </c>
      <c r="E30" s="98">
        <f t="shared" si="6"/>
        <v>1700</v>
      </c>
    </row>
    <row r="31" spans="2:6">
      <c r="B31" s="92" t="s">
        <v>28</v>
      </c>
      <c r="C31" s="97">
        <v>1.55</v>
      </c>
      <c r="D31" s="89">
        <v>10</v>
      </c>
      <c r="E31" s="98">
        <f t="shared" si="6"/>
        <v>15.5</v>
      </c>
    </row>
    <row r="32" spans="2:6">
      <c r="B32" s="92" t="s">
        <v>20</v>
      </c>
      <c r="C32" s="97">
        <v>15</v>
      </c>
      <c r="D32" s="89">
        <v>10</v>
      </c>
      <c r="E32" s="98">
        <f t="shared" si="6"/>
        <v>150</v>
      </c>
    </row>
    <row r="33" spans="2:6">
      <c r="B33" s="92" t="s">
        <v>21</v>
      </c>
      <c r="C33" s="99">
        <v>0.65</v>
      </c>
      <c r="D33" s="89">
        <v>20</v>
      </c>
      <c r="E33" s="98">
        <f t="shared" si="6"/>
        <v>13</v>
      </c>
    </row>
    <row r="34" spans="2:6">
      <c r="B34" s="92" t="s">
        <v>23</v>
      </c>
      <c r="C34" s="97">
        <v>112</v>
      </c>
      <c r="D34" s="89">
        <v>3</v>
      </c>
      <c r="E34" s="98">
        <f t="shared" si="6"/>
        <v>336</v>
      </c>
    </row>
    <row r="35" spans="2:6">
      <c r="B35" s="92" t="s">
        <v>25</v>
      </c>
      <c r="C35" s="97">
        <v>84</v>
      </c>
      <c r="D35" s="89">
        <v>4</v>
      </c>
      <c r="E35" s="98">
        <f t="shared" si="6"/>
        <v>336</v>
      </c>
    </row>
    <row r="36" spans="2:6">
      <c r="B36" s="92" t="s">
        <v>24</v>
      </c>
      <c r="C36" s="97">
        <v>38</v>
      </c>
      <c r="D36" s="89">
        <v>2</v>
      </c>
      <c r="E36" s="98">
        <f t="shared" si="6"/>
        <v>76</v>
      </c>
    </row>
    <row r="37" spans="2:6">
      <c r="B37" s="92" t="s">
        <v>26</v>
      </c>
      <c r="C37" s="97">
        <v>130</v>
      </c>
      <c r="D37" s="89">
        <v>2</v>
      </c>
      <c r="E37" s="98">
        <f t="shared" si="6"/>
        <v>260</v>
      </c>
    </row>
    <row r="38" spans="2:6">
      <c r="B38" s="92" t="s">
        <v>139</v>
      </c>
      <c r="C38" s="97">
        <v>515</v>
      </c>
      <c r="D38" s="89">
        <v>1</v>
      </c>
      <c r="E38" s="98">
        <f t="shared" si="6"/>
        <v>515</v>
      </c>
    </row>
    <row r="39" spans="2:6">
      <c r="B39" s="92" t="s">
        <v>27</v>
      </c>
      <c r="C39" s="97">
        <v>520</v>
      </c>
      <c r="D39" s="89">
        <v>1</v>
      </c>
      <c r="E39" s="98">
        <f t="shared" si="6"/>
        <v>520</v>
      </c>
    </row>
    <row r="40" spans="2:6">
      <c r="B40" s="92" t="s">
        <v>29</v>
      </c>
      <c r="C40" s="97">
        <v>600</v>
      </c>
      <c r="D40" s="89">
        <v>1</v>
      </c>
      <c r="E40" s="98">
        <f t="shared" si="6"/>
        <v>600</v>
      </c>
    </row>
    <row r="41" spans="2:6">
      <c r="B41" s="92" t="s">
        <v>120</v>
      </c>
      <c r="C41" s="97">
        <v>170</v>
      </c>
      <c r="D41" s="89">
        <v>1</v>
      </c>
      <c r="E41" s="98">
        <f t="shared" si="6"/>
        <v>170</v>
      </c>
      <c r="F41" s="38"/>
    </row>
    <row r="42" spans="2:6">
      <c r="B42" s="92" t="s">
        <v>121</v>
      </c>
      <c r="C42" s="97">
        <v>80</v>
      </c>
      <c r="D42" s="89">
        <v>2</v>
      </c>
      <c r="E42" s="98">
        <f t="shared" si="6"/>
        <v>160</v>
      </c>
      <c r="F42" s="38"/>
    </row>
    <row r="43" spans="2:6">
      <c r="B43" s="92" t="s">
        <v>122</v>
      </c>
      <c r="C43" s="97">
        <v>245</v>
      </c>
      <c r="D43" s="89">
        <v>1</v>
      </c>
      <c r="E43" s="98">
        <f t="shared" si="6"/>
        <v>245</v>
      </c>
      <c r="F43" s="38"/>
    </row>
    <row r="44" spans="2:6">
      <c r="B44" s="92" t="s">
        <v>123</v>
      </c>
      <c r="C44" s="97">
        <v>85</v>
      </c>
      <c r="D44" s="89">
        <v>3</v>
      </c>
      <c r="E44" s="98">
        <f t="shared" si="6"/>
        <v>255</v>
      </c>
      <c r="F44" s="38"/>
    </row>
    <row r="45" spans="2:6">
      <c r="B45" s="92" t="s">
        <v>242</v>
      </c>
      <c r="C45" s="97">
        <v>492</v>
      </c>
      <c r="D45" s="89">
        <v>1</v>
      </c>
      <c r="E45" s="98">
        <f t="shared" si="6"/>
        <v>492</v>
      </c>
      <c r="F45" s="38"/>
    </row>
    <row r="46" spans="2:6">
      <c r="B46" s="92" t="s">
        <v>124</v>
      </c>
      <c r="C46" s="92"/>
      <c r="D46" s="92"/>
      <c r="E46" s="98">
        <f>SUM(E28:E45)</f>
        <v>6803.5</v>
      </c>
      <c r="F46" s="38"/>
    </row>
    <row r="47" spans="2:6">
      <c r="B47" s="33"/>
      <c r="C47" s="33"/>
      <c r="D47" s="33"/>
      <c r="E47" s="37"/>
      <c r="F47" s="38"/>
    </row>
    <row r="48" spans="2:6">
      <c r="B48" s="33"/>
      <c r="C48" s="33"/>
      <c r="D48" s="33"/>
      <c r="E48" s="39"/>
    </row>
    <row r="49" spans="2:8" ht="19.5">
      <c r="B49" s="33"/>
      <c r="C49" s="118" t="s">
        <v>70</v>
      </c>
      <c r="D49" s="92"/>
      <c r="E49" s="119">
        <v>12</v>
      </c>
      <c r="F49" s="92"/>
      <c r="G49" s="92"/>
    </row>
    <row r="50" spans="2:8">
      <c r="B50" s="33"/>
      <c r="C50" s="88"/>
      <c r="D50" s="88" t="s">
        <v>71</v>
      </c>
      <c r="E50" s="120" t="s">
        <v>113</v>
      </c>
      <c r="F50" s="88" t="s">
        <v>76</v>
      </c>
      <c r="G50" s="88" t="s">
        <v>63</v>
      </c>
    </row>
    <row r="51" spans="2:8">
      <c r="B51" s="33"/>
      <c r="C51" s="89" t="s">
        <v>72</v>
      </c>
      <c r="D51" s="89">
        <v>700</v>
      </c>
      <c r="E51" s="99">
        <v>0.85</v>
      </c>
      <c r="F51" s="99">
        <f t="shared" ref="F51:F56" si="7">D51*E51</f>
        <v>595</v>
      </c>
      <c r="G51" s="114">
        <f t="shared" ref="G51:G56" si="8">F51*$E$49</f>
        <v>7140</v>
      </c>
    </row>
    <row r="52" spans="2:8">
      <c r="B52" s="33"/>
      <c r="C52" s="89" t="s">
        <v>73</v>
      </c>
      <c r="D52" s="89">
        <v>600</v>
      </c>
      <c r="E52" s="99">
        <v>0.3</v>
      </c>
      <c r="F52" s="99">
        <f t="shared" si="7"/>
        <v>180</v>
      </c>
      <c r="G52" s="114">
        <f t="shared" si="8"/>
        <v>2160</v>
      </c>
    </row>
    <row r="53" spans="2:8">
      <c r="B53" s="33"/>
      <c r="C53" s="89" t="s">
        <v>74</v>
      </c>
      <c r="D53" s="89">
        <v>1050</v>
      </c>
      <c r="E53" s="99">
        <v>0.63</v>
      </c>
      <c r="F53" s="99">
        <f t="shared" si="7"/>
        <v>661.5</v>
      </c>
      <c r="G53" s="114">
        <f t="shared" si="8"/>
        <v>7938</v>
      </c>
    </row>
    <row r="54" spans="2:8">
      <c r="B54" s="33"/>
      <c r="C54" s="89" t="s">
        <v>75</v>
      </c>
      <c r="D54" s="89">
        <v>1400</v>
      </c>
      <c r="E54" s="99">
        <v>0.22</v>
      </c>
      <c r="F54" s="99">
        <f t="shared" si="7"/>
        <v>308</v>
      </c>
      <c r="G54" s="114">
        <f t="shared" si="8"/>
        <v>3696</v>
      </c>
    </row>
    <row r="55" spans="2:8">
      <c r="B55" s="33"/>
      <c r="C55" s="89" t="s">
        <v>136</v>
      </c>
      <c r="D55" s="89">
        <v>900</v>
      </c>
      <c r="E55" s="99">
        <v>0.28000000000000003</v>
      </c>
      <c r="F55" s="99">
        <f t="shared" si="7"/>
        <v>252.00000000000003</v>
      </c>
      <c r="G55" s="114">
        <f t="shared" si="8"/>
        <v>3024.0000000000005</v>
      </c>
    </row>
    <row r="56" spans="2:8">
      <c r="B56" s="33"/>
      <c r="C56" s="89" t="s">
        <v>137</v>
      </c>
      <c r="D56" s="89">
        <v>800</v>
      </c>
      <c r="E56" s="98">
        <v>0.22</v>
      </c>
      <c r="F56" s="98">
        <f t="shared" si="7"/>
        <v>176</v>
      </c>
      <c r="G56" s="114">
        <f t="shared" si="8"/>
        <v>2112</v>
      </c>
    </row>
    <row r="57" spans="2:8">
      <c r="B57" s="33"/>
      <c r="C57" s="89" t="s">
        <v>57</v>
      </c>
      <c r="D57" s="89">
        <f>SUM(D51:D56)</f>
        <v>5450</v>
      </c>
      <c r="E57" s="121"/>
      <c r="F57" s="99">
        <f>SUM(F51:F56)</f>
        <v>2172.5</v>
      </c>
      <c r="G57" s="114">
        <f>SUM(G51:G56)</f>
        <v>26070</v>
      </c>
    </row>
    <row r="58" spans="2:8">
      <c r="B58" s="33"/>
      <c r="C58" s="33"/>
      <c r="D58" s="33"/>
      <c r="E58" s="39"/>
    </row>
    <row r="60" spans="2:8" ht="18.75" customHeight="1">
      <c r="B60" s="41"/>
    </row>
    <row r="61" spans="2:8" ht="19.5">
      <c r="B61" s="158" t="s">
        <v>126</v>
      </c>
      <c r="C61" s="159"/>
      <c r="E61" s="152" t="s">
        <v>58</v>
      </c>
      <c r="F61" s="153"/>
      <c r="G61" s="154"/>
      <c r="H61" s="16">
        <f>12</f>
        <v>12</v>
      </c>
    </row>
    <row r="62" spans="2:8">
      <c r="B62" s="88" t="s">
        <v>42</v>
      </c>
      <c r="C62" s="100" t="s">
        <v>43</v>
      </c>
      <c r="E62" s="110" t="s">
        <v>42</v>
      </c>
      <c r="F62" s="110" t="s">
        <v>76</v>
      </c>
      <c r="G62" s="116" t="s">
        <v>63</v>
      </c>
    </row>
    <row r="63" spans="2:8">
      <c r="B63" s="89" t="s">
        <v>44</v>
      </c>
      <c r="C63" s="97">
        <v>25</v>
      </c>
      <c r="E63" s="92" t="s">
        <v>59</v>
      </c>
      <c r="F63" s="117">
        <v>80</v>
      </c>
      <c r="G63" s="94">
        <f>F63*$H$61</f>
        <v>960</v>
      </c>
    </row>
    <row r="64" spans="2:8">
      <c r="B64" s="89" t="s">
        <v>45</v>
      </c>
      <c r="C64" s="97">
        <v>30</v>
      </c>
      <c r="E64" s="92" t="s">
        <v>60</v>
      </c>
      <c r="F64" s="117">
        <v>40</v>
      </c>
      <c r="G64" s="94">
        <f>F64*$H$61</f>
        <v>480</v>
      </c>
    </row>
    <row r="65" spans="2:9">
      <c r="B65" s="89" t="s">
        <v>46</v>
      </c>
      <c r="C65" s="97">
        <v>18</v>
      </c>
      <c r="E65" s="92" t="s">
        <v>61</v>
      </c>
      <c r="F65" s="117">
        <v>50</v>
      </c>
      <c r="G65" s="94">
        <f>F65*$H$61</f>
        <v>600</v>
      </c>
    </row>
    <row r="66" spans="2:9">
      <c r="B66" s="89" t="s">
        <v>47</v>
      </c>
      <c r="C66" s="97">
        <v>26</v>
      </c>
      <c r="E66" s="92" t="s">
        <v>62</v>
      </c>
      <c r="F66" s="117">
        <v>100</v>
      </c>
      <c r="G66" s="94">
        <f>F66*$H$61</f>
        <v>1200</v>
      </c>
    </row>
    <row r="67" spans="2:9">
      <c r="B67" s="89" t="s">
        <v>48</v>
      </c>
      <c r="C67" s="97">
        <v>60</v>
      </c>
      <c r="E67" s="92" t="s">
        <v>57</v>
      </c>
      <c r="F67" s="117">
        <f>SUM(F63:F66)</f>
        <v>270</v>
      </c>
      <c r="G67" s="94">
        <f>SUM(G63:G66)</f>
        <v>3240</v>
      </c>
    </row>
    <row r="68" spans="2:9">
      <c r="B68" s="89" t="s">
        <v>153</v>
      </c>
      <c r="C68" s="97">
        <v>40</v>
      </c>
    </row>
    <row r="69" spans="2:9" ht="19.5">
      <c r="B69" s="89" t="s">
        <v>154</v>
      </c>
      <c r="C69" s="97">
        <v>25</v>
      </c>
      <c r="E69" s="160" t="s">
        <v>127</v>
      </c>
      <c r="F69" s="160"/>
      <c r="G69" s="160"/>
    </row>
    <row r="70" spans="2:9">
      <c r="B70" s="89" t="s">
        <v>155</v>
      </c>
      <c r="C70" s="97">
        <v>45</v>
      </c>
      <c r="E70" s="92" t="s">
        <v>49</v>
      </c>
      <c r="F70" s="94">
        <v>75</v>
      </c>
    </row>
    <row r="71" spans="2:9">
      <c r="B71" s="89" t="s">
        <v>57</v>
      </c>
      <c r="C71" s="97">
        <f>SUM(C63:C70)</f>
        <v>269</v>
      </c>
      <c r="E71" s="92" t="s">
        <v>50</v>
      </c>
      <c r="F71" s="94">
        <v>150</v>
      </c>
    </row>
    <row r="72" spans="2:9">
      <c r="E72" s="92" t="s">
        <v>51</v>
      </c>
      <c r="F72" s="94">
        <v>50</v>
      </c>
    </row>
    <row r="73" spans="2:9">
      <c r="E73" s="92" t="s">
        <v>128</v>
      </c>
      <c r="F73" s="94">
        <f>SUM(F70:F72)</f>
        <v>275</v>
      </c>
    </row>
    <row r="74" spans="2:9" ht="19.5">
      <c r="B74" s="161" t="s">
        <v>52</v>
      </c>
      <c r="C74" s="162"/>
      <c r="E74" s="27"/>
      <c r="F74" s="28"/>
    </row>
    <row r="75" spans="2:9">
      <c r="B75" s="45" t="s">
        <v>42</v>
      </c>
      <c r="C75" s="45" t="s">
        <v>53</v>
      </c>
    </row>
    <row r="76" spans="2:9">
      <c r="B76" s="18" t="s">
        <v>54</v>
      </c>
      <c r="C76" s="22">
        <f>E12*2</f>
        <v>5400</v>
      </c>
    </row>
    <row r="77" spans="2:9" ht="15.75">
      <c r="B77" s="18" t="s">
        <v>55</v>
      </c>
      <c r="C77" s="22">
        <f>F89*2</f>
        <v>178.7</v>
      </c>
      <c r="D77" s="29"/>
      <c r="E77" s="163" t="s">
        <v>226</v>
      </c>
      <c r="F77" s="163"/>
      <c r="G77" s="163"/>
      <c r="H77" s="101"/>
      <c r="I77" s="29"/>
    </row>
    <row r="78" spans="2:9" ht="16.5">
      <c r="B78" s="18" t="s">
        <v>56</v>
      </c>
      <c r="C78" s="22">
        <f>F67*2</f>
        <v>540</v>
      </c>
      <c r="D78" s="30"/>
      <c r="E78" s="102" t="s">
        <v>90</v>
      </c>
      <c r="F78" s="102" t="s">
        <v>93</v>
      </c>
      <c r="G78" s="102" t="s">
        <v>94</v>
      </c>
      <c r="H78" s="30"/>
    </row>
    <row r="79" spans="2:9" ht="15.75">
      <c r="B79" s="18" t="s">
        <v>57</v>
      </c>
      <c r="C79" s="22">
        <f>SUM(C76:C78)</f>
        <v>6118.7</v>
      </c>
      <c r="D79" s="29"/>
      <c r="E79" s="103" t="s">
        <v>91</v>
      </c>
      <c r="F79" s="104">
        <v>0.8</v>
      </c>
      <c r="G79" s="103">
        <f>G81*F79</f>
        <v>74391.360000000001</v>
      </c>
      <c r="H79" s="29"/>
    </row>
    <row r="80" spans="2:9" ht="15.75">
      <c r="B80" s="27"/>
      <c r="C80" s="33"/>
      <c r="E80" s="105" t="s">
        <v>92</v>
      </c>
      <c r="F80" s="104">
        <v>0.2</v>
      </c>
      <c r="G80" s="106">
        <f>G81*F80</f>
        <v>18597.84</v>
      </c>
    </row>
    <row r="81" spans="2:7" ht="15.75">
      <c r="E81" s="105" t="s">
        <v>57</v>
      </c>
      <c r="F81" s="104">
        <f>F79+F80</f>
        <v>1</v>
      </c>
      <c r="G81" s="107">
        <f>Arreglando!C10</f>
        <v>92989.2</v>
      </c>
    </row>
    <row r="83" spans="2:7" ht="19.5">
      <c r="B83" s="32"/>
      <c r="E83" s="118" t="s">
        <v>55</v>
      </c>
      <c r="F83" s="92" t="s">
        <v>82</v>
      </c>
      <c r="G83" s="92">
        <v>12</v>
      </c>
    </row>
    <row r="84" spans="2:7">
      <c r="E84" s="88" t="s">
        <v>42</v>
      </c>
      <c r="F84" s="88" t="s">
        <v>76</v>
      </c>
      <c r="G84" s="88" t="s">
        <v>64</v>
      </c>
    </row>
    <row r="85" spans="2:7">
      <c r="E85" s="92" t="s">
        <v>65</v>
      </c>
      <c r="F85" s="117">
        <v>45</v>
      </c>
      <c r="G85" s="94">
        <f>F85*$G$83</f>
        <v>540</v>
      </c>
    </row>
    <row r="86" spans="2:7">
      <c r="E86" s="92" t="s">
        <v>66</v>
      </c>
      <c r="F86" s="117">
        <v>8.5</v>
      </c>
      <c r="G86" s="94">
        <f>F86*$G$83</f>
        <v>102</v>
      </c>
    </row>
    <row r="87" spans="2:7">
      <c r="D87" s="30"/>
      <c r="E87" s="92" t="s">
        <v>67</v>
      </c>
      <c r="F87" s="117">
        <v>13</v>
      </c>
      <c r="G87" s="94">
        <f>F87*$G$83</f>
        <v>156</v>
      </c>
    </row>
    <row r="88" spans="2:7">
      <c r="D88" s="30"/>
      <c r="E88" s="92" t="s">
        <v>69</v>
      </c>
      <c r="F88" s="117">
        <v>22.85</v>
      </c>
      <c r="G88" s="94">
        <f>F88*$G$83</f>
        <v>274.20000000000005</v>
      </c>
    </row>
    <row r="89" spans="2:7">
      <c r="E89" s="92" t="s">
        <v>57</v>
      </c>
      <c r="F89" s="117">
        <f>SUM(F85:F88)</f>
        <v>89.35</v>
      </c>
      <c r="G89" s="94">
        <f>SUM(G85:G88)</f>
        <v>1072.2</v>
      </c>
    </row>
    <row r="91" spans="2:7">
      <c r="D91" s="30"/>
      <c r="E91" s="30"/>
    </row>
    <row r="93" spans="2:7" ht="15" customHeight="1">
      <c r="B93" s="152" t="s">
        <v>169</v>
      </c>
      <c r="C93" s="153"/>
      <c r="D93" s="153"/>
      <c r="E93" s="153"/>
      <c r="F93" s="153"/>
      <c r="G93" s="154"/>
    </row>
    <row r="94" spans="2:7">
      <c r="B94" s="88" t="s">
        <v>170</v>
      </c>
      <c r="C94" s="88" t="s">
        <v>172</v>
      </c>
      <c r="D94" s="88" t="s">
        <v>171</v>
      </c>
      <c r="E94" s="88" t="s">
        <v>245</v>
      </c>
      <c r="F94" s="88" t="s">
        <v>244</v>
      </c>
      <c r="G94" s="88" t="s">
        <v>173</v>
      </c>
    </row>
    <row r="95" spans="2:7">
      <c r="B95" s="92" t="s">
        <v>174</v>
      </c>
      <c r="C95" s="117">
        <f>E23</f>
        <v>27360</v>
      </c>
      <c r="D95" s="92">
        <v>10</v>
      </c>
      <c r="E95" s="117">
        <f>C95/D95</f>
        <v>2736</v>
      </c>
      <c r="F95" s="117">
        <f>E95*5</f>
        <v>13680</v>
      </c>
      <c r="G95" s="95">
        <f>C95-F95</f>
        <v>13680</v>
      </c>
    </row>
    <row r="96" spans="2:7">
      <c r="B96" s="92" t="s">
        <v>175</v>
      </c>
      <c r="C96" s="94">
        <f>C17+C18+C19+C20</f>
        <v>28643</v>
      </c>
      <c r="D96" s="92">
        <v>5</v>
      </c>
      <c r="E96" s="94">
        <f>C96/D96</f>
        <v>5728.6</v>
      </c>
      <c r="F96" s="94">
        <f>E96*5</f>
        <v>28643</v>
      </c>
      <c r="G96" s="94">
        <f>C96-F96</f>
        <v>0</v>
      </c>
    </row>
    <row r="97" spans="2:7">
      <c r="B97" s="92" t="s">
        <v>176</v>
      </c>
      <c r="C97" s="117">
        <f>SUM(E34:E44)</f>
        <v>3473</v>
      </c>
      <c r="D97" s="92">
        <v>3</v>
      </c>
      <c r="E97" s="117">
        <f>C97/D97</f>
        <v>1157.6666666666667</v>
      </c>
      <c r="F97" s="117">
        <f>E97*D97</f>
        <v>3473</v>
      </c>
      <c r="G97" s="117">
        <f>C97-F97</f>
        <v>0</v>
      </c>
    </row>
    <row r="98" spans="2:7">
      <c r="B98" s="92" t="s">
        <v>176</v>
      </c>
      <c r="C98" s="117">
        <f>C97</f>
        <v>3473</v>
      </c>
      <c r="D98" s="92">
        <v>3</v>
      </c>
      <c r="E98" s="117">
        <f>C98/D98</f>
        <v>1157.6666666666667</v>
      </c>
      <c r="F98" s="117">
        <f>E98*2</f>
        <v>2315.3333333333335</v>
      </c>
      <c r="G98" s="117">
        <f>C98-F98</f>
        <v>1157.6666666666665</v>
      </c>
    </row>
    <row r="99" spans="2:7">
      <c r="B99" s="92" t="s">
        <v>177</v>
      </c>
      <c r="C99" s="92"/>
      <c r="D99" s="92"/>
      <c r="E99" s="117">
        <f>SUM(E95:E98)</f>
        <v>10779.933333333332</v>
      </c>
      <c r="F99" s="92"/>
      <c r="G99" s="95">
        <f>SUM(G95:G98)</f>
        <v>14837.666666666666</v>
      </c>
    </row>
    <row r="102" spans="2:7" ht="19.5">
      <c r="C102" s="152" t="s">
        <v>199</v>
      </c>
      <c r="D102" s="153"/>
      <c r="E102" s="153"/>
      <c r="F102" s="154"/>
    </row>
    <row r="103" spans="2:7">
      <c r="C103" s="88" t="s">
        <v>243</v>
      </c>
      <c r="D103" s="88" t="s">
        <v>43</v>
      </c>
      <c r="E103" s="88" t="s">
        <v>106</v>
      </c>
      <c r="F103" s="88" t="s">
        <v>200</v>
      </c>
    </row>
    <row r="104" spans="2:7">
      <c r="C104" s="92" t="s">
        <v>201</v>
      </c>
      <c r="D104" s="94">
        <f>F73</f>
        <v>275</v>
      </c>
      <c r="E104" s="122">
        <v>0.2</v>
      </c>
      <c r="F104" s="94">
        <f>D104*E104</f>
        <v>55</v>
      </c>
    </row>
    <row r="105" spans="2:7">
      <c r="C105" s="92" t="s">
        <v>202</v>
      </c>
      <c r="D105" s="94">
        <f>C71</f>
        <v>269</v>
      </c>
      <c r="E105" s="122">
        <v>0.2</v>
      </c>
      <c r="F105" s="94">
        <f>D105*E105</f>
        <v>53.800000000000004</v>
      </c>
    </row>
    <row r="106" spans="2:7">
      <c r="C106" s="92" t="s">
        <v>57</v>
      </c>
      <c r="D106" s="92"/>
      <c r="E106" s="92"/>
      <c r="F106" s="94">
        <f>SUM(F104:F105)</f>
        <v>108.80000000000001</v>
      </c>
    </row>
    <row r="112" spans="2:7">
      <c r="C112" s="16" t="s">
        <v>246</v>
      </c>
    </row>
  </sheetData>
  <mergeCells count="11">
    <mergeCell ref="E77:G77"/>
    <mergeCell ref="B2:J2"/>
    <mergeCell ref="D22:E22"/>
    <mergeCell ref="B16:E16"/>
    <mergeCell ref="E61:G61"/>
    <mergeCell ref="C102:F102"/>
    <mergeCell ref="B93:G93"/>
    <mergeCell ref="B26:E26"/>
    <mergeCell ref="B61:C61"/>
    <mergeCell ref="E69:G69"/>
    <mergeCell ref="B74:C74"/>
  </mergeCells>
  <phoneticPr fontId="4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B2:I49"/>
  <sheetViews>
    <sheetView topLeftCell="A5" workbookViewId="0">
      <selection activeCell="A9" sqref="A9"/>
    </sheetView>
  </sheetViews>
  <sheetFormatPr baseColWidth="10" defaultColWidth="11" defaultRowHeight="15"/>
  <cols>
    <col min="1" max="1" width="11" style="16"/>
    <col min="2" max="2" width="19.42578125" style="16" customWidth="1"/>
    <col min="3" max="3" width="20" style="16" customWidth="1"/>
    <col min="4" max="4" width="21.5703125" style="16" customWidth="1"/>
    <col min="5" max="5" width="17.140625" style="16" customWidth="1"/>
    <col min="6" max="6" width="18.7109375" style="16" bestFit="1" customWidth="1"/>
    <col min="7" max="8" width="11" style="16"/>
    <col min="9" max="9" width="12.28515625" style="16" bestFit="1" customWidth="1"/>
    <col min="10" max="16384" width="11" style="16"/>
  </cols>
  <sheetData>
    <row r="2" spans="2:7" ht="18" customHeight="1">
      <c r="B2" s="45" t="s">
        <v>105</v>
      </c>
      <c r="C2" s="46" t="s">
        <v>178</v>
      </c>
      <c r="D2" s="45" t="s">
        <v>181</v>
      </c>
      <c r="E2" s="75"/>
      <c r="F2" s="16" t="s">
        <v>179</v>
      </c>
      <c r="G2" s="16" t="s">
        <v>180</v>
      </c>
    </row>
    <row r="3" spans="2:7">
      <c r="B3" s="18">
        <v>1</v>
      </c>
      <c r="C3" s="47">
        <v>30</v>
      </c>
      <c r="D3" s="47">
        <f>C3</f>
        <v>30</v>
      </c>
      <c r="E3" s="76"/>
      <c r="F3" s="43">
        <v>2.5</v>
      </c>
      <c r="G3" s="44">
        <v>0.12</v>
      </c>
    </row>
    <row r="4" spans="2:7">
      <c r="B4" s="18">
        <v>2</v>
      </c>
      <c r="C4" s="48">
        <f>C3+$F$3</f>
        <v>32.5</v>
      </c>
      <c r="D4" s="47">
        <f>C4</f>
        <v>32.5</v>
      </c>
      <c r="E4" s="76"/>
    </row>
    <row r="5" spans="2:7">
      <c r="B5" s="18">
        <v>3</v>
      </c>
      <c r="C5" s="48">
        <f>C4+$F$3</f>
        <v>35</v>
      </c>
      <c r="D5" s="47">
        <f>C5</f>
        <v>35</v>
      </c>
      <c r="E5" s="76"/>
    </row>
    <row r="6" spans="2:7">
      <c r="B6" s="18">
        <v>4</v>
      </c>
      <c r="C6" s="48">
        <f>C5+$F$3</f>
        <v>37.5</v>
      </c>
      <c r="D6" s="47">
        <f>C6</f>
        <v>37.5</v>
      </c>
      <c r="E6" s="76"/>
    </row>
    <row r="7" spans="2:7">
      <c r="B7" s="18">
        <v>5</v>
      </c>
      <c r="C7" s="48">
        <f>C6+$F$3</f>
        <v>40</v>
      </c>
      <c r="D7" s="47">
        <f>C7</f>
        <v>40</v>
      </c>
      <c r="E7" s="76"/>
    </row>
    <row r="14" spans="2:7" ht="19.5">
      <c r="B14" s="125" t="s">
        <v>78</v>
      </c>
      <c r="C14" s="112"/>
      <c r="D14" s="112" t="s">
        <v>82</v>
      </c>
      <c r="E14" s="112">
        <v>12</v>
      </c>
      <c r="F14" s="112"/>
    </row>
    <row r="15" spans="2:7">
      <c r="B15" s="88" t="s">
        <v>42</v>
      </c>
      <c r="C15" s="88" t="s">
        <v>71</v>
      </c>
      <c r="D15" s="88" t="s">
        <v>79</v>
      </c>
      <c r="E15" s="88" t="s">
        <v>80</v>
      </c>
      <c r="F15" s="88" t="s">
        <v>81</v>
      </c>
    </row>
    <row r="16" spans="2:7">
      <c r="B16" s="89" t="s">
        <v>72</v>
      </c>
      <c r="C16" s="89">
        <v>700</v>
      </c>
      <c r="D16" s="99">
        <v>1.25</v>
      </c>
      <c r="E16" s="99">
        <f t="shared" ref="E16:E21" si="0">C16*D16</f>
        <v>875</v>
      </c>
      <c r="F16" s="99">
        <f>E16*$E$14</f>
        <v>10500</v>
      </c>
    </row>
    <row r="17" spans="2:9">
      <c r="B17" s="89" t="s">
        <v>73</v>
      </c>
      <c r="C17" s="89">
        <v>600</v>
      </c>
      <c r="D17" s="99">
        <v>0.6</v>
      </c>
      <c r="E17" s="99">
        <f t="shared" si="0"/>
        <v>360</v>
      </c>
      <c r="F17" s="99">
        <f>E17*$E$14</f>
        <v>4320</v>
      </c>
    </row>
    <row r="18" spans="2:9">
      <c r="B18" s="89" t="s">
        <v>74</v>
      </c>
      <c r="C18" s="89">
        <v>1050</v>
      </c>
      <c r="D18" s="97">
        <v>1</v>
      </c>
      <c r="E18" s="99">
        <f t="shared" si="0"/>
        <v>1050</v>
      </c>
      <c r="F18" s="99">
        <f>E18*$E$14</f>
        <v>12600</v>
      </c>
    </row>
    <row r="19" spans="2:9">
      <c r="B19" s="89" t="s">
        <v>75</v>
      </c>
      <c r="C19" s="89">
        <v>1400</v>
      </c>
      <c r="D19" s="99">
        <v>0.5</v>
      </c>
      <c r="E19" s="99">
        <f t="shared" si="0"/>
        <v>700</v>
      </c>
      <c r="F19" s="99">
        <f>E19*$E$14</f>
        <v>8400</v>
      </c>
    </row>
    <row r="20" spans="2:9">
      <c r="B20" s="89" t="s">
        <v>138</v>
      </c>
      <c r="C20" s="89">
        <v>900</v>
      </c>
      <c r="D20" s="99">
        <v>0.6</v>
      </c>
      <c r="E20" s="99">
        <f t="shared" si="0"/>
        <v>540</v>
      </c>
      <c r="F20" s="99">
        <f>E20*$E$14</f>
        <v>6480</v>
      </c>
      <c r="I20" s="43"/>
    </row>
    <row r="21" spans="2:9">
      <c r="B21" s="89" t="s">
        <v>137</v>
      </c>
      <c r="C21" s="89">
        <v>800</v>
      </c>
      <c r="D21" s="89">
        <v>0.5</v>
      </c>
      <c r="E21" s="89">
        <f t="shared" si="0"/>
        <v>400</v>
      </c>
      <c r="F21" s="99">
        <f>E21*E14</f>
        <v>4800</v>
      </c>
    </row>
    <row r="22" spans="2:9">
      <c r="B22" s="89" t="s">
        <v>57</v>
      </c>
      <c r="C22" s="89">
        <f>SUM(C16:C21)</f>
        <v>5450</v>
      </c>
      <c r="D22" s="89"/>
      <c r="E22" s="99">
        <f>SUM(E16:E21)</f>
        <v>3925</v>
      </c>
      <c r="F22" s="99">
        <f>SUM(F16:F21)</f>
        <v>47100</v>
      </c>
    </row>
    <row r="25" spans="2:9" ht="19.5" customHeight="1">
      <c r="B25" s="152" t="s">
        <v>83</v>
      </c>
      <c r="C25" s="153"/>
      <c r="D25" s="153"/>
      <c r="E25" s="154"/>
    </row>
    <row r="26" spans="2:9">
      <c r="B26" s="88" t="s">
        <v>105</v>
      </c>
      <c r="C26" s="88" t="s">
        <v>181</v>
      </c>
      <c r="D26" s="88" t="s">
        <v>182</v>
      </c>
      <c r="E26" s="88" t="s">
        <v>81</v>
      </c>
    </row>
    <row r="27" spans="2:9">
      <c r="B27" s="89">
        <v>1</v>
      </c>
      <c r="C27" s="108">
        <f>D3</f>
        <v>30</v>
      </c>
      <c r="D27" s="109">
        <f>'demanda anual'!C15</f>
        <v>2428.8000000000002</v>
      </c>
      <c r="E27" s="108">
        <f>C27*D27</f>
        <v>72864</v>
      </c>
    </row>
    <row r="28" spans="2:9">
      <c r="B28" s="89">
        <v>2</v>
      </c>
      <c r="C28" s="108">
        <f>D4</f>
        <v>32.5</v>
      </c>
      <c r="D28" s="109">
        <f>'demanda anual'!C16</f>
        <v>2870.4</v>
      </c>
      <c r="E28" s="108">
        <f>C28*D28</f>
        <v>93288</v>
      </c>
    </row>
    <row r="29" spans="2:9">
      <c r="B29" s="89">
        <v>3</v>
      </c>
      <c r="C29" s="108">
        <f>D5</f>
        <v>35</v>
      </c>
      <c r="D29" s="109">
        <f>'demanda anual'!C17</f>
        <v>3312</v>
      </c>
      <c r="E29" s="108">
        <f>C29*D29</f>
        <v>115920</v>
      </c>
    </row>
    <row r="30" spans="2:9">
      <c r="B30" s="89">
        <v>4</v>
      </c>
      <c r="C30" s="108">
        <f>D6</f>
        <v>37.5</v>
      </c>
      <c r="D30" s="109">
        <f>'demanda anual'!C18</f>
        <v>3753.6</v>
      </c>
      <c r="E30" s="108">
        <f>C30*D30</f>
        <v>140760</v>
      </c>
    </row>
    <row r="31" spans="2:9">
      <c r="B31" s="89">
        <v>5</v>
      </c>
      <c r="C31" s="108">
        <f>D7</f>
        <v>40</v>
      </c>
      <c r="D31" s="109">
        <f>'demanda anual'!C19</f>
        <v>4195.1999999999989</v>
      </c>
      <c r="E31" s="108">
        <f>C31*D31</f>
        <v>167807.99999999994</v>
      </c>
    </row>
    <row r="33" spans="2:7" ht="19.5">
      <c r="B33" s="32" t="s">
        <v>84</v>
      </c>
    </row>
    <row r="34" spans="2:7">
      <c r="D34" s="16" t="s">
        <v>89</v>
      </c>
      <c r="E34" s="16">
        <v>12</v>
      </c>
    </row>
    <row r="35" spans="2:7">
      <c r="B35" s="110" t="s">
        <v>42</v>
      </c>
      <c r="C35" s="110" t="s">
        <v>85</v>
      </c>
      <c r="D35" s="110" t="s">
        <v>86</v>
      </c>
      <c r="E35" s="110" t="s">
        <v>80</v>
      </c>
      <c r="F35" s="110" t="s">
        <v>81</v>
      </c>
    </row>
    <row r="36" spans="2:7">
      <c r="B36" s="92" t="s">
        <v>87</v>
      </c>
      <c r="C36" s="92">
        <v>60</v>
      </c>
      <c r="D36" s="94">
        <v>20</v>
      </c>
      <c r="E36" s="94">
        <f>C36*D36</f>
        <v>1200</v>
      </c>
      <c r="F36" s="94">
        <f>E36*2</f>
        <v>2400</v>
      </c>
    </row>
    <row r="37" spans="2:7">
      <c r="B37" s="92" t="s">
        <v>88</v>
      </c>
      <c r="C37" s="92">
        <v>60</v>
      </c>
      <c r="D37" s="94">
        <v>25</v>
      </c>
      <c r="E37" s="94">
        <f>C37*D37</f>
        <v>1500</v>
      </c>
      <c r="F37" s="94">
        <f>E37*E34</f>
        <v>18000</v>
      </c>
    </row>
    <row r="38" spans="2:7">
      <c r="B38" s="111" t="s">
        <v>57</v>
      </c>
      <c r="C38" s="112"/>
      <c r="D38" s="112"/>
      <c r="E38" s="112"/>
      <c r="F38" s="113">
        <f>F36+F37</f>
        <v>20400</v>
      </c>
    </row>
    <row r="43" spans="2:7">
      <c r="B43" s="33"/>
      <c r="C43" s="33"/>
      <c r="D43" s="33"/>
      <c r="E43" s="33"/>
      <c r="F43" s="33"/>
      <c r="G43" s="33"/>
    </row>
    <row r="44" spans="2:7">
      <c r="B44" s="164"/>
      <c r="C44" s="164"/>
      <c r="D44" s="164"/>
      <c r="E44" s="164"/>
      <c r="F44" s="164"/>
      <c r="G44" s="33"/>
    </row>
    <row r="45" spans="2:7">
      <c r="B45" s="75"/>
      <c r="C45" s="75"/>
      <c r="D45" s="75"/>
      <c r="E45" s="75"/>
      <c r="F45" s="75"/>
      <c r="G45" s="33"/>
    </row>
    <row r="46" spans="2:7">
      <c r="B46" s="77"/>
      <c r="C46" s="77"/>
      <c r="D46" s="77"/>
      <c r="E46" s="77"/>
      <c r="F46" s="77"/>
      <c r="G46" s="33"/>
    </row>
    <row r="47" spans="2:7">
      <c r="B47" s="77"/>
      <c r="C47" s="77"/>
      <c r="D47" s="77"/>
      <c r="E47" s="77"/>
      <c r="F47" s="77"/>
      <c r="G47" s="33"/>
    </row>
    <row r="48" spans="2:7">
      <c r="B48" s="77"/>
      <c r="C48" s="77"/>
      <c r="D48" s="77"/>
      <c r="E48" s="77"/>
      <c r="F48" s="77"/>
      <c r="G48" s="33"/>
    </row>
    <row r="49" spans="2:7">
      <c r="B49" s="33"/>
      <c r="C49" s="33"/>
      <c r="D49" s="33"/>
      <c r="E49" s="33"/>
      <c r="F49" s="33"/>
      <c r="G49" s="33"/>
    </row>
  </sheetData>
  <mergeCells count="2">
    <mergeCell ref="B25:E25"/>
    <mergeCell ref="B44:F44"/>
  </mergeCells>
  <phoneticPr fontId="4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B2:I27"/>
  <sheetViews>
    <sheetView topLeftCell="A3" zoomScale="75" zoomScaleNormal="75" workbookViewId="0">
      <selection activeCell="I17" sqref="I17"/>
    </sheetView>
  </sheetViews>
  <sheetFormatPr baseColWidth="10" defaultRowHeight="15"/>
  <cols>
    <col min="2" max="2" width="7.85546875" customWidth="1"/>
    <col min="3" max="3" width="18.7109375" customWidth="1"/>
    <col min="4" max="4" width="17.140625" customWidth="1"/>
    <col min="5" max="5" width="15.140625" customWidth="1"/>
    <col min="6" max="6" width="9.7109375" customWidth="1"/>
    <col min="7" max="7" width="8.42578125" customWidth="1"/>
    <col min="8" max="8" width="13.140625" customWidth="1"/>
    <col min="9" max="9" width="12.85546875" customWidth="1"/>
  </cols>
  <sheetData>
    <row r="2" spans="2:9" ht="15.75" customHeight="1">
      <c r="B2" s="13"/>
      <c r="C2" s="2"/>
      <c r="D2" s="2"/>
      <c r="E2" s="2"/>
      <c r="F2" s="13"/>
      <c r="G2" s="15" t="s">
        <v>97</v>
      </c>
      <c r="H2" s="2"/>
      <c r="I2" s="2"/>
    </row>
    <row r="3" spans="2:9" ht="40.5" customHeight="1">
      <c r="B3" s="78" t="s">
        <v>98</v>
      </c>
      <c r="C3" s="79" t="s">
        <v>99</v>
      </c>
      <c r="D3" s="80" t="s">
        <v>100</v>
      </c>
      <c r="E3" s="80" t="s">
        <v>96</v>
      </c>
      <c r="F3" s="80" t="s">
        <v>101</v>
      </c>
      <c r="G3" s="79" t="s">
        <v>102</v>
      </c>
      <c r="H3" s="80" t="s">
        <v>107</v>
      </c>
      <c r="I3" s="80" t="s">
        <v>108</v>
      </c>
    </row>
    <row r="4" spans="2:9">
      <c r="B4" s="81">
        <v>1</v>
      </c>
      <c r="C4" s="82">
        <v>0.55000000000000004</v>
      </c>
      <c r="D4" s="81">
        <v>12</v>
      </c>
      <c r="E4" s="81">
        <v>16</v>
      </c>
      <c r="F4" s="83">
        <f>D4*C4</f>
        <v>6.6000000000000005</v>
      </c>
      <c r="G4" s="83">
        <f>E4*C4</f>
        <v>8.8000000000000007</v>
      </c>
      <c r="H4" s="84">
        <f>F4*$D$10</f>
        <v>132</v>
      </c>
      <c r="I4" s="84">
        <f>G4*$D$11</f>
        <v>70.400000000000006</v>
      </c>
    </row>
    <row r="5" spans="2:9">
      <c r="B5" s="81">
        <v>2</v>
      </c>
      <c r="C5" s="82">
        <v>0.65</v>
      </c>
      <c r="D5" s="81">
        <v>12</v>
      </c>
      <c r="E5" s="81">
        <v>16</v>
      </c>
      <c r="F5" s="83">
        <f>D5*C5</f>
        <v>7.8000000000000007</v>
      </c>
      <c r="G5" s="83">
        <f>E5*C5</f>
        <v>10.4</v>
      </c>
      <c r="H5" s="84">
        <f>F5*$D$10</f>
        <v>156</v>
      </c>
      <c r="I5" s="84">
        <f>G5*$D$11</f>
        <v>83.2</v>
      </c>
    </row>
    <row r="6" spans="2:9">
      <c r="B6" s="81">
        <v>3</v>
      </c>
      <c r="C6" s="82">
        <v>0.75</v>
      </c>
      <c r="D6" s="81">
        <v>12</v>
      </c>
      <c r="E6" s="81">
        <v>16</v>
      </c>
      <c r="F6" s="83">
        <f>D6*C6</f>
        <v>9</v>
      </c>
      <c r="G6" s="83">
        <f>E6*C6</f>
        <v>12</v>
      </c>
      <c r="H6" s="84">
        <f>F6*$D$10</f>
        <v>180</v>
      </c>
      <c r="I6" s="84">
        <f>G6*$D$11</f>
        <v>96</v>
      </c>
    </row>
    <row r="7" spans="2:9">
      <c r="B7" s="81">
        <v>4</v>
      </c>
      <c r="C7" s="82">
        <v>0.85</v>
      </c>
      <c r="D7" s="81">
        <v>12</v>
      </c>
      <c r="E7" s="81">
        <v>16</v>
      </c>
      <c r="F7" s="83">
        <f>D7*C7</f>
        <v>10.199999999999999</v>
      </c>
      <c r="G7" s="83">
        <f>E7*C7</f>
        <v>13.6</v>
      </c>
      <c r="H7" s="84">
        <f>F7*$D$10</f>
        <v>204</v>
      </c>
      <c r="I7" s="84">
        <f>G7*$D$11</f>
        <v>108.8</v>
      </c>
    </row>
    <row r="8" spans="2:9">
      <c r="B8" s="81">
        <v>5</v>
      </c>
      <c r="C8" s="82">
        <v>0.95</v>
      </c>
      <c r="D8" s="81">
        <v>12</v>
      </c>
      <c r="E8" s="81">
        <v>16</v>
      </c>
      <c r="F8" s="83">
        <f>D8*C8</f>
        <v>11.399999999999999</v>
      </c>
      <c r="G8" s="83">
        <f>E8*C8</f>
        <v>15.2</v>
      </c>
      <c r="H8" s="84">
        <f>F8*$D$10</f>
        <v>227.99999999999997</v>
      </c>
      <c r="I8" s="84">
        <f>G8*$D$11</f>
        <v>121.6</v>
      </c>
    </row>
    <row r="9" spans="2:9">
      <c r="B9" s="8"/>
      <c r="C9" s="7"/>
      <c r="D9" s="8"/>
      <c r="E9" s="8"/>
      <c r="F9" s="9"/>
      <c r="G9" s="9"/>
    </row>
    <row r="10" spans="2:9" ht="27.75" customHeight="1">
      <c r="B10" s="8"/>
      <c r="C10" s="7" t="s">
        <v>111</v>
      </c>
      <c r="D10" s="8">
        <v>20</v>
      </c>
      <c r="E10" s="8"/>
      <c r="F10" s="9"/>
      <c r="G10" s="9"/>
    </row>
    <row r="11" spans="2:9" ht="17.25" customHeight="1">
      <c r="B11" s="8"/>
      <c r="C11" s="10" t="s">
        <v>112</v>
      </c>
      <c r="D11" s="8">
        <v>8</v>
      </c>
      <c r="E11" s="8" t="s">
        <v>82</v>
      </c>
      <c r="F11" s="9">
        <v>12</v>
      </c>
      <c r="G11" s="9"/>
    </row>
    <row r="13" spans="2:9" ht="18">
      <c r="B13" s="165" t="s">
        <v>103</v>
      </c>
      <c r="C13" s="166"/>
      <c r="D13" s="166"/>
      <c r="E13" s="167"/>
    </row>
    <row r="14" spans="2:9" ht="43.5" customHeight="1">
      <c r="B14" s="85" t="s">
        <v>105</v>
      </c>
      <c r="C14" s="86" t="s">
        <v>104</v>
      </c>
      <c r="D14" s="86" t="s">
        <v>109</v>
      </c>
      <c r="E14" s="86" t="s">
        <v>110</v>
      </c>
    </row>
    <row r="15" spans="2:9">
      <c r="B15" s="85">
        <v>1</v>
      </c>
      <c r="C15" s="87">
        <f>D15+E15</f>
        <v>2428.8000000000002</v>
      </c>
      <c r="D15" s="87">
        <f t="shared" ref="D15:E19" si="0">H4*$F$11</f>
        <v>1584</v>
      </c>
      <c r="E15" s="87">
        <f>I4*$F$11</f>
        <v>844.80000000000007</v>
      </c>
    </row>
    <row r="16" spans="2:9">
      <c r="B16" s="85">
        <v>2</v>
      </c>
      <c r="C16" s="87">
        <f>D16+E16</f>
        <v>2870.4</v>
      </c>
      <c r="D16" s="87">
        <f t="shared" si="0"/>
        <v>1872</v>
      </c>
      <c r="E16" s="87">
        <f t="shared" si="0"/>
        <v>998.40000000000009</v>
      </c>
    </row>
    <row r="17" spans="2:7">
      <c r="B17" s="85">
        <v>3</v>
      </c>
      <c r="C17" s="87">
        <f>D17+E17</f>
        <v>3312</v>
      </c>
      <c r="D17" s="87">
        <f t="shared" si="0"/>
        <v>2160</v>
      </c>
      <c r="E17" s="87">
        <f t="shared" si="0"/>
        <v>1152</v>
      </c>
    </row>
    <row r="18" spans="2:7">
      <c r="B18" s="85">
        <v>4</v>
      </c>
      <c r="C18" s="87">
        <f>D18+E18</f>
        <v>3753.6</v>
      </c>
      <c r="D18" s="87">
        <f t="shared" si="0"/>
        <v>2448</v>
      </c>
      <c r="E18" s="87">
        <f t="shared" si="0"/>
        <v>1305.5999999999999</v>
      </c>
    </row>
    <row r="19" spans="2:7">
      <c r="B19" s="85">
        <v>5</v>
      </c>
      <c r="C19" s="87">
        <f>D19+E19</f>
        <v>4195.1999999999989</v>
      </c>
      <c r="D19" s="87">
        <f t="shared" si="0"/>
        <v>2735.9999999999995</v>
      </c>
      <c r="E19" s="87">
        <f t="shared" si="0"/>
        <v>1459.1999999999998</v>
      </c>
    </row>
    <row r="21" spans="2:7" ht="18">
      <c r="B21" s="3"/>
      <c r="C21" s="5" t="s">
        <v>189</v>
      </c>
      <c r="D21" s="3"/>
      <c r="E21" s="3"/>
      <c r="G21" s="1"/>
    </row>
    <row r="22" spans="2:7" ht="29.25" customHeight="1">
      <c r="B22" s="3" t="s">
        <v>105</v>
      </c>
      <c r="C22" s="12" t="s">
        <v>190</v>
      </c>
      <c r="D22" s="4" t="s">
        <v>181</v>
      </c>
      <c r="E22" s="3" t="s">
        <v>191</v>
      </c>
    </row>
    <row r="23" spans="2:7">
      <c r="B23" s="4">
        <v>1</v>
      </c>
      <c r="C23" s="11">
        <f>C15</f>
        <v>2428.8000000000002</v>
      </c>
      <c r="D23" s="6">
        <v>0.94</v>
      </c>
      <c r="E23" s="6">
        <f>C23*D23</f>
        <v>2283.0720000000001</v>
      </c>
    </row>
    <row r="24" spans="2:7">
      <c r="B24" s="4">
        <v>2</v>
      </c>
      <c r="C24" s="11">
        <f>C16</f>
        <v>2870.4</v>
      </c>
      <c r="D24" s="6">
        <f>D23+0.03</f>
        <v>0.97</v>
      </c>
      <c r="E24" s="6">
        <f>C24*D24</f>
        <v>2784.288</v>
      </c>
    </row>
    <row r="25" spans="2:7">
      <c r="B25" s="4">
        <v>3</v>
      </c>
      <c r="C25" s="11">
        <f>C17</f>
        <v>3312</v>
      </c>
      <c r="D25" s="6">
        <f>D24+0.03</f>
        <v>1</v>
      </c>
      <c r="E25" s="6">
        <f>C25*D25</f>
        <v>3312</v>
      </c>
    </row>
    <row r="26" spans="2:7">
      <c r="B26" s="4">
        <v>4</v>
      </c>
      <c r="C26" s="11">
        <f>C18</f>
        <v>3753.6</v>
      </c>
      <c r="D26" s="6">
        <f>D25+0.03</f>
        <v>1.03</v>
      </c>
      <c r="E26" s="6">
        <f>C26*D26</f>
        <v>3866.2080000000001</v>
      </c>
    </row>
    <row r="27" spans="2:7">
      <c r="B27" s="4">
        <v>5</v>
      </c>
      <c r="C27" s="11">
        <f>C19</f>
        <v>4195.1999999999989</v>
      </c>
      <c r="D27" s="6">
        <f>D26+0.03</f>
        <v>1.06</v>
      </c>
      <c r="E27" s="6">
        <f>C27*D27</f>
        <v>4446.9119999999994</v>
      </c>
    </row>
  </sheetData>
  <mergeCells count="1">
    <mergeCell ref="B13:E13"/>
  </mergeCells>
  <phoneticPr fontId="4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L19"/>
  <sheetViews>
    <sheetView topLeftCell="A15" workbookViewId="0">
      <selection activeCell="A30" sqref="A30"/>
    </sheetView>
  </sheetViews>
  <sheetFormatPr baseColWidth="10" defaultColWidth="11" defaultRowHeight="15"/>
  <cols>
    <col min="1" max="1" width="11" style="16"/>
    <col min="2" max="2" width="20.7109375" style="16" customWidth="1"/>
    <col min="3" max="3" width="17.28515625" style="16" customWidth="1"/>
    <col min="4" max="4" width="13.42578125" style="16" customWidth="1"/>
    <col min="5" max="5" width="27.140625" style="16" customWidth="1"/>
    <col min="6" max="7" width="11" style="16"/>
    <col min="8" max="8" width="14.85546875" style="16" customWidth="1"/>
    <col min="9" max="9" width="14.42578125" style="16" bestFit="1" customWidth="1"/>
    <col min="10" max="10" width="18.28515625" style="16" customWidth="1"/>
    <col min="11" max="11" width="13.42578125" style="16" customWidth="1"/>
    <col min="12" max="12" width="13.7109375" style="16" customWidth="1"/>
    <col min="13" max="16384" width="11" style="16"/>
  </cols>
  <sheetData>
    <row r="2" spans="2:12" ht="19.5">
      <c r="B2" s="168" t="s">
        <v>141</v>
      </c>
      <c r="C2" s="169"/>
      <c r="E2" s="161" t="s">
        <v>114</v>
      </c>
      <c r="F2" s="162"/>
      <c r="H2" s="152" t="s">
        <v>161</v>
      </c>
      <c r="I2" s="153"/>
      <c r="J2" s="153"/>
      <c r="K2" s="153"/>
      <c r="L2" s="154"/>
    </row>
    <row r="3" spans="2:12">
      <c r="B3" s="88" t="s">
        <v>115</v>
      </c>
      <c r="C3" s="88" t="s">
        <v>43</v>
      </c>
      <c r="E3" s="17" t="s">
        <v>42</v>
      </c>
      <c r="F3" s="19" t="s">
        <v>43</v>
      </c>
      <c r="H3" s="89"/>
      <c r="I3" s="89" t="s">
        <v>92</v>
      </c>
      <c r="J3" s="114">
        <f>Costos!G79</f>
        <v>74391.360000000001</v>
      </c>
      <c r="K3" s="89"/>
      <c r="L3" s="89"/>
    </row>
    <row r="4" spans="2:12">
      <c r="B4" s="89" t="s">
        <v>77</v>
      </c>
      <c r="C4" s="90">
        <f>Costos!C22</f>
        <v>52163</v>
      </c>
      <c r="E4" s="17" t="s">
        <v>142</v>
      </c>
      <c r="F4" s="20">
        <f>Costos!C17</f>
        <v>1350</v>
      </c>
      <c r="H4" s="89"/>
      <c r="I4" s="114" t="s">
        <v>162</v>
      </c>
      <c r="J4" s="89">
        <v>5</v>
      </c>
      <c r="K4" s="89"/>
      <c r="L4" s="89"/>
    </row>
    <row r="5" spans="2:12">
      <c r="B5" s="89" t="s">
        <v>116</v>
      </c>
      <c r="C5" s="91">
        <f>Costos!E23</f>
        <v>27360</v>
      </c>
      <c r="E5" s="17" t="s">
        <v>143</v>
      </c>
      <c r="F5" s="20">
        <f>Costos!C18</f>
        <v>1058</v>
      </c>
      <c r="H5" s="89"/>
      <c r="I5" s="97" t="s">
        <v>163</v>
      </c>
      <c r="J5" s="115">
        <v>0.115</v>
      </c>
      <c r="K5" s="89"/>
      <c r="L5" s="89"/>
    </row>
    <row r="6" spans="2:12">
      <c r="B6" s="89" t="s">
        <v>117</v>
      </c>
      <c r="C6" s="91">
        <f>Costos!E46</f>
        <v>6803.5</v>
      </c>
      <c r="E6" s="17" t="s">
        <v>144</v>
      </c>
      <c r="F6" s="20">
        <f>Costos!C19</f>
        <v>395</v>
      </c>
      <c r="H6" s="89" t="s">
        <v>164</v>
      </c>
      <c r="I6" s="114" t="s">
        <v>165</v>
      </c>
      <c r="J6" s="89" t="s">
        <v>166</v>
      </c>
      <c r="K6" s="89" t="s">
        <v>167</v>
      </c>
      <c r="L6" s="89" t="s">
        <v>168</v>
      </c>
    </row>
    <row r="7" spans="2:12">
      <c r="B7" s="89" t="s">
        <v>118</v>
      </c>
      <c r="C7" s="90">
        <f>Costos!F73</f>
        <v>275</v>
      </c>
      <c r="E7" s="17" t="s">
        <v>145</v>
      </c>
      <c r="F7" s="20">
        <f>Costos!C20</f>
        <v>25840</v>
      </c>
      <c r="H7" s="89">
        <v>0</v>
      </c>
      <c r="I7" s="114">
        <f>J3</f>
        <v>74391.360000000001</v>
      </c>
      <c r="J7" s="89"/>
      <c r="K7" s="89"/>
      <c r="L7" s="89"/>
    </row>
    <row r="8" spans="2:12">
      <c r="B8" s="89" t="s">
        <v>129</v>
      </c>
      <c r="C8" s="90">
        <f>Costos!C71</f>
        <v>269</v>
      </c>
      <c r="E8" s="17" t="s">
        <v>146</v>
      </c>
      <c r="F8" s="20">
        <f>Costos!C21</f>
        <v>23520</v>
      </c>
      <c r="H8" s="89">
        <v>1</v>
      </c>
      <c r="I8" s="114">
        <f>I7-J8</f>
        <v>62564.489767729392</v>
      </c>
      <c r="J8" s="98">
        <f>L8-K8</f>
        <v>11826.87023227061</v>
      </c>
      <c r="K8" s="114">
        <f>I7*$J$5</f>
        <v>8555.0064000000002</v>
      </c>
      <c r="L8" s="98">
        <f>-PMT($J$5,$J$4,$J$3)</f>
        <v>20381.876632270611</v>
      </c>
    </row>
    <row r="9" spans="2:12">
      <c r="B9" s="89" t="s">
        <v>119</v>
      </c>
      <c r="C9" s="90">
        <f>Costos!C79</f>
        <v>6118.7</v>
      </c>
      <c r="E9" s="17" t="s">
        <v>57</v>
      </c>
      <c r="F9" s="20">
        <f>SUM(F4:F8)</f>
        <v>52163</v>
      </c>
      <c r="H9" s="89">
        <v>2</v>
      </c>
      <c r="I9" s="114">
        <f>I8-J9</f>
        <v>49377.52945874766</v>
      </c>
      <c r="J9" s="98">
        <f>L9-K9</f>
        <v>13186.96030898173</v>
      </c>
      <c r="K9" s="114">
        <f>I8*$J$5</f>
        <v>7194.9163232888804</v>
      </c>
      <c r="L9" s="98">
        <f>-PMT($J$5,$J$4,$J$3)</f>
        <v>20381.876632270611</v>
      </c>
    </row>
    <row r="10" spans="2:12">
      <c r="B10" s="89" t="s">
        <v>140</v>
      </c>
      <c r="C10" s="90">
        <f>SUM(C4:C9)</f>
        <v>92989.2</v>
      </c>
      <c r="H10" s="89">
        <v>3</v>
      </c>
      <c r="I10" s="114">
        <f>I9-J10</f>
        <v>34674.068714233028</v>
      </c>
      <c r="J10" s="98">
        <f>L10-K10</f>
        <v>14703.460744514628</v>
      </c>
      <c r="K10" s="114">
        <f>I9*$J$5</f>
        <v>5678.4158877559812</v>
      </c>
      <c r="L10" s="98">
        <f>-PMT($J$5,$J$4,$J$3)</f>
        <v>20381.876632270611</v>
      </c>
    </row>
    <row r="11" spans="2:12">
      <c r="H11" s="89">
        <v>4</v>
      </c>
      <c r="I11" s="114">
        <f>I10-J11</f>
        <v>18279.709984099216</v>
      </c>
      <c r="J11" s="98">
        <f>L11-K11</f>
        <v>16394.358730133812</v>
      </c>
      <c r="K11" s="114">
        <f>I10*$J$5</f>
        <v>3987.5179021367985</v>
      </c>
      <c r="L11" s="98">
        <f>-PMT($J$5,$J$4,$J$3)</f>
        <v>20381.876632270611</v>
      </c>
    </row>
    <row r="12" spans="2:12" ht="19.5">
      <c r="B12" s="152" t="s">
        <v>225</v>
      </c>
      <c r="C12" s="153"/>
      <c r="D12" s="154"/>
      <c r="H12" s="89">
        <v>5</v>
      </c>
      <c r="I12" s="114">
        <f>I11-J12</f>
        <v>0</v>
      </c>
      <c r="J12" s="98">
        <f>L12-K12</f>
        <v>18279.709984099201</v>
      </c>
      <c r="K12" s="114">
        <f>I11*$J$5</f>
        <v>2102.1666481714101</v>
      </c>
      <c r="L12" s="98">
        <f>-PMT($J$5,$J$4,$J$3)</f>
        <v>20381.876632270611</v>
      </c>
    </row>
    <row r="13" spans="2:12">
      <c r="B13" s="92" t="s">
        <v>147</v>
      </c>
      <c r="C13" s="92" t="s">
        <v>148</v>
      </c>
      <c r="D13" s="92"/>
    </row>
    <row r="14" spans="2:12" ht="30" customHeight="1">
      <c r="B14" s="92" t="s">
        <v>149</v>
      </c>
      <c r="C14" s="93" t="s">
        <v>152</v>
      </c>
      <c r="D14" s="92"/>
    </row>
    <row r="15" spans="2:12" ht="15.75">
      <c r="B15" s="92" t="s">
        <v>223</v>
      </c>
      <c r="C15" s="92" t="s">
        <v>224</v>
      </c>
      <c r="D15" s="92" t="s">
        <v>150</v>
      </c>
    </row>
    <row r="16" spans="2:12">
      <c r="B16" s="92">
        <v>760</v>
      </c>
      <c r="C16" s="94">
        <v>29</v>
      </c>
      <c r="D16" s="95">
        <f>B16*C16</f>
        <v>22040</v>
      </c>
    </row>
    <row r="19" spans="3:3" ht="19.5">
      <c r="C19" s="24"/>
    </row>
  </sheetData>
  <mergeCells count="4">
    <mergeCell ref="B2:C2"/>
    <mergeCell ref="E2:F2"/>
    <mergeCell ref="B12:D12"/>
    <mergeCell ref="H2:L2"/>
  </mergeCells>
  <phoneticPr fontId="4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K37"/>
  <sheetViews>
    <sheetView workbookViewId="0">
      <selection activeCell="D40" sqref="D40"/>
    </sheetView>
  </sheetViews>
  <sheetFormatPr baseColWidth="10" defaultRowHeight="15"/>
  <cols>
    <col min="2" max="2" width="35.28515625" customWidth="1"/>
    <col min="3" max="3" width="12.28515625" bestFit="1" customWidth="1"/>
    <col min="4" max="4" width="13.5703125" customWidth="1"/>
    <col min="5" max="5" width="14" customWidth="1"/>
    <col min="6" max="6" width="14.5703125" customWidth="1"/>
    <col min="7" max="8" width="14.140625" customWidth="1"/>
  </cols>
  <sheetData>
    <row r="1" spans="1:11">
      <c r="B1" s="3"/>
      <c r="C1" s="3"/>
      <c r="D1" s="3"/>
      <c r="E1" s="3"/>
      <c r="F1" s="3"/>
      <c r="G1" s="3"/>
      <c r="H1" s="3"/>
    </row>
    <row r="2" spans="1:11">
      <c r="A2" s="16"/>
      <c r="B2" s="73" t="s">
        <v>95</v>
      </c>
      <c r="C2" s="73">
        <v>0</v>
      </c>
      <c r="D2" s="73">
        <v>1</v>
      </c>
      <c r="E2" s="73">
        <v>2</v>
      </c>
      <c r="F2" s="73">
        <v>3</v>
      </c>
      <c r="G2" s="73">
        <v>4</v>
      </c>
      <c r="H2" s="73">
        <v>5</v>
      </c>
    </row>
    <row r="3" spans="1:11" ht="16.5">
      <c r="A3" s="16"/>
      <c r="B3" s="74" t="s">
        <v>195</v>
      </c>
      <c r="C3" s="18"/>
      <c r="D3" s="18"/>
      <c r="E3" s="18"/>
      <c r="F3" s="18"/>
      <c r="G3" s="18"/>
      <c r="H3" s="18"/>
    </row>
    <row r="4" spans="1:11">
      <c r="A4" s="16"/>
      <c r="B4" s="18" t="s">
        <v>183</v>
      </c>
      <c r="C4" s="18"/>
      <c r="D4" s="68">
        <f>Ingresos!E27</f>
        <v>72864</v>
      </c>
      <c r="E4" s="68">
        <f>Ingresos!E28</f>
        <v>93288</v>
      </c>
      <c r="F4" s="68">
        <f>Ingresos!E29</f>
        <v>115920</v>
      </c>
      <c r="G4" s="68">
        <f>Ingresos!E30</f>
        <v>140760</v>
      </c>
      <c r="H4" s="68">
        <f>Ingresos!E31</f>
        <v>167807.99999999994</v>
      </c>
    </row>
    <row r="5" spans="1:11">
      <c r="A5" s="16"/>
      <c r="B5" s="18" t="s">
        <v>184</v>
      </c>
      <c r="C5" s="18"/>
      <c r="D5" s="68">
        <f>Ingresos!F22</f>
        <v>47100</v>
      </c>
      <c r="E5" s="68">
        <f>D5*(1+$K$14)</f>
        <v>51306.03</v>
      </c>
      <c r="F5" s="68">
        <f>E5*(1+$K$14)</f>
        <v>55887.658478999998</v>
      </c>
      <c r="G5" s="68">
        <f>F5*(1+$K$14)</f>
        <v>60878.426381174693</v>
      </c>
      <c r="H5" s="68">
        <f>G5*(1+$K$14)</f>
        <v>66314.869857013589</v>
      </c>
    </row>
    <row r="6" spans="1:11">
      <c r="A6" s="16"/>
      <c r="B6" s="18" t="s">
        <v>185</v>
      </c>
      <c r="C6" s="18"/>
      <c r="D6" s="68">
        <f>Ingresos!F38</f>
        <v>20400</v>
      </c>
      <c r="E6" s="68">
        <f>D6*(1.015)</f>
        <v>20705.999999999996</v>
      </c>
      <c r="F6" s="68">
        <f>E6*(1.015)</f>
        <v>21016.589999999993</v>
      </c>
      <c r="G6" s="68">
        <f>F6*(1.015)</f>
        <v>21331.838849999989</v>
      </c>
      <c r="H6" s="68">
        <f>G6*(1.015)</f>
        <v>21651.816432749987</v>
      </c>
    </row>
    <row r="7" spans="1:11">
      <c r="A7" s="16"/>
      <c r="B7" s="69" t="s">
        <v>186</v>
      </c>
      <c r="C7" s="18"/>
      <c r="D7" s="68">
        <f>D4+D5+D6</f>
        <v>140364</v>
      </c>
      <c r="E7" s="68">
        <f>E4+E5+E6</f>
        <v>165300.03</v>
      </c>
      <c r="F7" s="68">
        <f>F4+F5+F6</f>
        <v>192824.248479</v>
      </c>
      <c r="G7" s="68">
        <f>G4+G5+G6</f>
        <v>222970.26523117471</v>
      </c>
      <c r="H7" s="68">
        <f>H4+H5+H6</f>
        <v>255774.68628976351</v>
      </c>
    </row>
    <row r="8" spans="1:11" ht="15.75">
      <c r="A8" s="16"/>
      <c r="B8" s="67" t="s">
        <v>196</v>
      </c>
      <c r="C8" s="18"/>
      <c r="D8" s="68"/>
      <c r="E8" s="68"/>
      <c r="F8" s="68"/>
      <c r="G8" s="68"/>
      <c r="H8" s="68"/>
    </row>
    <row r="9" spans="1:11">
      <c r="A9" s="16"/>
      <c r="B9" s="18" t="s">
        <v>187</v>
      </c>
      <c r="C9" s="18"/>
      <c r="D9" s="68">
        <f>Costos!G57</f>
        <v>26070</v>
      </c>
      <c r="E9" s="68">
        <f>D9*(1+$K$14)</f>
        <v>28398.050999999999</v>
      </c>
      <c r="F9" s="68">
        <f>E9*(1+$K$14)</f>
        <v>30933.996954299997</v>
      </c>
      <c r="G9" s="68">
        <f>F9*(1+$K$14)</f>
        <v>33696.402882318987</v>
      </c>
      <c r="H9" s="68">
        <f>G9*(1+$K$14)</f>
        <v>36705.491659710067</v>
      </c>
    </row>
    <row r="10" spans="1:11">
      <c r="A10" s="16"/>
      <c r="B10" s="18" t="s">
        <v>188</v>
      </c>
      <c r="C10" s="18"/>
      <c r="D10" s="68">
        <f>'demanda anual'!E23</f>
        <v>2283.0720000000001</v>
      </c>
      <c r="E10" s="68">
        <f>'demanda anual'!E24</f>
        <v>2784.288</v>
      </c>
      <c r="F10" s="68">
        <f>'demanda anual'!E25</f>
        <v>3312</v>
      </c>
      <c r="G10" s="68">
        <f>'demanda anual'!E26</f>
        <v>3866.2080000000001</v>
      </c>
      <c r="H10" s="68">
        <f>'demanda anual'!E27</f>
        <v>4446.9119999999994</v>
      </c>
    </row>
    <row r="11" spans="1:11">
      <c r="A11" s="16"/>
      <c r="B11" s="18" t="s">
        <v>192</v>
      </c>
      <c r="C11" s="18"/>
      <c r="D11" s="68">
        <f>D9+D10</f>
        <v>28353.072</v>
      </c>
      <c r="E11" s="68">
        <f>E9+E10</f>
        <v>31182.339</v>
      </c>
      <c r="F11" s="68">
        <f>F9+F10</f>
        <v>34245.996954299997</v>
      </c>
      <c r="G11" s="68">
        <f>G9+G10</f>
        <v>37562.610882318986</v>
      </c>
      <c r="H11" s="68">
        <f>H9+H10</f>
        <v>41152.403659710064</v>
      </c>
    </row>
    <row r="12" spans="1:11">
      <c r="A12" s="16"/>
      <c r="B12" s="18" t="s">
        <v>193</v>
      </c>
      <c r="C12" s="18"/>
      <c r="D12" s="68">
        <f>D7-D11</f>
        <v>112010.928</v>
      </c>
      <c r="E12" s="68">
        <f>E7-E11</f>
        <v>134117.69099999999</v>
      </c>
      <c r="F12" s="68">
        <f>F7-F11</f>
        <v>158578.2515247</v>
      </c>
      <c r="G12" s="68">
        <f>G7-G11</f>
        <v>185407.65434885572</v>
      </c>
      <c r="H12" s="68">
        <f>H7-H11</f>
        <v>214622.28263005347</v>
      </c>
    </row>
    <row r="13" spans="1:11" ht="15.75">
      <c r="A13" s="16"/>
      <c r="B13" s="67" t="s">
        <v>194</v>
      </c>
      <c r="C13" s="18"/>
      <c r="D13" s="18"/>
      <c r="E13" s="18"/>
      <c r="F13" s="18"/>
      <c r="G13" s="18"/>
      <c r="H13" s="18"/>
    </row>
    <row r="14" spans="1:11">
      <c r="A14" s="16"/>
      <c r="B14" s="18" t="s">
        <v>197</v>
      </c>
      <c r="C14" s="18"/>
      <c r="D14" s="22">
        <f>Costos!J12</f>
        <v>37755</v>
      </c>
      <c r="E14" s="22">
        <f t="shared" ref="E14:H16" si="0">D14*(1+$K$14)</f>
        <v>41126.521499999995</v>
      </c>
      <c r="F14" s="22">
        <f t="shared" si="0"/>
        <v>44799.119869949995</v>
      </c>
      <c r="G14" s="22">
        <f t="shared" si="0"/>
        <v>48799.681274336523</v>
      </c>
      <c r="H14" s="22">
        <f t="shared" si="0"/>
        <v>53157.492812134769</v>
      </c>
      <c r="J14" t="s">
        <v>221</v>
      </c>
      <c r="K14" s="14">
        <v>8.9300000000000004E-2</v>
      </c>
    </row>
    <row r="15" spans="1:11">
      <c r="A15" s="16"/>
      <c r="B15" s="18" t="s">
        <v>56</v>
      </c>
      <c r="C15" s="18"/>
      <c r="D15" s="22">
        <f>Costos!G67</f>
        <v>3240</v>
      </c>
      <c r="E15" s="22">
        <f t="shared" si="0"/>
        <v>3529.3319999999999</v>
      </c>
      <c r="F15" s="22">
        <f t="shared" si="0"/>
        <v>3844.5013475999995</v>
      </c>
      <c r="G15" s="22">
        <f t="shared" si="0"/>
        <v>4187.8153179406791</v>
      </c>
      <c r="H15" s="22">
        <f t="shared" si="0"/>
        <v>4561.7872258327816</v>
      </c>
    </row>
    <row r="16" spans="1:11">
      <c r="A16" s="16"/>
      <c r="B16" s="18" t="s">
        <v>198</v>
      </c>
      <c r="C16" s="18"/>
      <c r="D16" s="22">
        <f>Costos!G89</f>
        <v>1072.2</v>
      </c>
      <c r="E16" s="22">
        <f t="shared" si="0"/>
        <v>1167.9474600000001</v>
      </c>
      <c r="F16" s="22">
        <f t="shared" si="0"/>
        <v>1272.2451681780001</v>
      </c>
      <c r="G16" s="22">
        <f t="shared" si="0"/>
        <v>1385.8566616962953</v>
      </c>
      <c r="H16" s="22">
        <f t="shared" si="0"/>
        <v>1509.6136615857745</v>
      </c>
    </row>
    <row r="17" spans="1:8">
      <c r="A17" s="16"/>
      <c r="B17" s="18" t="s">
        <v>167</v>
      </c>
      <c r="C17" s="18"/>
      <c r="D17" s="23">
        <f>Arreglando!K8</f>
        <v>8555.0064000000002</v>
      </c>
      <c r="E17" s="23">
        <f>Arreglando!K9</f>
        <v>7194.9163232888804</v>
      </c>
      <c r="F17" s="23">
        <f>Arreglando!K10</f>
        <v>5678.4158877559812</v>
      </c>
      <c r="G17" s="23">
        <f>Arreglando!K11</f>
        <v>3987.5179021367985</v>
      </c>
      <c r="H17" s="23">
        <f>Arreglando!K12</f>
        <v>2102.1666481714101</v>
      </c>
    </row>
    <row r="18" spans="1:8">
      <c r="A18" s="16"/>
      <c r="B18" s="18" t="s">
        <v>203</v>
      </c>
      <c r="C18" s="18"/>
      <c r="D18" s="25">
        <f>Costos!E99</f>
        <v>10779.933333333332</v>
      </c>
      <c r="E18" s="25">
        <f>Costos!E99</f>
        <v>10779.933333333332</v>
      </c>
      <c r="F18" s="25">
        <f>Costos!E99</f>
        <v>10779.933333333332</v>
      </c>
      <c r="G18" s="25">
        <f>Costos!E99</f>
        <v>10779.933333333332</v>
      </c>
      <c r="H18" s="25">
        <f>Costos!E99</f>
        <v>10779.933333333332</v>
      </c>
    </row>
    <row r="19" spans="1:8">
      <c r="A19" s="16"/>
      <c r="B19" s="18" t="s">
        <v>204</v>
      </c>
      <c r="C19" s="18"/>
      <c r="D19" s="22">
        <f>Costos!F106</f>
        <v>108.80000000000001</v>
      </c>
      <c r="E19" s="22">
        <f>Costos!F106</f>
        <v>108.80000000000001</v>
      </c>
      <c r="F19" s="22">
        <f>E19</f>
        <v>108.80000000000001</v>
      </c>
      <c r="G19" s="22">
        <f>F19</f>
        <v>108.80000000000001</v>
      </c>
      <c r="H19" s="22">
        <f>G19</f>
        <v>108.80000000000001</v>
      </c>
    </row>
    <row r="20" spans="1:8">
      <c r="A20" s="16"/>
      <c r="B20" s="18" t="s">
        <v>205</v>
      </c>
      <c r="C20" s="18"/>
      <c r="D20" s="22">
        <f>SUM(D14:D19)</f>
        <v>61510.939733333333</v>
      </c>
      <c r="E20" s="22">
        <f>SUM(E14:E19)</f>
        <v>63907.45061662222</v>
      </c>
      <c r="F20" s="22">
        <f>SUM(F14:F19)</f>
        <v>66483.015606817309</v>
      </c>
      <c r="G20" s="22">
        <f>SUM(G14:G19)</f>
        <v>69249.604489443635</v>
      </c>
      <c r="H20" s="22">
        <f>SUM(H14:H19)</f>
        <v>72219.793681058072</v>
      </c>
    </row>
    <row r="21" spans="1:8">
      <c r="A21" s="16"/>
      <c r="B21" s="18" t="s">
        <v>206</v>
      </c>
      <c r="C21" s="18"/>
      <c r="D21" s="68">
        <f>D12-D20</f>
        <v>50499.988266666667</v>
      </c>
      <c r="E21" s="68">
        <f>E12-E20</f>
        <v>70210.240383377764</v>
      </c>
      <c r="F21" s="68">
        <f>F12-F20</f>
        <v>92095.235917882688</v>
      </c>
      <c r="G21" s="68">
        <f>G12-G20</f>
        <v>116158.04985941209</v>
      </c>
      <c r="H21" s="68">
        <f>H12-H20</f>
        <v>142402.48894899539</v>
      </c>
    </row>
    <row r="22" spans="1:8">
      <c r="A22" s="44">
        <v>0.15</v>
      </c>
      <c r="B22" s="18" t="s">
        <v>207</v>
      </c>
      <c r="C22" s="18"/>
      <c r="D22" s="68">
        <f>D21*$A$22</f>
        <v>7574.9982399999999</v>
      </c>
      <c r="E22" s="68">
        <f>E21*$A$22</f>
        <v>10531.536057506664</v>
      </c>
      <c r="F22" s="68">
        <f>F21*$A$22</f>
        <v>13814.285387682403</v>
      </c>
      <c r="G22" s="68">
        <f>G21*$A$22</f>
        <v>17423.707478911812</v>
      </c>
      <c r="H22" s="68">
        <f>H21*$A$22</f>
        <v>21360.373342349307</v>
      </c>
    </row>
    <row r="23" spans="1:8">
      <c r="A23" s="16"/>
      <c r="B23" s="18" t="s">
        <v>208</v>
      </c>
      <c r="C23" s="18"/>
      <c r="D23" s="68">
        <f>D21-D22</f>
        <v>42924.990026666666</v>
      </c>
      <c r="E23" s="68">
        <f>E21-E22</f>
        <v>59678.704325871098</v>
      </c>
      <c r="F23" s="68">
        <f>F21-F22</f>
        <v>78280.95053020028</v>
      </c>
      <c r="G23" s="68">
        <f>G21-G22</f>
        <v>98734.342380500282</v>
      </c>
      <c r="H23" s="68">
        <f>H21-H22</f>
        <v>121042.11560664608</v>
      </c>
    </row>
    <row r="24" spans="1:8">
      <c r="A24" s="44">
        <v>0.25</v>
      </c>
      <c r="B24" s="18" t="s">
        <v>209</v>
      </c>
      <c r="C24" s="18"/>
      <c r="D24" s="68">
        <f>D23*$A$24</f>
        <v>10731.247506666667</v>
      </c>
      <c r="E24" s="68">
        <f>E23*$A$24</f>
        <v>14919.676081467775</v>
      </c>
      <c r="F24" s="68">
        <f>F23*$A$24</f>
        <v>19570.23763255007</v>
      </c>
      <c r="G24" s="68">
        <f>G23*$A$24</f>
        <v>24683.585595125071</v>
      </c>
      <c r="H24" s="68">
        <f>H23*$A$24</f>
        <v>30260.528901661521</v>
      </c>
    </row>
    <row r="25" spans="1:8">
      <c r="A25" s="16"/>
      <c r="B25" s="69" t="s">
        <v>210</v>
      </c>
      <c r="C25" s="18"/>
      <c r="D25" s="68">
        <f>D23-D24</f>
        <v>32193.74252</v>
      </c>
      <c r="E25" s="68">
        <f>E23-E24</f>
        <v>44759.028244403322</v>
      </c>
      <c r="F25" s="68">
        <f>F23-F24</f>
        <v>58710.712897650214</v>
      </c>
      <c r="G25" s="68">
        <f>G23-G24</f>
        <v>74050.756785375212</v>
      </c>
      <c r="H25" s="68">
        <f>H23-H24</f>
        <v>90781.586704984569</v>
      </c>
    </row>
    <row r="26" spans="1:8">
      <c r="A26" s="16"/>
      <c r="B26" s="18" t="s">
        <v>203</v>
      </c>
      <c r="C26" s="18"/>
      <c r="D26" s="25">
        <f t="shared" ref="D26:H27" si="1">D18</f>
        <v>10779.933333333332</v>
      </c>
      <c r="E26" s="25">
        <f t="shared" si="1"/>
        <v>10779.933333333332</v>
      </c>
      <c r="F26" s="25">
        <f t="shared" si="1"/>
        <v>10779.933333333332</v>
      </c>
      <c r="G26" s="25">
        <f t="shared" si="1"/>
        <v>10779.933333333332</v>
      </c>
      <c r="H26" s="25">
        <f t="shared" si="1"/>
        <v>10779.933333333332</v>
      </c>
    </row>
    <row r="27" spans="1:8">
      <c r="A27" s="16"/>
      <c r="B27" s="18" t="s">
        <v>204</v>
      </c>
      <c r="C27" s="18"/>
      <c r="D27" s="22">
        <f t="shared" si="1"/>
        <v>108.80000000000001</v>
      </c>
      <c r="E27" s="22">
        <f t="shared" si="1"/>
        <v>108.80000000000001</v>
      </c>
      <c r="F27" s="22">
        <f t="shared" si="1"/>
        <v>108.80000000000001</v>
      </c>
      <c r="G27" s="22">
        <f t="shared" si="1"/>
        <v>108.80000000000001</v>
      </c>
      <c r="H27" s="22">
        <f t="shared" si="1"/>
        <v>108.80000000000001</v>
      </c>
    </row>
    <row r="28" spans="1:8">
      <c r="A28" s="16"/>
      <c r="B28" s="18" t="s">
        <v>211</v>
      </c>
      <c r="C28" s="70">
        <f>-Costos!G79</f>
        <v>-74391.360000000001</v>
      </c>
      <c r="D28" s="70"/>
      <c r="E28" s="70"/>
      <c r="F28" s="70"/>
      <c r="G28" s="70"/>
      <c r="H28" s="70"/>
    </row>
    <row r="29" spans="1:8">
      <c r="A29" s="16"/>
      <c r="B29" s="18" t="s">
        <v>212</v>
      </c>
      <c r="C29" s="70"/>
      <c r="D29" s="70">
        <f>-Arreglando!J8</f>
        <v>-11826.87023227061</v>
      </c>
      <c r="E29" s="70">
        <f>-Arreglando!J9</f>
        <v>-13186.96030898173</v>
      </c>
      <c r="F29" s="70">
        <f>-Arreglando!J10</f>
        <v>-14703.460744514628</v>
      </c>
      <c r="G29" s="70">
        <f>-Arreglando!J11</f>
        <v>-16394.358730133812</v>
      </c>
      <c r="H29" s="70">
        <f>-Arreglando!J12</f>
        <v>-18279.709984099201</v>
      </c>
    </row>
    <row r="30" spans="1:8">
      <c r="A30" s="16"/>
      <c r="B30" s="18" t="s">
        <v>213</v>
      </c>
      <c r="C30" s="70"/>
      <c r="D30" s="70"/>
      <c r="E30" s="70"/>
      <c r="F30" s="70"/>
      <c r="G30" s="70"/>
      <c r="H30" s="70">
        <f>Costos!G99</f>
        <v>14837.666666666666</v>
      </c>
    </row>
    <row r="31" spans="1:8">
      <c r="A31" s="16"/>
      <c r="B31" s="18" t="s">
        <v>214</v>
      </c>
      <c r="C31" s="70">
        <f t="shared" ref="C31:H31" si="2">SUM(C25:C30)</f>
        <v>-74391.360000000001</v>
      </c>
      <c r="D31" s="70">
        <f t="shared" si="2"/>
        <v>31255.605621062728</v>
      </c>
      <c r="E31" s="70">
        <f t="shared" si="2"/>
        <v>42460.801268754927</v>
      </c>
      <c r="F31" s="70">
        <f t="shared" si="2"/>
        <v>54895.985486468926</v>
      </c>
      <c r="G31" s="70">
        <f t="shared" si="2"/>
        <v>68545.131388574737</v>
      </c>
      <c r="H31" s="70">
        <f t="shared" si="2"/>
        <v>98228.276720885377</v>
      </c>
    </row>
    <row r="32" spans="1:8">
      <c r="A32" s="16"/>
      <c r="B32" s="18" t="s">
        <v>215</v>
      </c>
      <c r="C32" s="70">
        <f>C31</f>
        <v>-74391.360000000001</v>
      </c>
      <c r="D32" s="23">
        <f>D31/(1+$C$34)^D2</f>
        <v>26623.173442131796</v>
      </c>
      <c r="E32" s="23">
        <f>E31/(1+$C$34)^E2</f>
        <v>30807.183226548914</v>
      </c>
      <c r="F32" s="23">
        <f>F31/(1+$C$34)^F2</f>
        <v>33926.284146452446</v>
      </c>
      <c r="G32" s="23">
        <f>G31/(1+$C$34)^G2</f>
        <v>36083.131875957595</v>
      </c>
      <c r="H32" s="23">
        <f>H31/(1+$C$34)^H2</f>
        <v>44044.941800469365</v>
      </c>
    </row>
    <row r="33" spans="1:8">
      <c r="A33" s="16"/>
      <c r="B33" s="18" t="s">
        <v>216</v>
      </c>
      <c r="C33" s="70">
        <f>C32</f>
        <v>-74391.360000000001</v>
      </c>
      <c r="D33" s="23">
        <f>C33+D32</f>
        <v>-47768.186557868205</v>
      </c>
      <c r="E33" s="23">
        <f>D33+E32</f>
        <v>-16961.003331319291</v>
      </c>
      <c r="F33" s="23">
        <f>E33+F32</f>
        <v>16965.280815133156</v>
      </c>
      <c r="G33" s="23">
        <f>F33+G32</f>
        <v>53048.412691090751</v>
      </c>
      <c r="H33" s="23">
        <f>G33+H32</f>
        <v>97093.354491560109</v>
      </c>
    </row>
    <row r="34" spans="1:8">
      <c r="A34" s="16"/>
      <c r="B34" s="18" t="s">
        <v>217</v>
      </c>
      <c r="C34" s="71">
        <v>0.17399999999999999</v>
      </c>
      <c r="D34" s="18"/>
      <c r="E34" s="18"/>
      <c r="F34" s="18"/>
      <c r="G34" s="18"/>
      <c r="H34" s="18"/>
    </row>
    <row r="35" spans="1:8">
      <c r="A35" s="16"/>
      <c r="B35" s="18" t="s">
        <v>218</v>
      </c>
      <c r="C35" s="40">
        <f>NPV(C34,D31:H31)+C31</f>
        <v>97093.354491560123</v>
      </c>
      <c r="D35" s="18"/>
      <c r="E35" s="18"/>
      <c r="F35" s="18"/>
      <c r="G35" s="18"/>
      <c r="H35" s="18"/>
    </row>
    <row r="36" spans="1:8">
      <c r="A36" s="16"/>
      <c r="B36" s="18" t="s">
        <v>219</v>
      </c>
      <c r="C36" s="42">
        <f>IRR(C31:H31)</f>
        <v>0.55809455961870558</v>
      </c>
      <c r="D36" s="18"/>
      <c r="E36" s="18"/>
      <c r="F36" s="18"/>
      <c r="G36" s="18"/>
      <c r="H36" s="18"/>
    </row>
    <row r="37" spans="1:8">
      <c r="A37" s="16"/>
      <c r="B37" s="18" t="s">
        <v>220</v>
      </c>
      <c r="C37" s="72">
        <f>2-E33/F32</f>
        <v>2.4999369591465515</v>
      </c>
      <c r="D37" s="18" t="s">
        <v>105</v>
      </c>
      <c r="E37" s="18"/>
      <c r="F37" s="18"/>
      <c r="G37" s="18"/>
      <c r="H37" s="18"/>
    </row>
  </sheetData>
  <phoneticPr fontId="4" type="noConversion"/>
  <pageMargins left="0.7" right="0.7" top="0.75" bottom="0.75" header="0.3" footer="0.3"/>
  <pageSetup paperSize="9" orientation="portrait" r:id="rId1"/>
  <ignoredErrors>
    <ignoredError sqref="E17:H17 D24:H24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summaryBelow="0"/>
  </sheetPr>
  <dimension ref="B1:N12"/>
  <sheetViews>
    <sheetView showGridLines="0" topLeftCell="B1" workbookViewId="0">
      <selection activeCell="E3" sqref="E3"/>
    </sheetView>
  </sheetViews>
  <sheetFormatPr baseColWidth="10" defaultRowHeight="15" outlineLevelRow="1" outlineLevelCol="1"/>
  <cols>
    <col min="3" max="3" width="6.28515625" customWidth="1"/>
    <col min="4" max="4" width="13.42578125" bestFit="1" customWidth="1" outlineLevel="1"/>
    <col min="5" max="7" width="13.42578125" customWidth="1" outlineLevel="1"/>
    <col min="8" max="12" width="13.42578125" bestFit="1" customWidth="1" outlineLevel="1"/>
  </cols>
  <sheetData>
    <row r="1" spans="2:14" ht="15.75" thickBot="1"/>
    <row r="2" spans="2:14" ht="15.75">
      <c r="B2" s="130" t="s">
        <v>233</v>
      </c>
      <c r="C2" s="130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</row>
    <row r="3" spans="2:14" ht="15.75" collapsed="1">
      <c r="B3" s="132"/>
      <c r="C3" s="132"/>
      <c r="D3" s="133" t="s">
        <v>235</v>
      </c>
      <c r="E3" s="143"/>
      <c r="F3" s="134">
        <v>-0.25</v>
      </c>
      <c r="G3" s="134">
        <v>-0.2</v>
      </c>
      <c r="H3" s="135">
        <v>-0.1</v>
      </c>
      <c r="I3" s="135">
        <v>-0.05</v>
      </c>
      <c r="J3" s="133">
        <v>0</v>
      </c>
      <c r="K3" s="135">
        <v>0.05</v>
      </c>
      <c r="L3" s="135">
        <v>0.1</v>
      </c>
      <c r="M3" s="135">
        <v>0.2</v>
      </c>
      <c r="N3" s="135">
        <v>0.25</v>
      </c>
    </row>
    <row r="4" spans="2:14" ht="67.5" hidden="1" outlineLevel="1">
      <c r="B4" s="59"/>
      <c r="C4" s="59"/>
      <c r="D4" s="54"/>
      <c r="E4" s="54"/>
      <c r="F4" s="128"/>
      <c r="G4" s="128"/>
      <c r="H4" s="64" t="s">
        <v>241</v>
      </c>
      <c r="I4" s="64" t="s">
        <v>241</v>
      </c>
      <c r="J4" s="64" t="s">
        <v>241</v>
      </c>
      <c r="K4" s="64" t="s">
        <v>241</v>
      </c>
      <c r="L4" s="64" t="s">
        <v>241</v>
      </c>
    </row>
    <row r="5" spans="2:14">
      <c r="B5" s="60" t="s">
        <v>234</v>
      </c>
      <c r="C5" s="60"/>
      <c r="D5" s="58"/>
      <c r="E5" s="58"/>
      <c r="F5" s="137"/>
      <c r="G5" s="137"/>
      <c r="H5" s="138"/>
      <c r="I5" s="138"/>
      <c r="J5" s="138"/>
      <c r="K5" s="138"/>
      <c r="L5" s="138"/>
      <c r="M5" s="139"/>
      <c r="N5" s="139"/>
    </row>
    <row r="6" spans="2:14" outlineLevel="1">
      <c r="B6" s="59"/>
      <c r="C6" s="59" t="s">
        <v>240</v>
      </c>
      <c r="D6" s="65"/>
      <c r="E6" s="65"/>
      <c r="F6" s="140">
        <v>-0.25</v>
      </c>
      <c r="G6" s="140">
        <v>-0.2</v>
      </c>
      <c r="H6" s="136">
        <v>-0.1</v>
      </c>
      <c r="I6" s="136">
        <v>-0.05</v>
      </c>
      <c r="J6" s="136">
        <v>0</v>
      </c>
      <c r="K6" s="136">
        <v>0.05</v>
      </c>
      <c r="L6" s="136">
        <v>0.1</v>
      </c>
      <c r="M6" s="136">
        <v>0.2</v>
      </c>
      <c r="N6" s="136">
        <v>0.25</v>
      </c>
    </row>
    <row r="7" spans="2:14">
      <c r="B7" s="60" t="s">
        <v>236</v>
      </c>
      <c r="C7" s="60"/>
      <c r="D7" s="58"/>
      <c r="E7" s="58"/>
      <c r="F7" s="137"/>
      <c r="G7" s="137"/>
      <c r="H7" s="138"/>
      <c r="I7" s="138"/>
      <c r="J7" s="138"/>
      <c r="K7" s="138"/>
      <c r="L7" s="138"/>
      <c r="M7" s="139"/>
      <c r="N7" s="139"/>
    </row>
    <row r="8" spans="2:14">
      <c r="B8" s="66"/>
      <c r="C8" s="66" t="s">
        <v>231</v>
      </c>
      <c r="D8" s="54"/>
      <c r="E8" s="54"/>
      <c r="F8" s="141">
        <v>78038.399999999994</v>
      </c>
      <c r="G8" s="141">
        <v>81849.39</v>
      </c>
      <c r="H8" s="141">
        <v>89471.37</v>
      </c>
      <c r="I8" s="141">
        <v>93282.36</v>
      </c>
      <c r="J8" s="141">
        <v>97093.35</v>
      </c>
      <c r="K8" s="141">
        <v>100904.34</v>
      </c>
      <c r="L8" s="141">
        <v>104715.33</v>
      </c>
      <c r="M8" s="141">
        <v>112337.32</v>
      </c>
      <c r="N8" s="141">
        <v>116148.31</v>
      </c>
    </row>
    <row r="9" spans="2:14" ht="15.75" outlineLevel="1" thickBot="1">
      <c r="B9" s="61"/>
      <c r="C9" s="61" t="s">
        <v>232</v>
      </c>
      <c r="D9" s="55"/>
      <c r="E9" s="54"/>
      <c r="F9" s="140">
        <v>0.45</v>
      </c>
      <c r="G9" s="140">
        <v>0.47</v>
      </c>
      <c r="H9" s="136">
        <v>0.51</v>
      </c>
      <c r="I9" s="136">
        <v>0.54</v>
      </c>
      <c r="J9" s="136">
        <v>0.56000000000000005</v>
      </c>
      <c r="K9" s="136">
        <v>0.57999999999999996</v>
      </c>
      <c r="L9" s="136">
        <v>0.6</v>
      </c>
      <c r="M9" s="142">
        <v>0.65</v>
      </c>
      <c r="N9" s="142">
        <v>0.68</v>
      </c>
    </row>
    <row r="10" spans="2:14">
      <c r="B10" t="s">
        <v>237</v>
      </c>
    </row>
    <row r="11" spans="2:14">
      <c r="B11" t="s">
        <v>238</v>
      </c>
    </row>
    <row r="12" spans="2:14">
      <c r="B12" t="s">
        <v>239</v>
      </c>
    </row>
  </sheetData>
  <phoneticPr fontId="4" type="noConversion"/>
  <pageMargins left="0.75" right="0.75" top="1" bottom="1" header="0" footer="0"/>
  <pageSetup paperSize="9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K56"/>
  <sheetViews>
    <sheetView tabSelected="1" topLeftCell="B1" workbookViewId="0">
      <selection activeCell="G40" sqref="G40"/>
    </sheetView>
  </sheetViews>
  <sheetFormatPr baseColWidth="10" defaultRowHeight="15"/>
  <cols>
    <col min="2" max="2" width="35.28515625" customWidth="1"/>
    <col min="3" max="3" width="12.28515625" bestFit="1" customWidth="1"/>
    <col min="4" max="4" width="13.5703125" customWidth="1"/>
    <col min="5" max="5" width="14" customWidth="1"/>
    <col min="6" max="6" width="14.5703125" customWidth="1"/>
    <col min="7" max="8" width="14.140625" customWidth="1"/>
  </cols>
  <sheetData>
    <row r="1" spans="1:11">
      <c r="B1" s="3"/>
      <c r="C1" s="3"/>
      <c r="D1" s="3"/>
      <c r="E1" s="3"/>
      <c r="F1" s="3"/>
      <c r="G1" s="3"/>
      <c r="H1" s="3"/>
    </row>
    <row r="2" spans="1:11">
      <c r="A2" s="16"/>
      <c r="B2" s="73" t="s">
        <v>95</v>
      </c>
      <c r="C2" s="73">
        <v>0</v>
      </c>
      <c r="D2" s="73">
        <v>1</v>
      </c>
      <c r="E2" s="73">
        <v>2</v>
      </c>
      <c r="F2" s="73">
        <v>3</v>
      </c>
      <c r="G2" s="73">
        <v>4</v>
      </c>
      <c r="H2" s="73">
        <v>5</v>
      </c>
    </row>
    <row r="3" spans="1:11" ht="16.5">
      <c r="A3" s="16"/>
      <c r="B3" s="74" t="s">
        <v>195</v>
      </c>
      <c r="C3" s="18"/>
      <c r="D3" s="18"/>
      <c r="E3" s="18"/>
      <c r="F3" s="18"/>
      <c r="G3" s="18"/>
      <c r="H3" s="18"/>
    </row>
    <row r="4" spans="1:11">
      <c r="A4" s="16"/>
      <c r="B4" s="18" t="s">
        <v>183</v>
      </c>
      <c r="C4" s="18"/>
      <c r="D4" s="68">
        <f>Ingresos!E27</f>
        <v>72864</v>
      </c>
      <c r="E4" s="68">
        <f>Ingresos!E28</f>
        <v>93288</v>
      </c>
      <c r="F4" s="68">
        <f>Ingresos!E29</f>
        <v>115920</v>
      </c>
      <c r="G4" s="68">
        <f>Ingresos!E30</f>
        <v>140760</v>
      </c>
      <c r="H4" s="68">
        <f>Ingresos!E31</f>
        <v>167807.99999999994</v>
      </c>
    </row>
    <row r="5" spans="1:11">
      <c r="A5" s="16"/>
      <c r="B5" s="18" t="s">
        <v>184</v>
      </c>
      <c r="C5" s="18"/>
      <c r="D5" s="68">
        <f>Ingresos!F22</f>
        <v>47100</v>
      </c>
      <c r="E5" s="68">
        <f>D5*(1+$K$14)</f>
        <v>51306.03</v>
      </c>
      <c r="F5" s="68">
        <f>E5*(1+$K$14)</f>
        <v>55887.658478999998</v>
      </c>
      <c r="G5" s="68">
        <f>F5*(1+$K$14)</f>
        <v>60878.426381174693</v>
      </c>
      <c r="H5" s="68">
        <f>G5*(1+$K$14)</f>
        <v>66314.869857013589</v>
      </c>
    </row>
    <row r="6" spans="1:11">
      <c r="A6" s="16"/>
      <c r="B6" s="18" t="s">
        <v>185</v>
      </c>
      <c r="C6" s="18"/>
      <c r="D6" s="68">
        <f>Ingresos!F38</f>
        <v>20400</v>
      </c>
      <c r="E6" s="68">
        <f>D6*(1.015)</f>
        <v>20705.999999999996</v>
      </c>
      <c r="F6" s="68">
        <f>E6*(1.015)</f>
        <v>21016.589999999993</v>
      </c>
      <c r="G6" s="68">
        <f>F6*(1.015)</f>
        <v>21331.838849999989</v>
      </c>
      <c r="H6" s="68">
        <f>G6*(1.015)</f>
        <v>21651.816432749987</v>
      </c>
    </row>
    <row r="7" spans="1:11">
      <c r="A7" s="16"/>
      <c r="B7" s="69" t="s">
        <v>186</v>
      </c>
      <c r="C7" s="18"/>
      <c r="D7" s="68">
        <f>(D4+D5+D6)*(1+F41)</f>
        <v>140364</v>
      </c>
      <c r="E7" s="68">
        <f>(E4+E5+E6)*(1+G41)</f>
        <v>165300.03</v>
      </c>
      <c r="F7" s="68">
        <f>(F4+F5+F6)*(1+H41)</f>
        <v>192824.248479</v>
      </c>
      <c r="G7" s="68">
        <f>(G4+G5+G6)*(1+I41)</f>
        <v>222970.26523117471</v>
      </c>
      <c r="H7" s="68">
        <f>(H4+H5+H6)*(1+J41)</f>
        <v>255774.68628976351</v>
      </c>
    </row>
    <row r="8" spans="1:11" ht="15.75">
      <c r="A8" s="16"/>
      <c r="B8" s="67" t="s">
        <v>196</v>
      </c>
      <c r="C8" s="18"/>
      <c r="D8" s="68"/>
      <c r="E8" s="68"/>
      <c r="F8" s="68"/>
      <c r="G8" s="68"/>
      <c r="H8" s="68"/>
    </row>
    <row r="9" spans="1:11">
      <c r="A9" s="16"/>
      <c r="B9" s="18" t="s">
        <v>187</v>
      </c>
      <c r="C9" s="18"/>
      <c r="D9" s="68">
        <f>Costos!G57</f>
        <v>26070</v>
      </c>
      <c r="E9" s="68">
        <f>D9*(1+$K$14)</f>
        <v>28398.050999999999</v>
      </c>
      <c r="F9" s="68">
        <f>E9*(1+$K$14)</f>
        <v>30933.996954299997</v>
      </c>
      <c r="G9" s="68">
        <f>F9*(1+$K$14)</f>
        <v>33696.402882318987</v>
      </c>
      <c r="H9" s="68">
        <f>G9*(1+$K$14)</f>
        <v>36705.491659710067</v>
      </c>
    </row>
    <row r="10" spans="1:11">
      <c r="A10" s="16"/>
      <c r="B10" s="18" t="s">
        <v>188</v>
      </c>
      <c r="C10" s="18"/>
      <c r="D10" s="68">
        <f>'demanda anual'!E23</f>
        <v>2283.0720000000001</v>
      </c>
      <c r="E10" s="68">
        <f>'demanda anual'!E24</f>
        <v>2784.288</v>
      </c>
      <c r="F10" s="68">
        <f>'demanda anual'!E25</f>
        <v>3312</v>
      </c>
      <c r="G10" s="68">
        <f>'demanda anual'!E26</f>
        <v>3866.2080000000001</v>
      </c>
      <c r="H10" s="68">
        <f>'demanda anual'!E27</f>
        <v>4446.9119999999994</v>
      </c>
    </row>
    <row r="11" spans="1:11">
      <c r="A11" s="16"/>
      <c r="B11" s="18" t="s">
        <v>192</v>
      </c>
      <c r="C11" s="18"/>
      <c r="D11" s="68">
        <f>D9+D10</f>
        <v>28353.072</v>
      </c>
      <c r="E11" s="68">
        <f>E9+E10</f>
        <v>31182.339</v>
      </c>
      <c r="F11" s="68">
        <f>F9+F10</f>
        <v>34245.996954299997</v>
      </c>
      <c r="G11" s="68">
        <f>G9+G10</f>
        <v>37562.610882318986</v>
      </c>
      <c r="H11" s="68">
        <f>H9+H10</f>
        <v>41152.403659710064</v>
      </c>
    </row>
    <row r="12" spans="1:11">
      <c r="A12" s="16"/>
      <c r="B12" s="18" t="s">
        <v>193</v>
      </c>
      <c r="C12" s="18"/>
      <c r="D12" s="68">
        <f>D7-D11</f>
        <v>112010.928</v>
      </c>
      <c r="E12" s="68">
        <f>E7-E11</f>
        <v>134117.69099999999</v>
      </c>
      <c r="F12" s="68">
        <f>F7-F11</f>
        <v>158578.2515247</v>
      </c>
      <c r="G12" s="68">
        <f>G7-G11</f>
        <v>185407.65434885572</v>
      </c>
      <c r="H12" s="68">
        <f>H7-H11</f>
        <v>214622.28263005347</v>
      </c>
    </row>
    <row r="13" spans="1:11" ht="15.75">
      <c r="A13" s="16"/>
      <c r="B13" s="67" t="s">
        <v>194</v>
      </c>
      <c r="C13" s="18"/>
      <c r="D13" s="18"/>
      <c r="E13" s="18"/>
      <c r="F13" s="18"/>
      <c r="G13" s="18"/>
      <c r="H13" s="18"/>
    </row>
    <row r="14" spans="1:11">
      <c r="A14" s="16"/>
      <c r="B14" s="18" t="s">
        <v>197</v>
      </c>
      <c r="C14" s="18"/>
      <c r="D14" s="22">
        <f>Costos!J12</f>
        <v>37755</v>
      </c>
      <c r="E14" s="22">
        <f t="shared" ref="E14:H16" si="0">D14*(1+$K$14)</f>
        <v>41126.521499999995</v>
      </c>
      <c r="F14" s="22">
        <f t="shared" si="0"/>
        <v>44799.119869949995</v>
      </c>
      <c r="G14" s="22">
        <f t="shared" si="0"/>
        <v>48799.681274336523</v>
      </c>
      <c r="H14" s="22">
        <f t="shared" si="0"/>
        <v>53157.492812134769</v>
      </c>
      <c r="J14" t="s">
        <v>221</v>
      </c>
      <c r="K14" s="14">
        <v>8.9300000000000004E-2</v>
      </c>
    </row>
    <row r="15" spans="1:11">
      <c r="A15" s="16"/>
      <c r="B15" s="18" t="s">
        <v>56</v>
      </c>
      <c r="C15" s="18"/>
      <c r="D15" s="22">
        <f>Costos!G67</f>
        <v>3240</v>
      </c>
      <c r="E15" s="22">
        <f t="shared" si="0"/>
        <v>3529.3319999999999</v>
      </c>
      <c r="F15" s="22">
        <f t="shared" si="0"/>
        <v>3844.5013475999995</v>
      </c>
      <c r="G15" s="22">
        <f t="shared" si="0"/>
        <v>4187.8153179406791</v>
      </c>
      <c r="H15" s="22">
        <f t="shared" si="0"/>
        <v>4561.7872258327816</v>
      </c>
    </row>
    <row r="16" spans="1:11">
      <c r="A16" s="16"/>
      <c r="B16" s="18" t="s">
        <v>198</v>
      </c>
      <c r="C16" s="18"/>
      <c r="D16" s="22">
        <f>Costos!G89</f>
        <v>1072.2</v>
      </c>
      <c r="E16" s="22">
        <f t="shared" si="0"/>
        <v>1167.9474600000001</v>
      </c>
      <c r="F16" s="22">
        <f t="shared" si="0"/>
        <v>1272.2451681780001</v>
      </c>
      <c r="G16" s="22">
        <f t="shared" si="0"/>
        <v>1385.8566616962953</v>
      </c>
      <c r="H16" s="22">
        <f t="shared" si="0"/>
        <v>1509.6136615857745</v>
      </c>
    </row>
    <row r="17" spans="1:8">
      <c r="A17" s="16"/>
      <c r="B17" s="18" t="s">
        <v>167</v>
      </c>
      <c r="C17" s="18"/>
      <c r="D17" s="23">
        <f>Arreglando!K8</f>
        <v>8555.0064000000002</v>
      </c>
      <c r="E17" s="23">
        <f>Arreglando!K9</f>
        <v>7194.9163232888804</v>
      </c>
      <c r="F17" s="23">
        <f>Arreglando!K10</f>
        <v>5678.4158877559812</v>
      </c>
      <c r="G17" s="23">
        <f>Arreglando!K11</f>
        <v>3987.5179021367985</v>
      </c>
      <c r="H17" s="23">
        <f>Arreglando!K12</f>
        <v>2102.1666481714101</v>
      </c>
    </row>
    <row r="18" spans="1:8">
      <c r="A18" s="16"/>
      <c r="B18" s="18" t="s">
        <v>203</v>
      </c>
      <c r="C18" s="18"/>
      <c r="D18" s="25">
        <f>Costos!E99</f>
        <v>10779.933333333332</v>
      </c>
      <c r="E18" s="25">
        <f>Costos!E99</f>
        <v>10779.933333333332</v>
      </c>
      <c r="F18" s="25">
        <f>Costos!E99</f>
        <v>10779.933333333332</v>
      </c>
      <c r="G18" s="25">
        <f>Costos!E99</f>
        <v>10779.933333333332</v>
      </c>
      <c r="H18" s="25">
        <f>Costos!E99</f>
        <v>10779.933333333332</v>
      </c>
    </row>
    <row r="19" spans="1:8">
      <c r="A19" s="16"/>
      <c r="B19" s="18" t="s">
        <v>204</v>
      </c>
      <c r="C19" s="18"/>
      <c r="D19" s="22">
        <f>Costos!F106</f>
        <v>108.80000000000001</v>
      </c>
      <c r="E19" s="22">
        <f>Costos!F106</f>
        <v>108.80000000000001</v>
      </c>
      <c r="F19" s="22">
        <f>E19</f>
        <v>108.80000000000001</v>
      </c>
      <c r="G19" s="22">
        <f>F19</f>
        <v>108.80000000000001</v>
      </c>
      <c r="H19" s="22">
        <f>G19</f>
        <v>108.80000000000001</v>
      </c>
    </row>
    <row r="20" spans="1:8">
      <c r="A20" s="16"/>
      <c r="B20" s="18" t="s">
        <v>205</v>
      </c>
      <c r="C20" s="18"/>
      <c r="D20" s="22">
        <f>SUM(D14:D19)</f>
        <v>61510.939733333333</v>
      </c>
      <c r="E20" s="22">
        <f>SUM(E14:E19)</f>
        <v>63907.45061662222</v>
      </c>
      <c r="F20" s="22">
        <f>SUM(F14:F19)</f>
        <v>66483.015606817309</v>
      </c>
      <c r="G20" s="22">
        <f>SUM(G14:G19)</f>
        <v>69249.604489443635</v>
      </c>
      <c r="H20" s="22">
        <f>SUM(H14:H19)</f>
        <v>72219.793681058072</v>
      </c>
    </row>
    <row r="21" spans="1:8">
      <c r="A21" s="16"/>
      <c r="B21" s="18" t="s">
        <v>206</v>
      </c>
      <c r="C21" s="18"/>
      <c r="D21" s="68">
        <f>D12-D20</f>
        <v>50499.988266666667</v>
      </c>
      <c r="E21" s="68">
        <f>E12-E20</f>
        <v>70210.240383377764</v>
      </c>
      <c r="F21" s="68">
        <f>F12-F20</f>
        <v>92095.235917882688</v>
      </c>
      <c r="G21" s="68">
        <f>G12-G20</f>
        <v>116158.04985941209</v>
      </c>
      <c r="H21" s="68">
        <f>H12-H20</f>
        <v>142402.48894899539</v>
      </c>
    </row>
    <row r="22" spans="1:8">
      <c r="A22" s="44">
        <v>0.15</v>
      </c>
      <c r="B22" s="18" t="s">
        <v>207</v>
      </c>
      <c r="C22" s="18"/>
      <c r="D22" s="68">
        <f>D21*$A$22</f>
        <v>7574.9982399999999</v>
      </c>
      <c r="E22" s="68">
        <f>E21*$A$22</f>
        <v>10531.536057506664</v>
      </c>
      <c r="F22" s="68">
        <f>F21*$A$22</f>
        <v>13814.285387682403</v>
      </c>
      <c r="G22" s="68">
        <f>G21*$A$22</f>
        <v>17423.707478911812</v>
      </c>
      <c r="H22" s="68">
        <f>H21*$A$22</f>
        <v>21360.373342349307</v>
      </c>
    </row>
    <row r="23" spans="1:8">
      <c r="A23" s="16"/>
      <c r="B23" s="18" t="s">
        <v>208</v>
      </c>
      <c r="C23" s="18"/>
      <c r="D23" s="68">
        <f>D21-D22</f>
        <v>42924.990026666666</v>
      </c>
      <c r="E23" s="68">
        <f>E21-E22</f>
        <v>59678.704325871098</v>
      </c>
      <c r="F23" s="68">
        <f>F21-F22</f>
        <v>78280.95053020028</v>
      </c>
      <c r="G23" s="68">
        <f>G21-G22</f>
        <v>98734.342380500282</v>
      </c>
      <c r="H23" s="68">
        <f>H21-H22</f>
        <v>121042.11560664608</v>
      </c>
    </row>
    <row r="24" spans="1:8">
      <c r="A24" s="44">
        <v>0.25</v>
      </c>
      <c r="B24" s="18" t="s">
        <v>209</v>
      </c>
      <c r="C24" s="18"/>
      <c r="D24" s="68">
        <f>D23*$A$24</f>
        <v>10731.247506666667</v>
      </c>
      <c r="E24" s="68">
        <f>E23*$A$24</f>
        <v>14919.676081467775</v>
      </c>
      <c r="F24" s="68">
        <f>F23*$A$24</f>
        <v>19570.23763255007</v>
      </c>
      <c r="G24" s="68">
        <f>G23*$A$24</f>
        <v>24683.585595125071</v>
      </c>
      <c r="H24" s="68">
        <f>H23*$A$24</f>
        <v>30260.528901661521</v>
      </c>
    </row>
    <row r="25" spans="1:8">
      <c r="A25" s="16"/>
      <c r="B25" s="69" t="s">
        <v>210</v>
      </c>
      <c r="C25" s="18"/>
      <c r="D25" s="68">
        <f>D23-D24</f>
        <v>32193.74252</v>
      </c>
      <c r="E25" s="68">
        <f>E23-E24</f>
        <v>44759.028244403322</v>
      </c>
      <c r="F25" s="68">
        <f>F23-F24</f>
        <v>58710.712897650214</v>
      </c>
      <c r="G25" s="68">
        <f>G23-G24</f>
        <v>74050.756785375212</v>
      </c>
      <c r="H25" s="68">
        <f>H23-H24</f>
        <v>90781.586704984569</v>
      </c>
    </row>
    <row r="26" spans="1:8">
      <c r="A26" s="16"/>
      <c r="B26" s="18" t="s">
        <v>203</v>
      </c>
      <c r="C26" s="18"/>
      <c r="D26" s="25">
        <f t="shared" ref="D26:H27" si="1">D18</f>
        <v>10779.933333333332</v>
      </c>
      <c r="E26" s="25">
        <f t="shared" si="1"/>
        <v>10779.933333333332</v>
      </c>
      <c r="F26" s="25">
        <f t="shared" si="1"/>
        <v>10779.933333333332</v>
      </c>
      <c r="G26" s="25">
        <f t="shared" si="1"/>
        <v>10779.933333333332</v>
      </c>
      <c r="H26" s="25">
        <f t="shared" si="1"/>
        <v>10779.933333333332</v>
      </c>
    </row>
    <row r="27" spans="1:8">
      <c r="A27" s="16"/>
      <c r="B27" s="18" t="s">
        <v>204</v>
      </c>
      <c r="C27" s="18"/>
      <c r="D27" s="22">
        <f t="shared" si="1"/>
        <v>108.80000000000001</v>
      </c>
      <c r="E27" s="22">
        <f t="shared" si="1"/>
        <v>108.80000000000001</v>
      </c>
      <c r="F27" s="22">
        <f t="shared" si="1"/>
        <v>108.80000000000001</v>
      </c>
      <c r="G27" s="22">
        <f t="shared" si="1"/>
        <v>108.80000000000001</v>
      </c>
      <c r="H27" s="22">
        <f t="shared" si="1"/>
        <v>108.80000000000001</v>
      </c>
    </row>
    <row r="28" spans="1:8">
      <c r="A28" s="16"/>
      <c r="B28" s="18" t="s">
        <v>211</v>
      </c>
      <c r="C28" s="70">
        <f>-Costos!G79</f>
        <v>-74391.360000000001</v>
      </c>
      <c r="D28" s="70"/>
      <c r="E28" s="70"/>
      <c r="F28" s="70"/>
      <c r="G28" s="70"/>
      <c r="H28" s="70"/>
    </row>
    <row r="29" spans="1:8">
      <c r="A29" s="16"/>
      <c r="B29" s="18" t="s">
        <v>212</v>
      </c>
      <c r="C29" s="70"/>
      <c r="D29" s="70">
        <f>-Arreglando!J8</f>
        <v>-11826.87023227061</v>
      </c>
      <c r="E29" s="70">
        <f>-Arreglando!J9</f>
        <v>-13186.96030898173</v>
      </c>
      <c r="F29" s="70">
        <f>-Arreglando!J10</f>
        <v>-14703.460744514628</v>
      </c>
      <c r="G29" s="70">
        <f>-Arreglando!J11</f>
        <v>-16394.358730133812</v>
      </c>
      <c r="H29" s="70">
        <f>-Arreglando!J12</f>
        <v>-18279.709984099201</v>
      </c>
    </row>
    <row r="30" spans="1:8">
      <c r="A30" s="16"/>
      <c r="B30" s="18" t="s">
        <v>213</v>
      </c>
      <c r="C30" s="70"/>
      <c r="D30" s="70"/>
      <c r="E30" s="70"/>
      <c r="F30" s="70"/>
      <c r="G30" s="70"/>
      <c r="H30" s="70">
        <f>Costos!G99</f>
        <v>14837.666666666666</v>
      </c>
    </row>
    <row r="31" spans="1:8">
      <c r="A31" s="16"/>
      <c r="B31" s="18" t="s">
        <v>214</v>
      </c>
      <c r="C31" s="70">
        <f t="shared" ref="C31:H31" si="2">SUM(C25:C30)</f>
        <v>-74391.360000000001</v>
      </c>
      <c r="D31" s="70">
        <f t="shared" si="2"/>
        <v>31255.605621062728</v>
      </c>
      <c r="E31" s="70">
        <f t="shared" si="2"/>
        <v>42460.801268754927</v>
      </c>
      <c r="F31" s="70">
        <f t="shared" si="2"/>
        <v>54895.985486468926</v>
      </c>
      <c r="G31" s="70">
        <f t="shared" si="2"/>
        <v>68545.131388574737</v>
      </c>
      <c r="H31" s="70">
        <f t="shared" si="2"/>
        <v>98228.276720885377</v>
      </c>
    </row>
    <row r="32" spans="1:8">
      <c r="A32" s="16"/>
      <c r="B32" s="18" t="s">
        <v>215</v>
      </c>
      <c r="C32" s="70">
        <f>C31</f>
        <v>-74391.360000000001</v>
      </c>
      <c r="D32" s="23">
        <f>D31/(1+$C$34)^D2</f>
        <v>26623.173442131796</v>
      </c>
      <c r="E32" s="23">
        <f>E31/(1+$C$34)^E2</f>
        <v>30807.183226548914</v>
      </c>
      <c r="F32" s="23">
        <f>F31/(1+$C$34)^F2</f>
        <v>33926.284146452446</v>
      </c>
      <c r="G32" s="23">
        <f>G31/(1+$C$34)^G2</f>
        <v>36083.131875957595</v>
      </c>
      <c r="H32" s="23">
        <f>H31/(1+$C$34)^H2</f>
        <v>44044.941800469365</v>
      </c>
    </row>
    <row r="33" spans="1:8">
      <c r="A33" s="16"/>
      <c r="B33" s="18" t="s">
        <v>216</v>
      </c>
      <c r="C33" s="70">
        <f>C32</f>
        <v>-74391.360000000001</v>
      </c>
      <c r="D33" s="23">
        <f>C33+D32</f>
        <v>-47768.186557868205</v>
      </c>
      <c r="E33" s="23">
        <f>D33+E32</f>
        <v>-16961.003331319291</v>
      </c>
      <c r="F33" s="23">
        <f>E33+F32</f>
        <v>16965.280815133156</v>
      </c>
      <c r="G33" s="23">
        <f>F33+G32</f>
        <v>53048.412691090751</v>
      </c>
      <c r="H33" s="23">
        <f>G33+H32</f>
        <v>97093.354491560109</v>
      </c>
    </row>
    <row r="34" spans="1:8">
      <c r="A34" s="16"/>
      <c r="B34" s="18" t="s">
        <v>217</v>
      </c>
      <c r="C34" s="71">
        <v>0.17399999999999999</v>
      </c>
      <c r="D34" s="18"/>
      <c r="E34" s="18"/>
      <c r="F34" s="18"/>
      <c r="G34" s="18"/>
      <c r="H34" s="18"/>
    </row>
    <row r="35" spans="1:8">
      <c r="A35" s="16"/>
      <c r="B35" s="18" t="s">
        <v>218</v>
      </c>
      <c r="C35" s="40">
        <f>NPV(C34,D31:H31)+C31</f>
        <v>97093.354491560123</v>
      </c>
      <c r="D35" s="18"/>
      <c r="E35" s="18"/>
      <c r="F35" s="18"/>
      <c r="G35" s="18"/>
      <c r="H35" s="18"/>
    </row>
    <row r="36" spans="1:8">
      <c r="A36" s="16"/>
      <c r="B36" s="18" t="s">
        <v>219</v>
      </c>
      <c r="C36" s="42">
        <f>IRR(C31:H31)</f>
        <v>0.55809455961870558</v>
      </c>
      <c r="D36" s="18"/>
      <c r="E36" s="18"/>
      <c r="F36" s="18"/>
      <c r="G36" s="18"/>
      <c r="H36" s="18"/>
    </row>
    <row r="37" spans="1:8">
      <c r="A37" s="16"/>
      <c r="B37" s="18" t="s">
        <v>220</v>
      </c>
      <c r="C37" s="72">
        <f>2-E33/F32</f>
        <v>2.4999369591465515</v>
      </c>
      <c r="D37" s="18" t="s">
        <v>105</v>
      </c>
      <c r="E37" s="18"/>
      <c r="F37" s="18"/>
      <c r="G37" s="18"/>
      <c r="H37" s="18"/>
    </row>
    <row r="41" spans="1:8">
      <c r="D41" t="s">
        <v>247</v>
      </c>
      <c r="F41" s="123">
        <v>0</v>
      </c>
    </row>
    <row r="42" spans="1:8">
      <c r="F42" t="s">
        <v>229</v>
      </c>
      <c r="G42" t="s">
        <v>230</v>
      </c>
    </row>
    <row r="45" spans="1:8">
      <c r="B45">
        <v>20.399999999999999</v>
      </c>
      <c r="C45">
        <v>83755.789999999994</v>
      </c>
      <c r="D45">
        <v>56</v>
      </c>
      <c r="E45" s="123">
        <v>-0.5</v>
      </c>
    </row>
    <row r="46" spans="1:8">
      <c r="B46">
        <v>19.399999999999999</v>
      </c>
      <c r="C46">
        <v>88022.65</v>
      </c>
      <c r="D46">
        <v>56</v>
      </c>
      <c r="E46" s="123">
        <v>-0.35</v>
      </c>
      <c r="F46" s="127">
        <v>70416.42</v>
      </c>
      <c r="G46" s="123">
        <v>0.42</v>
      </c>
    </row>
    <row r="47" spans="1:8">
      <c r="B47">
        <v>18.399999999999999</v>
      </c>
      <c r="C47">
        <v>92465.4</v>
      </c>
      <c r="D47">
        <v>56</v>
      </c>
      <c r="E47" s="123">
        <v>-0.25</v>
      </c>
      <c r="F47" s="127">
        <v>78038.399999999994</v>
      </c>
      <c r="G47" s="123">
        <v>0.45</v>
      </c>
    </row>
    <row r="48" spans="1:8">
      <c r="B48">
        <v>17.399999999999999</v>
      </c>
      <c r="C48">
        <v>97093.35</v>
      </c>
      <c r="D48">
        <v>56</v>
      </c>
      <c r="E48" s="123">
        <v>-0.2</v>
      </c>
      <c r="F48" s="127">
        <v>81849.39</v>
      </c>
      <c r="G48" s="123">
        <v>0.47</v>
      </c>
    </row>
    <row r="49" spans="2:7">
      <c r="B49">
        <v>16.399999999999999</v>
      </c>
      <c r="C49">
        <v>101916.4</v>
      </c>
      <c r="D49">
        <v>56</v>
      </c>
      <c r="E49" s="123">
        <v>-0.1</v>
      </c>
      <c r="F49" s="127" t="s">
        <v>248</v>
      </c>
      <c r="G49" s="123">
        <v>0.51</v>
      </c>
    </row>
    <row r="50" spans="2:7">
      <c r="B50">
        <v>15.4</v>
      </c>
      <c r="C50">
        <v>106945.07</v>
      </c>
      <c r="D50">
        <v>56</v>
      </c>
      <c r="E50" s="123">
        <v>-0.05</v>
      </c>
      <c r="F50" s="127" t="s">
        <v>249</v>
      </c>
      <c r="G50" s="123">
        <v>0.54</v>
      </c>
    </row>
    <row r="51" spans="2:7">
      <c r="B51">
        <v>14.4</v>
      </c>
      <c r="C51">
        <v>112190.6</v>
      </c>
      <c r="D51">
        <v>56</v>
      </c>
      <c r="E51">
        <v>0</v>
      </c>
      <c r="F51" s="127" t="s">
        <v>252</v>
      </c>
      <c r="G51" s="123">
        <v>0.56000000000000005</v>
      </c>
    </row>
    <row r="52" spans="2:7">
      <c r="E52" s="123">
        <v>0.05</v>
      </c>
      <c r="F52" s="127" t="s">
        <v>250</v>
      </c>
      <c r="G52" s="123">
        <v>0.57999999999999996</v>
      </c>
    </row>
    <row r="53" spans="2:7">
      <c r="E53" s="123">
        <v>0.1</v>
      </c>
      <c r="F53" s="127" t="s">
        <v>251</v>
      </c>
      <c r="G53" s="123">
        <v>0.6</v>
      </c>
    </row>
    <row r="54" spans="2:7">
      <c r="E54" s="123">
        <v>0.2</v>
      </c>
      <c r="F54" s="127">
        <v>112337.32</v>
      </c>
      <c r="G54" s="123">
        <v>0.65</v>
      </c>
    </row>
    <row r="55" spans="2:7">
      <c r="E55" s="123">
        <v>0.25</v>
      </c>
      <c r="F55" s="127">
        <v>116148.31</v>
      </c>
      <c r="G55" s="123">
        <v>0.68</v>
      </c>
    </row>
    <row r="56" spans="2:7">
      <c r="E56" s="123">
        <v>0.35</v>
      </c>
      <c r="F56" s="127">
        <v>123770.29</v>
      </c>
      <c r="G56" s="123">
        <v>0.74</v>
      </c>
    </row>
  </sheetData>
  <phoneticPr fontId="4" type="noConversion"/>
  <pageMargins left="0.7" right="0.7" top="0.75" bottom="0.75" header="0.3" footer="0.3"/>
  <pageSetup paperSize="9" orientation="portrait" r:id="rId1"/>
  <ignoredErrors>
    <ignoredError sqref="D61:I61" evalError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sheetPr>
    <outlinePr summaryBelow="0"/>
  </sheetPr>
  <dimension ref="B1:K12"/>
  <sheetViews>
    <sheetView showGridLines="0" topLeftCell="A14" workbookViewId="0">
      <selection activeCell="F35" sqref="F35"/>
    </sheetView>
  </sheetViews>
  <sheetFormatPr baseColWidth="10" defaultRowHeight="15" outlineLevelRow="1" outlineLevelCol="1"/>
  <cols>
    <col min="3" max="3" width="6.28515625" customWidth="1"/>
    <col min="4" max="4" width="13.42578125" bestFit="1" customWidth="1" outlineLevel="1"/>
    <col min="5" max="5" width="13.42578125" customWidth="1" outlineLevel="1"/>
    <col min="6" max="10" width="13.42578125" bestFit="1" customWidth="1" outlineLevel="1"/>
  </cols>
  <sheetData>
    <row r="1" spans="2:11" ht="15.75" thickBot="1"/>
    <row r="2" spans="2:11" ht="15.75">
      <c r="B2" s="57" t="s">
        <v>233</v>
      </c>
      <c r="C2" s="57"/>
      <c r="D2" s="62"/>
      <c r="E2" s="62"/>
      <c r="F2" s="62"/>
      <c r="G2" s="62"/>
      <c r="H2" s="62"/>
      <c r="I2" s="62"/>
      <c r="J2" s="62"/>
      <c r="K2" s="62"/>
    </row>
    <row r="3" spans="2:11" ht="15.75" collapsed="1">
      <c r="B3" s="56"/>
      <c r="C3" s="56"/>
      <c r="D3" s="63" t="s">
        <v>235</v>
      </c>
      <c r="E3" s="126">
        <v>0.20399999999999999</v>
      </c>
      <c r="F3" s="126">
        <v>0.19400000000000001</v>
      </c>
      <c r="G3" s="126">
        <v>0.184</v>
      </c>
      <c r="H3" s="126">
        <v>0.17399999999999999</v>
      </c>
      <c r="I3" s="126">
        <v>0.16400000000000001</v>
      </c>
      <c r="J3" s="126">
        <v>0.154</v>
      </c>
      <c r="K3" s="126">
        <v>0.14399999999999999</v>
      </c>
    </row>
    <row r="4" spans="2:11" ht="67.5" hidden="1" outlineLevel="1">
      <c r="B4" s="59"/>
      <c r="C4" s="59"/>
      <c r="D4" s="54"/>
      <c r="E4" s="54"/>
      <c r="F4" s="64" t="s">
        <v>241</v>
      </c>
      <c r="G4" s="64" t="s">
        <v>241</v>
      </c>
      <c r="H4" s="64" t="s">
        <v>241</v>
      </c>
      <c r="I4" s="64" t="s">
        <v>241</v>
      </c>
      <c r="J4" s="64" t="s">
        <v>241</v>
      </c>
    </row>
    <row r="5" spans="2:11">
      <c r="B5" s="60" t="s">
        <v>234</v>
      </c>
      <c r="C5" s="60"/>
      <c r="D5" s="58"/>
      <c r="E5" s="58"/>
      <c r="F5" s="58"/>
      <c r="G5" s="58"/>
      <c r="H5" s="58"/>
      <c r="I5" s="58"/>
      <c r="J5" s="58"/>
    </row>
    <row r="6" spans="2:11" outlineLevel="1">
      <c r="B6" s="59"/>
      <c r="C6" s="59" t="s">
        <v>240</v>
      </c>
      <c r="D6" s="65"/>
      <c r="E6" s="126">
        <v>0.20399999999999999</v>
      </c>
      <c r="F6" s="126">
        <v>0.19400000000000001</v>
      </c>
      <c r="G6" s="126">
        <v>0.184</v>
      </c>
      <c r="H6" s="126">
        <v>0.17399999999999999</v>
      </c>
      <c r="I6" s="126">
        <v>0.16400000000000001</v>
      </c>
      <c r="J6" s="126">
        <v>0.154</v>
      </c>
      <c r="K6" s="126">
        <v>0.14399999999999999</v>
      </c>
    </row>
    <row r="7" spans="2:11">
      <c r="B7" s="60" t="s">
        <v>236</v>
      </c>
      <c r="C7" s="60"/>
      <c r="D7" s="58"/>
      <c r="E7" s="58"/>
      <c r="F7" s="58"/>
      <c r="G7" s="58"/>
      <c r="H7" s="58"/>
      <c r="I7" s="58"/>
      <c r="J7" s="58"/>
    </row>
    <row r="8" spans="2:11">
      <c r="B8" s="66"/>
      <c r="C8" s="66" t="s">
        <v>231</v>
      </c>
      <c r="D8" s="54"/>
      <c r="E8" s="129">
        <v>83755.789999999994</v>
      </c>
      <c r="F8" s="129">
        <v>88022.65</v>
      </c>
      <c r="G8" s="129">
        <v>92465.4</v>
      </c>
      <c r="H8" s="129">
        <v>97093.35</v>
      </c>
      <c r="I8" s="129">
        <v>101916.4</v>
      </c>
      <c r="J8" s="129">
        <v>106945.07</v>
      </c>
      <c r="K8" s="129">
        <v>112190.6</v>
      </c>
    </row>
    <row r="9" spans="2:11">
      <c r="B9" s="66"/>
      <c r="C9" s="66" t="s">
        <v>232</v>
      </c>
      <c r="D9" s="54"/>
      <c r="E9" s="54"/>
      <c r="F9" s="124"/>
      <c r="G9" s="124"/>
      <c r="H9" s="124"/>
      <c r="I9" s="124"/>
      <c r="J9" s="124"/>
      <c r="K9" s="124"/>
    </row>
    <row r="10" spans="2:11">
      <c r="B10" t="s">
        <v>237</v>
      </c>
    </row>
    <row r="11" spans="2:11">
      <c r="B11" t="s">
        <v>238</v>
      </c>
    </row>
    <row r="12" spans="2:11">
      <c r="B12" t="s">
        <v>239</v>
      </c>
    </row>
  </sheetData>
  <phoneticPr fontId="4" type="noConversion"/>
  <pageMargins left="0.75" right="0.75" top="1" bottom="1" header="0" footer="0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Costos</vt:lpstr>
      <vt:lpstr>Ingresos</vt:lpstr>
      <vt:lpstr>demanda anual</vt:lpstr>
      <vt:lpstr>Arreglando</vt:lpstr>
      <vt:lpstr>Flujo de caja</vt:lpstr>
      <vt:lpstr>Resumen de escenario</vt:lpstr>
      <vt:lpstr>Flujo de caja (3)</vt:lpstr>
      <vt:lpstr>Resumen de escenario con TMAR</vt:lpstr>
    </vt:vector>
  </TitlesOfParts>
  <Company>SERVICOMP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PERSONAL</dc:creator>
  <cp:lastModifiedBy>PERSONAL</cp:lastModifiedBy>
  <dcterms:created xsi:type="dcterms:W3CDTF">2010-04-20T02:48:07Z</dcterms:created>
  <dcterms:modified xsi:type="dcterms:W3CDTF">2010-05-04T14:49:11Z</dcterms:modified>
</cp:coreProperties>
</file>