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8685" windowHeight="5385" tabRatio="771"/>
  </bookViews>
  <sheets>
    <sheet name="Mantenimiento (No. 11)" sheetId="17" r:id="rId1"/>
    <sheet name="calidad" sheetId="18" r:id="rId2"/>
    <sheet name="eficiencia" sheetId="20" r:id="rId3"/>
  </sheets>
  <definedNames>
    <definedName name="_xlnm.Print_Area" localSheetId="2">eficiencia!$A$1:$M$64</definedName>
    <definedName name="_xlnm.Print_Area" localSheetId="0">'Mantenimiento (No. 11)'!$B$22:$V$92</definedName>
  </definedNames>
  <calcPr calcId="124519"/>
</workbook>
</file>

<file path=xl/calcChain.xml><?xml version="1.0" encoding="utf-8"?>
<calcChain xmlns="http://schemas.openxmlformats.org/spreadsheetml/2006/main">
  <c r="D28" i="20"/>
  <c r="E28"/>
  <c r="F28"/>
  <c r="G28"/>
  <c r="L28"/>
  <c r="M28"/>
  <c r="D29"/>
  <c r="E29"/>
  <c r="F29"/>
  <c r="G29"/>
  <c r="H29"/>
  <c r="I29"/>
  <c r="L29"/>
  <c r="M29"/>
  <c r="B29"/>
  <c r="B28"/>
  <c r="B30" l="1"/>
  <c r="L30"/>
  <c r="F30"/>
  <c r="D30"/>
  <c r="M30"/>
  <c r="G30"/>
  <c r="E30"/>
  <c r="D46" l="1"/>
  <c r="E16" i="17"/>
  <c r="F16"/>
  <c r="R13"/>
  <c r="G16"/>
  <c r="D47" i="20"/>
  <c r="D41"/>
  <c r="D42"/>
  <c r="D43"/>
  <c r="D44"/>
  <c r="D45"/>
  <c r="D59"/>
  <c r="D40"/>
  <c r="D60"/>
  <c r="D61"/>
  <c r="D62"/>
  <c r="D63"/>
  <c r="D64"/>
  <c r="D49"/>
  <c r="D50"/>
  <c r="D51"/>
  <c r="D52"/>
  <c r="D56"/>
  <c r="D57"/>
  <c r="D54"/>
  <c r="D55"/>
  <c r="D58"/>
  <c r="D48"/>
  <c r="C26"/>
  <c r="I22"/>
  <c r="I28" s="1"/>
  <c r="I30" s="1"/>
  <c r="C22"/>
  <c r="C28" s="1"/>
  <c r="J8"/>
  <c r="C6"/>
  <c r="C5"/>
  <c r="J21"/>
  <c r="J18"/>
  <c r="H18"/>
  <c r="H28" s="1"/>
  <c r="H30" s="1"/>
  <c r="K17"/>
  <c r="K14"/>
  <c r="C14"/>
  <c r="K13"/>
  <c r="K29" s="1"/>
  <c r="J12"/>
  <c r="M3" i="18"/>
  <c r="M5" s="1"/>
  <c r="L3"/>
  <c r="L5" s="1"/>
  <c r="K3"/>
  <c r="K5" s="1"/>
  <c r="J3"/>
  <c r="J5" s="1"/>
  <c r="I3"/>
  <c r="I5" s="1"/>
  <c r="H3"/>
  <c r="H5" s="1"/>
  <c r="G3"/>
  <c r="G5" s="1"/>
  <c r="F3"/>
  <c r="F5" s="1"/>
  <c r="E3"/>
  <c r="E5" s="1"/>
  <c r="D3"/>
  <c r="D5" s="1"/>
  <c r="C3"/>
  <c r="C5" s="1"/>
  <c r="B3"/>
  <c r="B5" s="1"/>
  <c r="H16" i="17"/>
  <c r="R16" s="1"/>
  <c r="I16"/>
  <c r="J16"/>
  <c r="P16"/>
  <c r="O16"/>
  <c r="M16"/>
  <c r="L16"/>
  <c r="K16"/>
  <c r="N10"/>
  <c r="P10"/>
  <c r="O10"/>
  <c r="M10"/>
  <c r="L10"/>
  <c r="K10"/>
  <c r="K7"/>
  <c r="L7"/>
  <c r="P7"/>
  <c r="O7"/>
  <c r="N7"/>
  <c r="M7"/>
  <c r="L33" i="20" l="1"/>
  <c r="I33"/>
  <c r="M33"/>
  <c r="J33"/>
  <c r="H33"/>
  <c r="G33"/>
  <c r="F33"/>
  <c r="E33"/>
  <c r="D33"/>
  <c r="C33"/>
  <c r="B33"/>
  <c r="M32"/>
  <c r="K32"/>
  <c r="I32"/>
  <c r="H32"/>
  <c r="G32"/>
  <c r="F32"/>
  <c r="E32"/>
  <c r="D32"/>
  <c r="C32"/>
  <c r="B32"/>
  <c r="L32"/>
  <c r="J32"/>
  <c r="K28"/>
  <c r="K33"/>
  <c r="K30"/>
  <c r="J28"/>
  <c r="C29"/>
  <c r="J29"/>
  <c r="C30"/>
  <c r="J30" l="1"/>
</calcChain>
</file>

<file path=xl/comments1.xml><?xml version="1.0" encoding="utf-8"?>
<comments xmlns="http://schemas.openxmlformats.org/spreadsheetml/2006/main">
  <authors>
    <author>Marco Gutiérrez</author>
  </authors>
  <commentList>
    <comment ref="K7" authorId="0">
      <text>
        <r>
          <rPr>
            <sz val="8"/>
            <color indexed="81"/>
            <rFont val="Tahoma"/>
            <family val="2"/>
          </rPr>
          <t xml:space="preserve">
(22 correctivas) +(1 preventivas manuales) + (3 otros)                --&gt; REALIZADAS
 ------------------------------------------------------------------  
(22 + 1 correctivas) +(1 +0  preventivas manuales) + (3 +0  otros)                 --&gt;  TOTALES (REALIZADAS + NO REALIZADAS)</t>
        </r>
      </text>
    </comment>
    <comment ref="L7" authorId="0">
      <text>
        <r>
          <rPr>
            <sz val="8"/>
            <color indexed="81"/>
            <rFont val="Tahoma"/>
            <family val="2"/>
          </rPr>
          <t xml:space="preserve">
(24 correctivas) +(14 preventivas manuales) + (2 otros)                --&gt; REALIZADAS
 ------------------------------------------------------------------  
(24 + 1 correctivas) +(14 +0  preventivas manuales) + (2 +0  otros)                 --&gt;  TOTALES (REALIZADAS + NO REALIZADAS)</t>
        </r>
      </text>
    </comment>
    <comment ref="M7" authorId="0">
      <text>
        <r>
          <rPr>
            <sz val="8"/>
            <color indexed="81"/>
            <rFont val="Tahoma"/>
            <family val="2"/>
          </rPr>
          <t xml:space="preserve">
(16 correctivas) +(0 preventivas manuales) + (1 otros)                --&gt; REALIZADAS
 ------------------------------------------------------------------  
(16 + 0 correctivas) +(0 +1  preventivas manuales) + (1 +0  otros)                 --&gt;  TOTALES (REALIZADAS + NO REALIZADAS)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
(13 correctivas) +(5 preventivas manuales) + (0 otros)                --&gt; REALIZADAS
 ------------------------------------------------------------------  
(13 + 0 correctivas) +(5 +0  preventivas manuales) + (0 +0  otros)                 --&gt;  TOTALES (REALIZADAS + NO REALIZADAS)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
(1 correctivas) +(3 preventivas manuales) + (0 otros)                --&gt; REALIZADAS
 ------------------------------------------------------------------  
(1 + 0 correctivas) +(3 +0  preventivas manuales) + (0 +0  otros)                 --&gt;  TOTALES (REALIZADAS + NO REALIZADAS)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
(0 correctivas) +(1 preventivas manuales) + (0 otros)                --&gt; REALIZADAS
 ------------------------------------------------------------------  
(0 + 0 correctivas) +(1 +0  preventivas manuales) + (0 +0  otros)                 --&gt;  TOTALES (REALIZADAS + NO REALIZADAS)</t>
        </r>
      </text>
    </comment>
    <comment ref="Q8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LOS VALORES CONSIDERABLES PARA  LA DETERMINACION  DE LA MEDIA  COMO META EN LOS ULTIMOS MESES REGISTRADOS  SON : 
2006
JUNIO,SEPTIEMBRE,NOVIEMBRE,DICIEMBRE
2007
ENERO FEBRERO MARZO, ABRIL ,MAYO
SE OBTUBO 93,46 %</t>
        </r>
      </text>
    </comment>
    <comment ref="K10" authorId="0">
      <text>
        <r>
          <rPr>
            <sz val="8"/>
            <color indexed="81"/>
            <rFont val="Tahoma"/>
            <family val="2"/>
          </rPr>
          <t xml:space="preserve">
(1  PREVENTIVAS) +(0  PREDICTIVAS) + (2 LUBRICACION)  + ( 0 CALIBRACION)         --&gt; REALIZADAS
 ------------------------------------------------------------------  
(1+0  PREVENTIVAS) +(0 +0  PREDICTIVAS) + (2 +0  LUBRICACION)  + (0 +0  CALIBRACION)         --&gt;  TOTALES (REALIZADAS + NO REALIZADAS)</t>
        </r>
      </text>
    </comment>
    <comment ref="L10" authorId="0">
      <text>
        <r>
          <rPr>
            <sz val="8"/>
            <color indexed="81"/>
            <rFont val="Tahoma"/>
            <family val="2"/>
          </rPr>
          <t xml:space="preserve">
(282  PREVENTIVAS) +(0  PREDICTIVAS) + (27 LUBRICACION)  + ( 0 CALIBRACION)                           --&gt; REALIZADAS
 ---------------------------------------------------------------------------------------------------------------------  
(282+1  PREVENTIVAS) +(0 +1  PREDICTIVAS) + (27 +  LUBRICACION)  + (0 +0  CALIBRACION)      --&gt;  TOTALES (REALIZADAS + NO REALIZADAS)</t>
        </r>
      </text>
    </comment>
    <comment ref="M10" authorId="0">
      <text>
        <r>
          <rPr>
            <sz val="8"/>
            <color indexed="81"/>
            <rFont val="Tahoma"/>
            <family val="2"/>
          </rPr>
          <t xml:space="preserve">
(214  PREVENTIVAS) +(0  PREDICTIVAS) + (20  LUBRICACION)  + ( 0 CALIBRACION)         --&gt; REALIZADAS
 ------------------------------------------------------------------  
(214+13  PREVENTIVAS) +(0 +1  PREDICTIVAS) + (20 +2  LUBRICACION)  + (0 +0  CALIBRACION)         --&gt;  TOTALES (REALIZADAS + NO REALIZADAS)</t>
        </r>
      </text>
    </comment>
    <comment ref="N10" authorId="0">
      <text>
        <r>
          <rPr>
            <sz val="8"/>
            <color indexed="81"/>
            <rFont val="Tahoma"/>
            <family val="2"/>
          </rPr>
          <t xml:space="preserve">
(257  PREVENTIVAS) +(0  PREDICTIVAS) + (42 LUBRICACION)  + ( 0 CALIBRACION)         --&gt; REALIZADAS
 ------------------------------------------------------------------  
(257+12  PREVENTIVAS) +(0 +1  PREDICTIVAS) + (42 +3  LUBRICACION)  + (0 +0  CALIBRACION)         --&gt;  TOTALES (REALIZADAS + NO REALIZADAS)</t>
        </r>
      </text>
    </comment>
    <comment ref="O10" authorId="0">
      <text>
        <r>
          <rPr>
            <sz val="8"/>
            <color indexed="81"/>
            <rFont val="Tahoma"/>
            <family val="2"/>
          </rPr>
          <t xml:space="preserve">
(246  PREVENTIVAS) +(1  PREDICTIVAS) + (27 LUBRICACION)  + ( 0 CALIBRACION)                               --&gt; REALIZADAS
 -----------------------------------------------------------------------------------------------------------------------  
(246+10  PREVENTIVAS) +(1 +0 PREDICTIVAS) + (0 +0  LUBRICACION)  + (0 +0  CALIBRACION)     --&gt;  TOTALES (REALIZADAS + NO REALIZADAS)</t>
        </r>
      </text>
    </comment>
    <comment ref="P10" authorId="0">
      <text>
        <r>
          <rPr>
            <sz val="8"/>
            <color indexed="81"/>
            <rFont val="Tahoma"/>
            <family val="2"/>
          </rPr>
          <t xml:space="preserve">
(276 PREVENTIVAS) +(1  PREDICTIVAS) + (39 LUBRICACION)  + ( 0 CALIBRACION)         --&gt; REALIZADAS
 ------------------------------------------------------------------  
(276+2  PREVENTIVAS) +(1 +0  PREDICTIVAS) + (39 +1  LUBRICACION)  + (0 + 0 CALIBRACION)         --&gt;  TOTALES (REALIZADAS + NO REALIZADAS)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LOS VALORES CONSIDERABLES PARA  LA DETERMINACION  DE LA MEDIA  COMO META EN LOS ULTIMOS MESES REGISTRADOS  SON : 
2006
MAYO,JUNIO,JULIO,SEPTIEMBRE
2007
 FEBRERO, MARZO, 
SE OBTUBO 96,25 %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1,8 HORAS PERDIDAS / 1204 HORAS TOTALES  PROD. 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6,5 HORAS PERDIDAS / 1056 HORAS TOTALES  PROD. 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16 HORAS PERDIDAS / 1052 HORAS TOTALES  PROD. 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14 HORAS PERDIDAS / 1053 HORAS TOTALES  PROD. 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8 HORAS PERDIDAS / 1270 HORAS TOTALES  PROD. 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12 HORAS PERDIDAS / 800 HORAS TOTALES  PROD. 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0,5 HORAS PERDIDAS / 1000 HORAS TOTALES  PROD. 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8 HORAS PERDIDAS / 1142 HORAS TOTALES  PROD. 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12 HORAS PERDIDAS / 1085 HORAS TOTALES  PROD. </t>
        </r>
      </text>
    </comment>
    <comment ref="N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NO EXISTIO TIEMPO PERDIDO POR FALLA DE EQUIPO 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14 HORAS PERDIDAS / 972 HORAS TOTALES  PROD. 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12 HORAS PERDIDAS / 1333 HORAS TOTALES  PROD. </t>
        </r>
      </text>
    </comment>
    <comment ref="K16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0,5 HORAS PERDIDAS / 1000 HORAS TOTALES  PROD. </t>
        </r>
      </text>
    </comment>
    <comment ref="L16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8 HORAS PERDIDAS / 1142 HORAS TOTALES  PROD. 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12 HORAS PERDIDAS / 1085 HORAS TOTALES  PROD. </t>
        </r>
      </text>
    </comment>
    <comment ref="N16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NO EXISTIO TIEMPO PERDIDO POR FALLA DE EQUIPO </t>
        </r>
      </text>
    </comment>
    <comment ref="O16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14 HORAS PERDIDAS / 972 HORAS TOTALES  PROD. 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12 HORAS PERDIDAS / 1333 HORAS TOTALES  PROD. </t>
        </r>
      </text>
    </comment>
  </commentList>
</comments>
</file>

<file path=xl/comments2.xml><?xml version="1.0" encoding="utf-8"?>
<comments xmlns="http://schemas.openxmlformats.org/spreadsheetml/2006/main">
  <authors>
    <author>Marco Gutiérrez</author>
  </authors>
  <commentList>
    <comment ref="H31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0,5 HORAS PERDIDAS / 1000 HORAS TOTALES  PROD. </t>
        </r>
      </text>
    </comment>
    <comment ref="I31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8 HORAS PERDIDAS / 1142 HORAS TOTALES  PROD. </t>
        </r>
      </text>
    </comment>
    <comment ref="J31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12 HORAS PERDIDAS / 1085 HORAS TOTALES  PROD. </t>
        </r>
      </text>
    </comment>
    <comment ref="K31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NO EXISTIO TIEMPO PERDIDO POR FALLA DE EQUIPO </t>
        </r>
      </text>
    </comment>
    <comment ref="L31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14 HORAS PERDIDAS / 972 HORAS TOTALES  PROD. </t>
        </r>
      </text>
    </comment>
    <comment ref="M31" authorId="0">
      <text>
        <r>
          <rPr>
            <b/>
            <sz val="8"/>
            <color indexed="81"/>
            <rFont val="Tahoma"/>
            <family val="2"/>
          </rPr>
          <t>Marco Gutiérrez:</t>
        </r>
        <r>
          <rPr>
            <sz val="8"/>
            <color indexed="81"/>
            <rFont val="Tahoma"/>
            <family val="2"/>
          </rPr>
          <t xml:space="preserve">
12 HORAS PERDIDAS / 1333 HORAS TOTALES  PROD. </t>
        </r>
      </text>
    </comment>
  </commentList>
</comments>
</file>

<file path=xl/sharedStrings.xml><?xml version="1.0" encoding="utf-8"?>
<sst xmlns="http://schemas.openxmlformats.org/spreadsheetml/2006/main" count="128" uniqueCount="91">
  <si>
    <t>No.</t>
  </si>
  <si>
    <t>Subnegocio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</si>
  <si>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</si>
  <si>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</si>
  <si>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</si>
  <si>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</si>
  <si>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</si>
  <si>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</si>
  <si>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</si>
  <si>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</si>
  <si>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</si>
  <si>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</si>
  <si>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</si>
  <si>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</si>
  <si>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POLIQUIM</t>
  </si>
  <si>
    <t>RG/P/06-01-00</t>
  </si>
  <si>
    <t>META (MIN)</t>
  </si>
  <si>
    <t>META (MAX)</t>
  </si>
  <si>
    <t>CUMPLIMIENTO A ORDENES DE TRABAJO</t>
  </si>
  <si>
    <t>CUMPLIMIENTO AL PLAN ANUAL DE MANTENIMIENTO</t>
  </si>
  <si>
    <t>DETERMINACION DE META</t>
  </si>
  <si>
    <t>INDICADOR</t>
  </si>
  <si>
    <t>TASA DE GRAVEDAD DE FALLOS</t>
  </si>
  <si>
    <t>DISPONIBILIDAD DE EQUIPOS</t>
  </si>
  <si>
    <t xml:space="preserve">CALIDAD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</si>
  <si>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</si>
  <si>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</si>
  <si>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</si>
  <si>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</si>
  <si>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</si>
  <si>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</si>
  <si>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</si>
  <si>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</si>
  <si>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</si>
  <si>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</si>
  <si>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</si>
  <si>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</si>
  <si>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PRODUCIDO (KG)</t>
  </si>
  <si>
    <t>TOTAL DEFECTUOSOS (KG)</t>
  </si>
  <si>
    <t>TOTAL  PRODUCTO DE CALIDAD (DENTRO DE ESPECIFICACION)</t>
  </si>
  <si>
    <t>CALIDAD</t>
  </si>
  <si>
    <t>ANDERCOL LATEX 112</t>
  </si>
  <si>
    <t>ANDERCOL LATEX 4321</t>
  </si>
  <si>
    <t>ANDERCOL LATEX 352</t>
  </si>
  <si>
    <t>ANDERCOL LATEX 366</t>
  </si>
  <si>
    <t>ANDERCOL LATEX 379</t>
  </si>
  <si>
    <t>ANDERCOL LATEX 413</t>
  </si>
  <si>
    <t>ANDERCOL LATEX 123</t>
  </si>
  <si>
    <t>TEXILAN 553</t>
  </si>
  <si>
    <t>ANDERCOL LATEX 114</t>
  </si>
  <si>
    <t>ANDERCOL LATEX 195</t>
  </si>
  <si>
    <t>ANDERCOL LATEX 196</t>
  </si>
  <si>
    <t>ANDERCOL LATEX 1021</t>
  </si>
  <si>
    <t>REGITEX</t>
  </si>
  <si>
    <t>nombre de las referencias</t>
  </si>
  <si>
    <t>kg producidos</t>
  </si>
  <si>
    <t>total producido</t>
  </si>
  <si>
    <t>tiempo operativo (horas) = capacidad</t>
  </si>
  <si>
    <t>tiempo del batch (h)</t>
  </si>
  <si>
    <t>TAMAÑO DEL LOTE (Kg / BATCH)</t>
  </si>
  <si>
    <t>ANDERCOL LATEX 445</t>
  </si>
  <si>
    <t>TEXILAN 8020</t>
  </si>
  <si>
    <t>ANDERCOL LATEX 1222</t>
  </si>
  <si>
    <t>ANDERCOL LATEX EC-1224</t>
  </si>
  <si>
    <t>ANDERCOL LATEX 513</t>
  </si>
  <si>
    <t>ANDERCOL LATEX 9569</t>
  </si>
  <si>
    <t>ANDERCOL LATEX 874</t>
  </si>
  <si>
    <t>TEXILAN 545</t>
  </si>
  <si>
    <t>TEXILAN 523</t>
  </si>
  <si>
    <t>ANDERCOL LATEX R-28</t>
  </si>
  <si>
    <t>ANDERCOL LATEX 879</t>
  </si>
  <si>
    <t>h/kg</t>
  </si>
  <si>
    <t>EFICIENCIA U# 1</t>
  </si>
  <si>
    <t>EFICIENCIA U# 2</t>
  </si>
  <si>
    <t>TOTal producido U2</t>
  </si>
  <si>
    <t>TOTal producido U1</t>
  </si>
  <si>
    <t>U1</t>
  </si>
  <si>
    <t>U2</t>
  </si>
  <si>
    <t>TABLA DE DETERMINACION DEL INDICE DE INPRODUCTIVOS</t>
  </si>
  <si>
    <r>
      <rPr>
        <sz val="10"/>
        <color theme="1"/>
        <rFont val="Arial"/>
        <family val="2"/>
      </rPr>
      <t>NOTA:</t>
    </r>
    <r>
      <rPr>
        <sz val="10"/>
        <rFont val="Arial"/>
        <family val="2"/>
      </rPr>
      <t xml:space="preserve">ESTOS DATOS ES PROPORCIONADO POR GERENCIA DE MANUFACTURA EN SUS REPORTES DE PRODUCCION REAL Y </t>
    </r>
  </si>
  <si>
    <t xml:space="preserve">NOTA:ESTOS DATOS ES PROPORCIONADO POR GERENCIA DE MANUFACTURA EN SUS REPORTES DE BUENOS A LA PRIMERA </t>
  </si>
  <si>
    <t>ENER.</t>
  </si>
  <si>
    <t>FEBR.</t>
  </si>
  <si>
    <t>MARZ.</t>
  </si>
  <si>
    <t>AGOST.</t>
  </si>
  <si>
    <t>SEPT.</t>
  </si>
  <si>
    <t>OCTUB.</t>
  </si>
  <si>
    <t>NOVIEM.</t>
  </si>
  <si>
    <t>DICIEM.</t>
  </si>
  <si>
    <t>APENDICE A</t>
  </si>
  <si>
    <t>INDICADORES DE MANTENIMIENTO EXISTENTES 2007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</si>
</sst>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2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/>
    <xf numFmtId="164" fontId="5" fillId="2" borderId="3" xfId="0" applyNumberFormat="1" applyFont="1" applyFill="1" applyBorder="1"/>
    <xf numFmtId="0" fontId="5" fillId="0" borderId="0" xfId="0" applyFont="1"/>
    <xf numFmtId="0" fontId="4" fillId="3" borderId="4" xfId="0" applyFont="1" applyFill="1" applyBorder="1"/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5" fillId="0" borderId="3" xfId="0" applyNumberFormat="1" applyFont="1" applyFill="1" applyBorder="1"/>
    <xf numFmtId="10" fontId="5" fillId="2" borderId="3" xfId="0" applyNumberFormat="1" applyFont="1" applyFill="1" applyBorder="1"/>
    <xf numFmtId="10" fontId="4" fillId="3" borderId="4" xfId="0" applyNumberFormat="1" applyFont="1" applyFill="1" applyBorder="1"/>
    <xf numFmtId="10" fontId="4" fillId="3" borderId="5" xfId="0" applyNumberFormat="1" applyFont="1" applyFill="1" applyBorder="1"/>
    <xf numFmtId="10" fontId="5" fillId="0" borderId="0" xfId="0" applyNumberFormat="1" applyFont="1" applyAlignment="1">
      <alignment vertical="center"/>
    </xf>
    <xf numFmtId="164" fontId="5" fillId="0" borderId="0" xfId="0" applyNumberFormat="1" applyFont="1"/>
    <xf numFmtId="10" fontId="5" fillId="0" borderId="3" xfId="0" applyNumberFormat="1" applyFont="1" applyFill="1" applyBorder="1"/>
    <xf numFmtId="10" fontId="5" fillId="0" borderId="6" xfId="0" applyNumberFormat="1" applyFont="1" applyFill="1" applyBorder="1"/>
    <xf numFmtId="0" fontId="4" fillId="0" borderId="7" xfId="0" applyFont="1" applyBorder="1" applyAlignment="1">
      <alignment horizontal="center" vertical="center" wrapText="1"/>
    </xf>
    <xf numFmtId="10" fontId="5" fillId="0" borderId="7" xfId="0" applyNumberFormat="1" applyFont="1" applyBorder="1"/>
    <xf numFmtId="0" fontId="4" fillId="0" borderId="8" xfId="0" applyFont="1" applyBorder="1" applyAlignment="1">
      <alignment horizontal="center" vertical="center" wrapText="1"/>
    </xf>
    <xf numFmtId="164" fontId="5" fillId="0" borderId="6" xfId="0" applyNumberFormat="1" applyFont="1" applyFill="1" applyBorder="1"/>
    <xf numFmtId="0" fontId="4" fillId="0" borderId="9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10" xfId="0" applyFont="1" applyBorder="1"/>
    <xf numFmtId="9" fontId="4" fillId="3" borderId="4" xfId="0" applyNumberFormat="1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5" xfId="0" applyBorder="1" applyAlignment="1">
      <alignment vertical="justify"/>
    </xf>
    <xf numFmtId="0" fontId="0" fillId="5" borderId="20" xfId="0" applyFill="1" applyBorder="1"/>
    <xf numFmtId="0" fontId="8" fillId="0" borderId="0" xfId="0" applyFont="1"/>
    <xf numFmtId="0" fontId="0" fillId="6" borderId="0" xfId="0" applyFill="1"/>
    <xf numFmtId="10" fontId="0" fillId="5" borderId="18" xfId="0" applyNumberFormat="1" applyFill="1" applyBorder="1" applyAlignment="1">
      <alignment horizontal="center" vertical="center"/>
    </xf>
    <xf numFmtId="10" fontId="0" fillId="5" borderId="19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8" fillId="0" borderId="27" xfId="0" applyFont="1" applyBorder="1"/>
    <xf numFmtId="0" fontId="0" fillId="0" borderId="26" xfId="0" applyBorder="1"/>
    <xf numFmtId="0" fontId="8" fillId="5" borderId="20" xfId="0" applyFont="1" applyFill="1" applyBorder="1"/>
    <xf numFmtId="0" fontId="1" fillId="7" borderId="28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Protection="1">
      <protection hidden="1"/>
    </xf>
    <xf numFmtId="0" fontId="9" fillId="0" borderId="26" xfId="0" applyFont="1" applyFill="1" applyBorder="1" applyAlignment="1" applyProtection="1">
      <alignment horizontal="left"/>
      <protection hidden="1"/>
    </xf>
    <xf numFmtId="0" fontId="8" fillId="0" borderId="26" xfId="0" applyFont="1" applyBorder="1"/>
    <xf numFmtId="0" fontId="8" fillId="0" borderId="26" xfId="0" applyFont="1" applyBorder="1" applyAlignment="1">
      <alignment vertical="justify"/>
    </xf>
    <xf numFmtId="0" fontId="0" fillId="0" borderId="26" xfId="0" applyFill="1" applyBorder="1"/>
    <xf numFmtId="10" fontId="0" fillId="5" borderId="29" xfId="0" applyNumberFormat="1" applyFill="1" applyBorder="1" applyAlignment="1">
      <alignment horizontal="center" vertical="center"/>
    </xf>
    <xf numFmtId="0" fontId="0" fillId="8" borderId="30" xfId="0" applyFill="1" applyBorder="1"/>
    <xf numFmtId="0" fontId="0" fillId="8" borderId="32" xfId="0" applyFill="1" applyBorder="1"/>
    <xf numFmtId="0" fontId="9" fillId="0" borderId="28" xfId="0" applyFont="1" applyFill="1" applyBorder="1" applyAlignment="1" applyProtection="1">
      <alignment horizontal="left"/>
      <protection hidden="1"/>
    </xf>
    <xf numFmtId="0" fontId="1" fillId="0" borderId="28" xfId="0" applyFont="1" applyFill="1" applyBorder="1" applyProtection="1">
      <protection hidden="1"/>
    </xf>
    <xf numFmtId="0" fontId="9" fillId="9" borderId="26" xfId="0" applyFont="1" applyFill="1" applyBorder="1" applyAlignment="1" applyProtection="1">
      <alignment horizontal="left"/>
      <protection hidden="1"/>
    </xf>
    <xf numFmtId="10" fontId="0" fillId="0" borderId="0" xfId="0" applyNumberFormat="1"/>
    <xf numFmtId="2" fontId="5" fillId="10" borderId="26" xfId="0" applyNumberFormat="1" applyFont="1" applyFill="1" applyBorder="1"/>
    <xf numFmtId="2" fontId="5" fillId="11" borderId="26" xfId="0" applyNumberFormat="1" applyFont="1" applyFill="1" applyBorder="1"/>
    <xf numFmtId="0" fontId="8" fillId="8" borderId="31" xfId="0" applyFont="1" applyFill="1" applyBorder="1"/>
    <xf numFmtId="0" fontId="8" fillId="8" borderId="32" xfId="0" applyFont="1" applyFill="1" applyBorder="1"/>
    <xf numFmtId="0" fontId="8" fillId="8" borderId="33" xfId="0" applyFont="1" applyFill="1" applyBorder="1"/>
    <xf numFmtId="0" fontId="11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48"/>
  <c:chart>
    <c:title>
      <c:tx>
        <c:rich>
          <a:bodyPr/>
          <a:lstStyle/>
          <a:p>
            <a:pPr>
              <a:defRPr/>
            </a:pPr>
            <a:r>
              <a:rPr lang="es-EC"/>
              <a:t>CUMPLIMIENTO A ORDENES DE TRABAJO MANTENIMIENTO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'Mantenimiento (No. 11)'!$D$7</c:f>
              <c:strCache>
                <c:ptCount val="1"/>
                <c:pt idx="0">
                  <c:v>POLIQUIM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11)'!$E$7:$P$7</c:f>
              <c:numCache>
                <c:formatCode>0.0%</c:formatCode>
                <c:ptCount val="12"/>
                <c:pt idx="0">
                  <c:v>0.97099999999999997</c:v>
                </c:pt>
                <c:pt idx="1">
                  <c:v>0.89700000000000002</c:v>
                </c:pt>
                <c:pt idx="2">
                  <c:v>0.97299999999999998</c:v>
                </c:pt>
                <c:pt idx="3">
                  <c:v>0.96299999999999997</c:v>
                </c:pt>
                <c:pt idx="4">
                  <c:v>0.79600000000000004</c:v>
                </c:pt>
                <c:pt idx="5">
                  <c:v>0.93</c:v>
                </c:pt>
                <c:pt idx="6">
                  <c:v>0.96296296296296291</c:v>
                </c:pt>
                <c:pt idx="7">
                  <c:v>0.97560975609756095</c:v>
                </c:pt>
                <c:pt idx="8">
                  <c:v>0.94444444444444442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axId val="72037120"/>
        <c:axId val="72038656"/>
      </c:barChart>
      <c:lineChart>
        <c:grouping val="standard"/>
        <c:ser>
          <c:idx val="1"/>
          <c:order val="1"/>
          <c:tx>
            <c:strRef>
              <c:f>'Mantenimiento (No. 11)'!$D$8</c:f>
              <c:strCache>
                <c:ptCount val="1"/>
                <c:pt idx="0">
                  <c:v>META (MIN)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11)'!$E$8:$P$8</c:f>
              <c:numCache>
                <c:formatCode>0.00%</c:formatCode>
                <c:ptCount val="12"/>
                <c:pt idx="0">
                  <c:v>0.93459999999999999</c:v>
                </c:pt>
                <c:pt idx="1">
                  <c:v>0.93459999999999999</c:v>
                </c:pt>
                <c:pt idx="2">
                  <c:v>0.93459999999999999</c:v>
                </c:pt>
                <c:pt idx="3">
                  <c:v>0.93459999999999999</c:v>
                </c:pt>
                <c:pt idx="4">
                  <c:v>0.93459999999999999</c:v>
                </c:pt>
                <c:pt idx="5">
                  <c:v>0.93459999999999999</c:v>
                </c:pt>
                <c:pt idx="6">
                  <c:v>0.93459999999999999</c:v>
                </c:pt>
                <c:pt idx="7">
                  <c:v>0.93459999999999999</c:v>
                </c:pt>
                <c:pt idx="8">
                  <c:v>0.93459999999999999</c:v>
                </c:pt>
                <c:pt idx="9">
                  <c:v>0.93459999999999999</c:v>
                </c:pt>
                <c:pt idx="10">
                  <c:v>0.93459999999999999</c:v>
                </c:pt>
                <c:pt idx="11">
                  <c:v>0.93459999999999999</c:v>
                </c:pt>
              </c:numCache>
            </c:numRef>
          </c:val>
        </c:ser>
        <c:marker val="1"/>
        <c:axId val="72037120"/>
        <c:axId val="72038656"/>
      </c:lineChart>
      <c:catAx>
        <c:axId val="720371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038656"/>
        <c:crosses val="autoZero"/>
        <c:auto val="1"/>
        <c:lblAlgn val="ctr"/>
        <c:lblOffset val="100"/>
        <c:tickLblSkip val="1"/>
        <c:tickMarkSkip val="1"/>
      </c:catAx>
      <c:valAx>
        <c:axId val="72038656"/>
        <c:scaling>
          <c:orientation val="minMax"/>
          <c:max val="1"/>
          <c:min val="0.7500000000000011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Cumplimiento (%)</a:t>
                </a:r>
              </a:p>
            </c:rich>
          </c:tx>
          <c:layout/>
        </c:title>
        <c:numFmt formatCode="0.0%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037120"/>
        <c:crosses val="autoZero"/>
        <c:crossBetween val="between"/>
        <c:majorUnit val="2.0000000000000011E-2"/>
        <c:minorUnit val="2.0000000000000048E-3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 alignWithMargins="0"/>
    <c:pageMargins b="1" l="0.75000000000000144" r="0.750000000000001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48"/>
  <c:chart>
    <c:title>
      <c:tx>
        <c:rich>
          <a:bodyPr/>
          <a:lstStyle/>
          <a:p>
            <a:pPr>
              <a:defRPr/>
            </a:pPr>
            <a:r>
              <a:rPr lang="es-EC"/>
              <a:t>CUMPLIIMIENTO</a:t>
            </a:r>
            <a:r>
              <a:rPr lang="es-EC" baseline="0"/>
              <a:t> AL PLAN ANUAL DE MANTENIMIENTO</a:t>
            </a:r>
            <a:endParaRPr lang="es-EC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'Mantenimiento (No. 11)'!$D$10</c:f>
              <c:strCache>
                <c:ptCount val="1"/>
                <c:pt idx="0">
                  <c:v>POLIQUIM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11)'!$E$10:$P$10</c:f>
              <c:numCache>
                <c:formatCode>0.0%</c:formatCode>
                <c:ptCount val="12"/>
                <c:pt idx="0">
                  <c:v>0.99399999999999999</c:v>
                </c:pt>
                <c:pt idx="1">
                  <c:v>0.97599999999999998</c:v>
                </c:pt>
                <c:pt idx="2">
                  <c:v>0.94499999999999995</c:v>
                </c:pt>
                <c:pt idx="3">
                  <c:v>0.98199999999999998</c:v>
                </c:pt>
                <c:pt idx="4">
                  <c:v>0.98899999999999999</c:v>
                </c:pt>
                <c:pt idx="5">
                  <c:v>0.97199999999999998</c:v>
                </c:pt>
                <c:pt idx="6">
                  <c:v>1</c:v>
                </c:pt>
                <c:pt idx="7">
                  <c:v>0.99356913183279738</c:v>
                </c:pt>
                <c:pt idx="8">
                  <c:v>0.93600000000000005</c:v>
                </c:pt>
                <c:pt idx="9">
                  <c:v>0.94920634920634916</c:v>
                </c:pt>
                <c:pt idx="10">
                  <c:v>0.96478873239436624</c:v>
                </c:pt>
                <c:pt idx="11">
                  <c:v>0.99059561128526641</c:v>
                </c:pt>
              </c:numCache>
            </c:numRef>
          </c:val>
        </c:ser>
        <c:axId val="72082560"/>
        <c:axId val="72084096"/>
      </c:barChart>
      <c:lineChart>
        <c:grouping val="standard"/>
        <c:ser>
          <c:idx val="1"/>
          <c:order val="1"/>
          <c:tx>
            <c:strRef>
              <c:f>'Mantenimiento (No. 11)'!$D$11</c:f>
              <c:strCache>
                <c:ptCount val="1"/>
                <c:pt idx="0">
                  <c:v>META (MIN)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11)'!$E$11:$P$11</c:f>
              <c:numCache>
                <c:formatCode>0.00%</c:formatCode>
                <c:ptCount val="12"/>
                <c:pt idx="0">
                  <c:v>0.96250000000000002</c:v>
                </c:pt>
                <c:pt idx="1">
                  <c:v>0.96250000000000002</c:v>
                </c:pt>
                <c:pt idx="2">
                  <c:v>0.96250000000000002</c:v>
                </c:pt>
                <c:pt idx="3">
                  <c:v>0.96250000000000002</c:v>
                </c:pt>
                <c:pt idx="4">
                  <c:v>0.96250000000000002</c:v>
                </c:pt>
                <c:pt idx="5">
                  <c:v>0.96250000000000002</c:v>
                </c:pt>
                <c:pt idx="6">
                  <c:v>0.96250000000000002</c:v>
                </c:pt>
                <c:pt idx="7">
                  <c:v>0.96250000000000002</c:v>
                </c:pt>
                <c:pt idx="8">
                  <c:v>0.96250000000000002</c:v>
                </c:pt>
                <c:pt idx="9">
                  <c:v>0.96250000000000002</c:v>
                </c:pt>
                <c:pt idx="10">
                  <c:v>0.96250000000000002</c:v>
                </c:pt>
                <c:pt idx="11">
                  <c:v>0.96250000000000002</c:v>
                </c:pt>
              </c:numCache>
            </c:numRef>
          </c:val>
        </c:ser>
        <c:marker val="1"/>
        <c:axId val="72082560"/>
        <c:axId val="72084096"/>
      </c:lineChart>
      <c:catAx>
        <c:axId val="72082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084096"/>
        <c:crosses val="autoZero"/>
        <c:auto val="1"/>
        <c:lblAlgn val="ctr"/>
        <c:lblOffset val="100"/>
        <c:tickLblSkip val="1"/>
        <c:tickMarkSkip val="1"/>
      </c:catAx>
      <c:valAx>
        <c:axId val="72084096"/>
        <c:scaling>
          <c:orientation val="minMax"/>
          <c:max val="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Cumplimiento</a:t>
                </a:r>
              </a:p>
            </c:rich>
          </c:tx>
          <c:layout>
            <c:manualLayout>
              <c:xMode val="edge"/>
              <c:yMode val="edge"/>
              <c:x val="5.2736770050114477E-2"/>
              <c:y val="0.40153411938223332"/>
            </c:manualLayout>
          </c:layout>
        </c:title>
        <c:numFmt formatCode="0.0%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08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 alignWithMargins="0"/>
    <c:pageMargins b="1" l="0.75000000000000144" r="0.75000000000000144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48"/>
  <c:chart>
    <c:title>
      <c:tx>
        <c:rich>
          <a:bodyPr/>
          <a:lstStyle/>
          <a:p>
            <a:pPr>
              <a:defRPr/>
            </a:pPr>
            <a:r>
              <a:rPr lang="es-EC"/>
              <a:t>(TASA DE GRAVEDAD POR FALLAS)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'Mantenimiento (No. 11)'!$D$13</c:f>
              <c:strCache>
                <c:ptCount val="1"/>
                <c:pt idx="0">
                  <c:v>POLIQUIM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11)'!$E$13:$P$13</c:f>
              <c:numCache>
                <c:formatCode>0.00%</c:formatCode>
                <c:ptCount val="12"/>
                <c:pt idx="0">
                  <c:v>1.5E-3</c:v>
                </c:pt>
                <c:pt idx="1">
                  <c:v>6.1999999999999998E-3</c:v>
                </c:pt>
                <c:pt idx="2">
                  <c:v>1.52E-2</c:v>
                </c:pt>
                <c:pt idx="3">
                  <c:v>1.3299999999999999E-2</c:v>
                </c:pt>
                <c:pt idx="4">
                  <c:v>6.3E-3</c:v>
                </c:pt>
                <c:pt idx="5">
                  <c:v>1.0500000000000001E-2</c:v>
                </c:pt>
                <c:pt idx="6">
                  <c:v>5.0000000000000001E-4</c:v>
                </c:pt>
                <c:pt idx="7">
                  <c:v>7.0000000000000001E-3</c:v>
                </c:pt>
                <c:pt idx="8">
                  <c:v>1.29E-2</c:v>
                </c:pt>
                <c:pt idx="9">
                  <c:v>0</c:v>
                </c:pt>
                <c:pt idx="10">
                  <c:v>1.44E-2</c:v>
                </c:pt>
                <c:pt idx="11">
                  <c:v>8.9999999999999993E-3</c:v>
                </c:pt>
              </c:numCache>
            </c:numRef>
          </c:val>
        </c:ser>
        <c:axId val="72242304"/>
        <c:axId val="72243840"/>
      </c:barChart>
      <c:lineChart>
        <c:grouping val="standard"/>
        <c:ser>
          <c:idx val="1"/>
          <c:order val="1"/>
          <c:tx>
            <c:strRef>
              <c:f>'Mantenimiento (No. 11)'!$D$14</c:f>
              <c:strCache>
                <c:ptCount val="1"/>
                <c:pt idx="0">
                  <c:v>META (MAX)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11)'!$E$14:$P$14</c:f>
              <c:numCache>
                <c:formatCode>0.00%</c:formatCode>
                <c:ptCount val="12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1.4999999999999999E-2</c:v>
                </c:pt>
                <c:pt idx="9">
                  <c:v>1.4999999999999999E-2</c:v>
                </c:pt>
                <c:pt idx="10">
                  <c:v>1.4999999999999999E-2</c:v>
                </c:pt>
                <c:pt idx="11">
                  <c:v>1.4999999999999999E-2</c:v>
                </c:pt>
              </c:numCache>
            </c:numRef>
          </c:val>
        </c:ser>
        <c:marker val="1"/>
        <c:axId val="72242304"/>
        <c:axId val="72243840"/>
      </c:lineChart>
      <c:catAx>
        <c:axId val="72242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243840"/>
        <c:crosses val="autoZero"/>
        <c:auto val="1"/>
        <c:lblAlgn val="ctr"/>
        <c:lblOffset val="100"/>
        <c:tickLblSkip val="1"/>
        <c:tickMarkSkip val="1"/>
      </c:catAx>
      <c:valAx>
        <c:axId val="72243840"/>
        <c:scaling>
          <c:orientation val="minMax"/>
          <c:max val="1.6000000000000021E-2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HORAS</a:t>
                </a:r>
                <a:r>
                  <a:rPr lang="es-EC" baseline="0"/>
                  <a:t> INPRODUCTIVAS / TOTALES DE PROD.</a:t>
                </a:r>
                <a:endParaRPr lang="es-EC"/>
              </a:p>
            </c:rich>
          </c:tx>
          <c:layout>
            <c:manualLayout>
              <c:xMode val="edge"/>
              <c:yMode val="edge"/>
              <c:x val="5.8663478253917732E-2"/>
              <c:y val="5.8919626513033854E-2"/>
            </c:manualLayout>
          </c:layout>
        </c:title>
        <c:numFmt formatCode="0.00%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242304"/>
        <c:crosses val="autoZero"/>
        <c:crossBetween val="between"/>
        <c:majorUnit val="2.0000000000000048E-3"/>
        <c:minorUnit val="4.0000000000000034E-4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 alignWithMargins="0"/>
    <c:pageMargins b="1" l="0.75000000000000144" r="0.75000000000000144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48"/>
  <c:chart>
    <c:title>
      <c:tx>
        <c:rich>
          <a:bodyPr/>
          <a:lstStyle/>
          <a:p>
            <a:pPr>
              <a:defRPr/>
            </a:pPr>
            <a:r>
              <a:rPr lang="es-EC"/>
              <a:t>DISPONIBILIDAD DE EQUIPOS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'Mantenimiento (No. 11)'!$D$16</c:f>
              <c:strCache>
                <c:ptCount val="1"/>
                <c:pt idx="0">
                  <c:v>POLIQUIM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11)'!$E$16:$P$16</c:f>
              <c:numCache>
                <c:formatCode>0.00%</c:formatCode>
                <c:ptCount val="12"/>
                <c:pt idx="0">
                  <c:v>0.9985049833887043</c:v>
                </c:pt>
                <c:pt idx="1">
                  <c:v>0.99384469696969702</c:v>
                </c:pt>
                <c:pt idx="2">
                  <c:v>0.98479087452471481</c:v>
                </c:pt>
                <c:pt idx="3">
                  <c:v>0.98670465337132007</c:v>
                </c:pt>
                <c:pt idx="4">
                  <c:v>0.99370078740157475</c:v>
                </c:pt>
                <c:pt idx="5">
                  <c:v>0.98499999999999999</c:v>
                </c:pt>
                <c:pt idx="6">
                  <c:v>0.99950000000000006</c:v>
                </c:pt>
                <c:pt idx="7">
                  <c:v>0.99299474605954463</c:v>
                </c:pt>
                <c:pt idx="8">
                  <c:v>0.98894009216589862</c:v>
                </c:pt>
                <c:pt idx="9">
                  <c:v>1</c:v>
                </c:pt>
                <c:pt idx="10">
                  <c:v>0.98559670781893005</c:v>
                </c:pt>
                <c:pt idx="11">
                  <c:v>0.9909977494373593</c:v>
                </c:pt>
              </c:numCache>
            </c:numRef>
          </c:val>
        </c:ser>
        <c:axId val="72299648"/>
        <c:axId val="72301184"/>
      </c:barChart>
      <c:lineChart>
        <c:grouping val="standard"/>
        <c:ser>
          <c:idx val="1"/>
          <c:order val="1"/>
          <c:tx>
            <c:strRef>
              <c:f>'Mantenimiento (No. 11)'!$D$17</c:f>
              <c:strCache>
                <c:ptCount val="1"/>
                <c:pt idx="0">
                  <c:v>META (MAX)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11)'!$E$17:$P$17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72299648"/>
        <c:axId val="72301184"/>
      </c:lineChart>
      <c:catAx>
        <c:axId val="722996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301184"/>
        <c:crosses val="autoZero"/>
        <c:auto val="1"/>
        <c:lblAlgn val="ctr"/>
        <c:lblOffset val="100"/>
        <c:tickLblSkip val="1"/>
        <c:tickMarkSkip val="1"/>
      </c:catAx>
      <c:valAx>
        <c:axId val="72301184"/>
        <c:scaling>
          <c:orientation val="minMax"/>
          <c:max val="1.1000000000000001"/>
          <c:min val="0.8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DISPONIBILIDAD(%)</a:t>
                </a:r>
              </a:p>
            </c:rich>
          </c:tx>
          <c:layout/>
        </c:title>
        <c:numFmt formatCode="0.00%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299648"/>
        <c:crosses val="autoZero"/>
        <c:crossBetween val="between"/>
        <c:majorUnit val="0.1"/>
        <c:minorUnit val="4.0000000000000022E-2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 alignWithMargins="0"/>
    <c:pageMargins b="1" l="0.75000000000000167" r="0.75000000000000167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48"/>
  <c:chart>
    <c:title>
      <c:tx>
        <c:rich>
          <a:bodyPr/>
          <a:lstStyle/>
          <a:p>
            <a:pPr>
              <a:defRPr/>
            </a:pPr>
            <a:r>
              <a:rPr lang="en-US"/>
              <a:t>CALIDAD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'Mantenimiento (No. 11)'!$D$19</c:f>
              <c:strCache>
                <c:ptCount val="1"/>
                <c:pt idx="0">
                  <c:v>POLIQUIM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11)'!$E$19:$P$19</c:f>
              <c:numCache>
                <c:formatCode>0.00%</c:formatCode>
                <c:ptCount val="12"/>
                <c:pt idx="0">
                  <c:v>0.97659327465941681</c:v>
                </c:pt>
                <c:pt idx="1">
                  <c:v>0.96342030839918869</c:v>
                </c:pt>
                <c:pt idx="2">
                  <c:v>0.95774760820045557</c:v>
                </c:pt>
                <c:pt idx="3">
                  <c:v>0.96677626016871132</c:v>
                </c:pt>
                <c:pt idx="4">
                  <c:v>0.97392854402398787</c:v>
                </c:pt>
                <c:pt idx="5">
                  <c:v>0.97558019358671055</c:v>
                </c:pt>
                <c:pt idx="6">
                  <c:v>0.95624126879776483</c:v>
                </c:pt>
                <c:pt idx="7">
                  <c:v>0.97309784108258579</c:v>
                </c:pt>
                <c:pt idx="8">
                  <c:v>0.97169378766051473</c:v>
                </c:pt>
                <c:pt idx="9">
                  <c:v>0.98893443931626868</c:v>
                </c:pt>
                <c:pt idx="10">
                  <c:v>0.975713849585366</c:v>
                </c:pt>
                <c:pt idx="11">
                  <c:v>0.97278988884089923</c:v>
                </c:pt>
              </c:numCache>
            </c:numRef>
          </c:val>
        </c:ser>
        <c:axId val="72344704"/>
        <c:axId val="72346240"/>
      </c:barChart>
      <c:lineChart>
        <c:grouping val="standard"/>
        <c:ser>
          <c:idx val="1"/>
          <c:order val="1"/>
          <c:tx>
            <c:strRef>
              <c:f>'Mantenimiento (No. 11)'!$D$20</c:f>
              <c:strCache>
                <c:ptCount val="1"/>
                <c:pt idx="0">
                  <c:v>META (MAX)</c:v>
                </c:pt>
              </c:strCache>
            </c:strRef>
          </c:tx>
          <c:cat>
            <c:strRef>
              <c:f>'Mantenimiento (No. 11)'!$E$6:$P$6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'Mantenimiento (No. 11)'!$E$20:$P$20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72344704"/>
        <c:axId val="72346240"/>
      </c:lineChart>
      <c:catAx>
        <c:axId val="723447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346240"/>
        <c:crosses val="autoZero"/>
        <c:auto val="1"/>
        <c:lblAlgn val="ctr"/>
        <c:lblOffset val="100"/>
        <c:tickLblSkip val="1"/>
        <c:tickMarkSkip val="1"/>
      </c:catAx>
      <c:valAx>
        <c:axId val="72346240"/>
        <c:scaling>
          <c:orientation val="minMax"/>
          <c:max val="1.1000000000000001"/>
          <c:min val="0.8"/>
        </c:scaling>
        <c:axPos val="l"/>
        <c:majorGridlines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CALIDAD</a:t>
                </a:r>
              </a:p>
            </c:rich>
          </c:tx>
          <c:layout/>
        </c:title>
        <c:numFmt formatCode="0.00%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344704"/>
        <c:crosses val="autoZero"/>
        <c:crossBetween val="between"/>
        <c:majorUnit val="0.1"/>
        <c:minorUnit val="4.0000000000000022E-2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 alignWithMargins="0"/>
    <c:pageMargins b="1" l="0.75000000000000189" r="0.75000000000000189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style val="48"/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>
                <a:latin typeface="Arial" pitchFamily="34" charset="0"/>
                <a:cs typeface="Arial" pitchFamily="34" charset="0"/>
              </a:rPr>
              <a:t>EFICIENCIA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eficiencia!$A$33</c:f>
              <c:strCache>
                <c:ptCount val="1"/>
                <c:pt idx="0">
                  <c:v>EFICIENCIA U# 1</c:v>
                </c:pt>
              </c:strCache>
            </c:strRef>
          </c:tx>
          <c:cat>
            <c:strRef>
              <c:f>eficiencia!$B$1:$M$1</c:f>
              <c:strCache>
                <c:ptCount val="12"/>
                <c:pt idx="0">
                  <c:v>ENER.</c:v>
                </c:pt>
                <c:pt idx="1">
                  <c:v>FEBR.</c:v>
                </c:pt>
                <c:pt idx="2">
                  <c:v>MARZ.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AGOST.</c:v>
                </c:pt>
                <c:pt idx="8">
                  <c:v>SEPT.</c:v>
                </c:pt>
                <c:pt idx="9">
                  <c:v>OCTUB.</c:v>
                </c:pt>
                <c:pt idx="10">
                  <c:v>NOVIEM.</c:v>
                </c:pt>
                <c:pt idx="11">
                  <c:v>DICIEM.</c:v>
                </c:pt>
              </c:strCache>
            </c:strRef>
          </c:cat>
          <c:val>
            <c:numRef>
              <c:f>eficiencia!$B$33:$M$33</c:f>
              <c:numCache>
                <c:formatCode>0.00%</c:formatCode>
                <c:ptCount val="12"/>
                <c:pt idx="0">
                  <c:v>0.35869021101871013</c:v>
                </c:pt>
                <c:pt idx="1">
                  <c:v>0.35640429756537739</c:v>
                </c:pt>
                <c:pt idx="2">
                  <c:v>0.21718568136691357</c:v>
                </c:pt>
                <c:pt idx="3">
                  <c:v>0.24023029139298746</c:v>
                </c:pt>
                <c:pt idx="4">
                  <c:v>0.38814982358997036</c:v>
                </c:pt>
                <c:pt idx="5">
                  <c:v>0.39655190575104482</c:v>
                </c:pt>
                <c:pt idx="6">
                  <c:v>0.29763591719024157</c:v>
                </c:pt>
                <c:pt idx="7">
                  <c:v>0.41080210843499376</c:v>
                </c:pt>
                <c:pt idx="8">
                  <c:v>0.36593671365014901</c:v>
                </c:pt>
                <c:pt idx="9">
                  <c:v>0.38070190920009617</c:v>
                </c:pt>
                <c:pt idx="10">
                  <c:v>0.26140315922235424</c:v>
                </c:pt>
                <c:pt idx="11">
                  <c:v>0.24180635075290244</c:v>
                </c:pt>
              </c:numCache>
            </c:numRef>
          </c:val>
        </c:ser>
        <c:ser>
          <c:idx val="1"/>
          <c:order val="1"/>
          <c:tx>
            <c:strRef>
              <c:f>eficiencia!$A$32</c:f>
              <c:strCache>
                <c:ptCount val="1"/>
                <c:pt idx="0">
                  <c:v>EFICIENCIA U# 2</c:v>
                </c:pt>
              </c:strCache>
            </c:strRef>
          </c:tx>
          <c:cat>
            <c:strRef>
              <c:f>eficiencia!$B$1:$M$1</c:f>
              <c:strCache>
                <c:ptCount val="12"/>
                <c:pt idx="0">
                  <c:v>ENER.</c:v>
                </c:pt>
                <c:pt idx="1">
                  <c:v>FEBR.</c:v>
                </c:pt>
                <c:pt idx="2">
                  <c:v>MARZ.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AGOST.</c:v>
                </c:pt>
                <c:pt idx="8">
                  <c:v>SEPT.</c:v>
                </c:pt>
                <c:pt idx="9">
                  <c:v>OCTUB.</c:v>
                </c:pt>
                <c:pt idx="10">
                  <c:v>NOVIEM.</c:v>
                </c:pt>
                <c:pt idx="11">
                  <c:v>DICIEM.</c:v>
                </c:pt>
              </c:strCache>
            </c:strRef>
          </c:cat>
          <c:val>
            <c:numRef>
              <c:f>eficiencia!$B$32:$M$32</c:f>
              <c:numCache>
                <c:formatCode>0.00%</c:formatCode>
                <c:ptCount val="12"/>
                <c:pt idx="0">
                  <c:v>0.82730574603956852</c:v>
                </c:pt>
                <c:pt idx="1">
                  <c:v>0.8943644935799544</c:v>
                </c:pt>
                <c:pt idx="2">
                  <c:v>0.87147704594531716</c:v>
                </c:pt>
                <c:pt idx="3">
                  <c:v>0.90749434040647559</c:v>
                </c:pt>
                <c:pt idx="4">
                  <c:v>0.9049033773276155</c:v>
                </c:pt>
                <c:pt idx="5">
                  <c:v>0.88033883198630913</c:v>
                </c:pt>
                <c:pt idx="6">
                  <c:v>0.86768751164336866</c:v>
                </c:pt>
                <c:pt idx="7">
                  <c:v>0.90665313202401743</c:v>
                </c:pt>
                <c:pt idx="8">
                  <c:v>0.89081347060659344</c:v>
                </c:pt>
                <c:pt idx="9">
                  <c:v>0.91956133503778992</c:v>
                </c:pt>
                <c:pt idx="10">
                  <c:v>0.85713793134186333</c:v>
                </c:pt>
                <c:pt idx="11">
                  <c:v>0.70069777763087737</c:v>
                </c:pt>
              </c:numCache>
            </c:numRef>
          </c:val>
        </c:ser>
        <c:axId val="72393472"/>
        <c:axId val="72395008"/>
      </c:barChart>
      <c:catAx>
        <c:axId val="723934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395008"/>
        <c:crosses val="autoZero"/>
        <c:auto val="1"/>
        <c:lblAlgn val="ctr"/>
        <c:lblOffset val="100"/>
        <c:tickLblSkip val="1"/>
        <c:tickMarkSkip val="1"/>
      </c:catAx>
      <c:valAx>
        <c:axId val="72395008"/>
        <c:scaling>
          <c:orientation val="minMax"/>
          <c:max val="1"/>
          <c:min val="0.2"/>
        </c:scaling>
        <c:axPos val="l"/>
        <c:majorGridlines/>
        <c:title>
          <c:tx>
            <c:rich>
              <a:bodyPr/>
              <a:lstStyle/>
              <a:p>
                <a:pPr>
                  <a:defRPr sz="1200">
                    <a:latin typeface="Arial" pitchFamily="34" charset="0"/>
                    <a:cs typeface="Arial" pitchFamily="34" charset="0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EFICIENCIA</a:t>
                </a:r>
              </a:p>
            </c:rich>
          </c:tx>
          <c:layout>
            <c:manualLayout>
              <c:xMode val="edge"/>
              <c:yMode val="edge"/>
              <c:x val="3.6071085600820292E-2"/>
              <c:y val="0.38249077761553801"/>
            </c:manualLayout>
          </c:layout>
        </c:title>
        <c:numFmt formatCode="0.00%" sourceLinked="0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72393472"/>
        <c:crosses val="autoZero"/>
        <c:crossBetween val="between"/>
        <c:majorUnit val="0.1"/>
        <c:minorUnit val="4.0000000000000022E-2"/>
      </c:val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 alignWithMargins="0"/>
    <c:pageMargins b="1" l="0.75000000000000211" r="0.750000000000002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</xdr:col>
      <xdr:colOff>171450</xdr:colOff>
      <xdr:row>4</xdr:row>
      <xdr:rowOff>28575</xdr:rowOff>
    </xdr:to>
    <xdr:pic>
      <xdr:nvPicPr>
        <xdr:cNvPr id="27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95250"/>
          <a:ext cx="457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0</xdr:row>
      <xdr:rowOff>142875</xdr:rowOff>
    </xdr:from>
    <xdr:to>
      <xdr:col>11</xdr:col>
      <xdr:colOff>205592</xdr:colOff>
      <xdr:row>3</xdr:row>
      <xdr:rowOff>66675</xdr:rowOff>
    </xdr:to>
    <xdr:sp macro="" textlink="">
      <xdr:nvSpPr>
        <xdr:cNvPr id="27650" name="Text Box 2"/>
        <xdr:cNvSpPr txBox="1">
          <a:spLocks noChangeArrowheads="1"/>
        </xdr:cNvSpPr>
      </xdr:nvSpPr>
      <xdr:spPr bwMode="auto">
        <a:xfrm>
          <a:off x="600075" y="142875"/>
          <a:ext cx="64484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s-EC" sz="1200" b="1" i="0" strike="noStrike">
              <a:solidFill>
                <a:srgbClr val="000000"/>
              </a:solidFill>
              <a:latin typeface="Arial"/>
              <a:cs typeface="Arial"/>
            </a:rPr>
            <a:t>CUMPLIMIENTO OBJETIVOS DE CALIDAD E INDICADORES DE PROCESOS - 2007</a:t>
          </a:r>
        </a:p>
        <a:p>
          <a:pPr algn="l" rtl="1">
            <a:defRPr sz="1000"/>
          </a:pPr>
          <a:r>
            <a:rPr lang="es-EC" sz="1200" b="1" i="0" strike="noStrike">
              <a:solidFill>
                <a:srgbClr val="000000"/>
              </a:solidFill>
              <a:latin typeface="Arial"/>
              <a:cs typeface="Arial"/>
            </a:rPr>
            <a:t>Mantenimiento (No. 11)</a:t>
          </a:r>
        </a:p>
      </xdr:txBody>
    </xdr:sp>
    <xdr:clientData/>
  </xdr:twoCellAnchor>
  <xdr:twoCellAnchor>
    <xdr:from>
      <xdr:col>0</xdr:col>
      <xdr:colOff>85725</xdr:colOff>
      <xdr:row>24</xdr:row>
      <xdr:rowOff>123825</xdr:rowOff>
    </xdr:from>
    <xdr:to>
      <xdr:col>8</xdr:col>
      <xdr:colOff>514350</xdr:colOff>
      <xdr:row>46</xdr:row>
      <xdr:rowOff>76200</xdr:rowOff>
    </xdr:to>
    <xdr:graphicFrame macro="">
      <xdr:nvGraphicFramePr>
        <xdr:cNvPr id="27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</xdr:colOff>
      <xdr:row>25</xdr:row>
      <xdr:rowOff>9525</xdr:rowOff>
    </xdr:from>
    <xdr:to>
      <xdr:col>21</xdr:col>
      <xdr:colOff>438150</xdr:colOff>
      <xdr:row>46</xdr:row>
      <xdr:rowOff>66675</xdr:rowOff>
    </xdr:to>
    <xdr:graphicFrame macro="">
      <xdr:nvGraphicFramePr>
        <xdr:cNvPr id="27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47</xdr:row>
      <xdr:rowOff>33617</xdr:rowOff>
    </xdr:from>
    <xdr:to>
      <xdr:col>8</xdr:col>
      <xdr:colOff>515470</xdr:colOff>
      <xdr:row>67</xdr:row>
      <xdr:rowOff>100852</xdr:rowOff>
    </xdr:to>
    <xdr:graphicFrame macro="">
      <xdr:nvGraphicFramePr>
        <xdr:cNvPr id="2791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83484</xdr:colOff>
      <xdr:row>47</xdr:row>
      <xdr:rowOff>78441</xdr:rowOff>
    </xdr:from>
    <xdr:to>
      <xdr:col>21</xdr:col>
      <xdr:colOff>437030</xdr:colOff>
      <xdr:row>67</xdr:row>
      <xdr:rowOff>123264</xdr:rowOff>
    </xdr:to>
    <xdr:graphicFrame macro="">
      <xdr:nvGraphicFramePr>
        <xdr:cNvPr id="279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68</xdr:row>
      <xdr:rowOff>112059</xdr:rowOff>
    </xdr:from>
    <xdr:to>
      <xdr:col>8</xdr:col>
      <xdr:colOff>481854</xdr:colOff>
      <xdr:row>91</xdr:row>
      <xdr:rowOff>78441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44822</xdr:colOff>
      <xdr:row>68</xdr:row>
      <xdr:rowOff>89647</xdr:rowOff>
    </xdr:from>
    <xdr:to>
      <xdr:col>21</xdr:col>
      <xdr:colOff>470646</xdr:colOff>
      <xdr:row>91</xdr:row>
      <xdr:rowOff>89647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0.0125</cdr:x>
      <cdr:y>1</cdr:y>
    </cdr:from>
    <cdr:to>
      <cdr:x>0.01422</cdr:x>
      <cdr:y>1</cdr:y>
    </cdr:to>
    <cdr:sp macro="" textlink="">
      <cdr:nvSpPr>
        <cdr:cNvPr id="286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8916" y="5990685"/>
          <a:ext cx="1173003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0000FF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C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C69"/>
  <sheetViews>
    <sheetView showGridLines="0" tabSelected="1" view="pageLayout" topLeftCell="A7" zoomScale="70" zoomScaleNormal="70" zoomScaleSheetLayoutView="70" zoomScalePageLayoutView="70" workbookViewId="0">
      <selection activeCell="F24" sqref="F24:G24"/>
    </sheetView>
  </sheetViews>
  <sheetFormatPr baseColWidth="10" defaultRowHeight="12.75"/>
  <cols>
    <col min="1" max="1" width="1.28515625" customWidth="1"/>
    <col min="2" max="2" width="4.28515625" customWidth="1"/>
    <col min="3" max="3" width="18.140625" customWidth="1"/>
    <col min="4" max="4" width="15.42578125" customWidth="1"/>
    <col min="5" max="5" width="8.42578125" customWidth="1"/>
    <col min="6" max="6" width="8.5703125" style="1" bestFit="1" customWidth="1"/>
    <col min="7" max="8" width="8.5703125" bestFit="1" customWidth="1"/>
    <col min="9" max="9" width="11" bestFit="1" customWidth="1"/>
    <col min="10" max="10" width="10" bestFit="1" customWidth="1"/>
    <col min="11" max="15" width="8.5703125" bestFit="1" customWidth="1"/>
    <col min="16" max="16" width="10.7109375" customWidth="1"/>
    <col min="17" max="17" width="8.7109375" hidden="1" customWidth="1"/>
    <col min="18" max="18" width="9" hidden="1" customWidth="1"/>
    <col min="19" max="19" width="9.28515625" customWidth="1"/>
    <col min="20" max="20" width="15.42578125" hidden="1" customWidth="1"/>
  </cols>
  <sheetData>
    <row r="2" spans="2:29">
      <c r="P2" t="s">
        <v>15</v>
      </c>
    </row>
    <row r="3" spans="2:29" ht="15.75">
      <c r="F3" s="2"/>
    </row>
    <row r="4" spans="2:29">
      <c r="F4" s="3"/>
    </row>
    <row r="5" spans="2:29" ht="13.5" thickBot="1"/>
    <row r="6" spans="2:29" s="6" customFormat="1" ht="37.5" thickTop="1" thickBot="1">
      <c r="B6" s="4" t="s">
        <v>0</v>
      </c>
      <c r="C6" s="5" t="s">
        <v>21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  <c r="O6" s="5" t="s">
        <v>12</v>
      </c>
      <c r="P6" s="24" t="s">
        <v>13</v>
      </c>
      <c r="Q6" s="22" t="s">
        <v>20</v>
      </c>
    </row>
    <row r="7" spans="2:29" s="9" customFormat="1" ht="24" customHeight="1" thickTop="1">
      <c r="B7" s="76">
        <v>1</v>
      </c>
      <c r="C7" s="78" t="s">
        <v>18</v>
      </c>
      <c r="D7" s="7" t="s">
        <v>14</v>
      </c>
      <c r="E7" s="8">
        <v>0.97099999999999997</v>
      </c>
      <c r="F7" s="8">
        <v>0.89700000000000002</v>
      </c>
      <c r="G7" s="8">
        <v>0.97299999999999998</v>
      </c>
      <c r="H7" s="8">
        <v>0.96299999999999997</v>
      </c>
      <c r="I7" s="8">
        <v>0.79600000000000004</v>
      </c>
      <c r="J7" s="8">
        <v>0.93</v>
      </c>
      <c r="K7" s="14">
        <f>(22+1+3)/(23+1+3)</f>
        <v>0.96296296296296291</v>
      </c>
      <c r="L7" s="14">
        <f>(24+14+2)/(25+14+2)</f>
        <v>0.97560975609756095</v>
      </c>
      <c r="M7" s="14">
        <f>(16+0+1)/(16+1+1)</f>
        <v>0.94444444444444442</v>
      </c>
      <c r="N7" s="14">
        <f>(13+5+0)/(13+5+0)</f>
        <v>1</v>
      </c>
      <c r="O7" s="14">
        <f>(1+3+0)/(1+3+0)</f>
        <v>1</v>
      </c>
      <c r="P7" s="25">
        <f>(0+1+0)/(0+1+0)</f>
        <v>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2:29" s="9" customFormat="1" ht="19.5" customHeight="1" thickBot="1">
      <c r="B8" s="77"/>
      <c r="C8" s="79"/>
      <c r="D8" s="10" t="s">
        <v>16</v>
      </c>
      <c r="E8" s="16">
        <v>0.93459999999999999</v>
      </c>
      <c r="F8" s="16">
        <v>0.93459999999999999</v>
      </c>
      <c r="G8" s="16">
        <v>0.93459999999999999</v>
      </c>
      <c r="H8" s="16">
        <v>0.93459999999999999</v>
      </c>
      <c r="I8" s="16">
        <v>0.93459999999999999</v>
      </c>
      <c r="J8" s="16">
        <v>0.93459999999999999</v>
      </c>
      <c r="K8" s="16">
        <v>0.93459999999999999</v>
      </c>
      <c r="L8" s="16">
        <v>0.93459999999999999</v>
      </c>
      <c r="M8" s="16">
        <v>0.93459999999999999</v>
      </c>
      <c r="N8" s="16">
        <v>0.93459999999999999</v>
      </c>
      <c r="O8" s="16">
        <v>0.93459999999999999</v>
      </c>
      <c r="P8" s="17">
        <v>0.93459999999999999</v>
      </c>
      <c r="Q8" s="23">
        <v>0.93459999999999999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s="9" customFormat="1" ht="6.75" customHeight="1" thickTop="1" thickBot="1"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2:29" s="11" customFormat="1" ht="22.5" customHeight="1" thickTop="1">
      <c r="B10" s="72">
        <v>2</v>
      </c>
      <c r="C10" s="74" t="s">
        <v>19</v>
      </c>
      <c r="D10" s="7" t="s">
        <v>14</v>
      </c>
      <c r="E10" s="8">
        <v>0.99399999999999999</v>
      </c>
      <c r="F10" s="8">
        <v>0.97599999999999998</v>
      </c>
      <c r="G10" s="8">
        <v>0.94499999999999995</v>
      </c>
      <c r="H10" s="8">
        <v>0.98199999999999998</v>
      </c>
      <c r="I10" s="8">
        <v>0.98899999999999999</v>
      </c>
      <c r="J10" s="8">
        <v>0.97199999999999998</v>
      </c>
      <c r="K10" s="14">
        <f>(1+0+2+0)/(1+0+2+0)</f>
        <v>1</v>
      </c>
      <c r="L10" s="14">
        <f>(282+0+27+0)/(283+1+27+0)</f>
        <v>0.99356913183279738</v>
      </c>
      <c r="M10" s="14">
        <f>(214+0+20+0)/(227+1+22+0)</f>
        <v>0.93600000000000005</v>
      </c>
      <c r="N10" s="14">
        <f>(257+0+42+0)/(269+1+45+0)</f>
        <v>0.94920634920634916</v>
      </c>
      <c r="O10" s="14">
        <f>(246+1+27+0)/(256+1+27+0)</f>
        <v>0.96478873239436624</v>
      </c>
      <c r="P10" s="25">
        <f>(276+1+39+0)/(278+1+40+0)</f>
        <v>0.99059561128526641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2:29" s="11" customFormat="1" ht="26.25" customHeight="1" thickBot="1">
      <c r="B11" s="73"/>
      <c r="C11" s="75"/>
      <c r="D11" s="10" t="s">
        <v>16</v>
      </c>
      <c r="E11" s="16">
        <v>0.96250000000000002</v>
      </c>
      <c r="F11" s="16">
        <v>0.96250000000000002</v>
      </c>
      <c r="G11" s="16">
        <v>0.96250000000000002</v>
      </c>
      <c r="H11" s="16">
        <v>0.96250000000000002</v>
      </c>
      <c r="I11" s="16">
        <v>0.96250000000000002</v>
      </c>
      <c r="J11" s="16">
        <v>0.96250000000000002</v>
      </c>
      <c r="K11" s="16">
        <v>0.96250000000000002</v>
      </c>
      <c r="L11" s="16">
        <v>0.96250000000000002</v>
      </c>
      <c r="M11" s="16">
        <v>0.96250000000000002</v>
      </c>
      <c r="N11" s="16">
        <v>0.96250000000000002</v>
      </c>
      <c r="O11" s="16">
        <v>0.96250000000000002</v>
      </c>
      <c r="P11" s="17">
        <v>0.96250000000000002</v>
      </c>
      <c r="Q11" s="23">
        <v>0.96250000000000002</v>
      </c>
      <c r="S11" s="18"/>
    </row>
    <row r="12" spans="2:29" s="9" customFormat="1" ht="6.75" customHeight="1" thickTop="1" thickBot="1">
      <c r="B12" s="26"/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S12" s="19"/>
    </row>
    <row r="13" spans="2:29" s="11" customFormat="1" ht="20.25" customHeight="1" thickTop="1">
      <c r="B13" s="72">
        <v>3</v>
      </c>
      <c r="C13" s="74" t="s">
        <v>22</v>
      </c>
      <c r="D13" s="12" t="s">
        <v>14</v>
      </c>
      <c r="E13" s="15">
        <v>1.5E-3</v>
      </c>
      <c r="F13" s="15">
        <v>6.1999999999999998E-3</v>
      </c>
      <c r="G13" s="15">
        <v>1.52E-2</v>
      </c>
      <c r="H13" s="15">
        <v>1.3299999999999999E-2</v>
      </c>
      <c r="I13" s="15">
        <v>6.3E-3</v>
      </c>
      <c r="J13" s="15">
        <v>1.0500000000000001E-2</v>
      </c>
      <c r="K13" s="20">
        <v>5.0000000000000001E-4</v>
      </c>
      <c r="L13" s="20">
        <v>7.0000000000000001E-3</v>
      </c>
      <c r="M13" s="20">
        <v>1.29E-2</v>
      </c>
      <c r="N13" s="20">
        <v>0</v>
      </c>
      <c r="O13" s="20">
        <v>1.44E-2</v>
      </c>
      <c r="P13" s="21">
        <v>8.9999999999999993E-3</v>
      </c>
      <c r="R13" s="18">
        <f>AVERAGE(E13:P13)</f>
        <v>8.0666666666666647E-3</v>
      </c>
    </row>
    <row r="14" spans="2:29" s="11" customFormat="1" ht="24.75" customHeight="1" thickBot="1">
      <c r="B14" s="73"/>
      <c r="C14" s="75"/>
      <c r="D14" s="13" t="s">
        <v>17</v>
      </c>
      <c r="E14" s="16">
        <v>1.4999999999999999E-2</v>
      </c>
      <c r="F14" s="16">
        <v>1.4999999999999999E-2</v>
      </c>
      <c r="G14" s="16">
        <v>1.4999999999999999E-2</v>
      </c>
      <c r="H14" s="16">
        <v>1.4999999999999999E-2</v>
      </c>
      <c r="I14" s="16">
        <v>1.4999999999999999E-2</v>
      </c>
      <c r="J14" s="16">
        <v>1.4999999999999999E-2</v>
      </c>
      <c r="K14" s="16">
        <v>1.4999999999999999E-2</v>
      </c>
      <c r="L14" s="16">
        <v>1.4999999999999999E-2</v>
      </c>
      <c r="M14" s="16">
        <v>1.4999999999999999E-2</v>
      </c>
      <c r="N14" s="16">
        <v>1.4999999999999999E-2</v>
      </c>
      <c r="O14" s="16">
        <v>1.4999999999999999E-2</v>
      </c>
      <c r="P14" s="17">
        <v>1.4999999999999999E-2</v>
      </c>
    </row>
    <row r="15" spans="2:29" ht="14.25" thickTop="1" thickBot="1"/>
    <row r="16" spans="2:29" s="11" customFormat="1" ht="20.25" customHeight="1" thickTop="1">
      <c r="B16" s="72">
        <v>3</v>
      </c>
      <c r="C16" s="74" t="s">
        <v>23</v>
      </c>
      <c r="D16" s="12" t="s">
        <v>14</v>
      </c>
      <c r="E16" s="15">
        <f>(1204-1.8)/1204</f>
        <v>0.9985049833887043</v>
      </c>
      <c r="F16" s="15">
        <f>(1056-6.5)/1056</f>
        <v>0.99384469696969702</v>
      </c>
      <c r="G16" s="15">
        <f>(1052-16)/1052</f>
        <v>0.98479087452471481</v>
      </c>
      <c r="H16" s="15">
        <f>(1053-14)/1053</f>
        <v>0.98670465337132007</v>
      </c>
      <c r="I16" s="15">
        <f>(1270-8)/1270</f>
        <v>0.99370078740157475</v>
      </c>
      <c r="J16" s="15">
        <f>(800-12)/800</f>
        <v>0.98499999999999999</v>
      </c>
      <c r="K16" s="20">
        <f>(1000-0.5)/1000</f>
        <v>0.99950000000000006</v>
      </c>
      <c r="L16" s="20">
        <f>(1142-8)/1142</f>
        <v>0.99299474605954463</v>
      </c>
      <c r="M16" s="20">
        <f>(1085-12)/1085</f>
        <v>0.98894009216589862</v>
      </c>
      <c r="N16" s="20">
        <v>1</v>
      </c>
      <c r="O16" s="20">
        <f>(972-14)/972</f>
        <v>0.98559670781893005</v>
      </c>
      <c r="P16" s="21">
        <f>(1333-12)/1333</f>
        <v>0.9909977494373593</v>
      </c>
      <c r="R16" s="18">
        <f>AVERAGE(E16:P16)</f>
        <v>0.99171460759481189</v>
      </c>
    </row>
    <row r="17" spans="2:18" s="11" customFormat="1" ht="24.75" customHeight="1" thickBot="1">
      <c r="B17" s="73"/>
      <c r="C17" s="75"/>
      <c r="D17" s="13" t="s">
        <v>17</v>
      </c>
      <c r="E17" s="30">
        <v>1</v>
      </c>
      <c r="F17" s="30">
        <v>1</v>
      </c>
      <c r="G17" s="30">
        <v>1</v>
      </c>
      <c r="H17" s="30">
        <v>1</v>
      </c>
      <c r="I17" s="30">
        <v>1</v>
      </c>
      <c r="J17" s="30">
        <v>1</v>
      </c>
      <c r="K17" s="30">
        <v>1</v>
      </c>
      <c r="L17" s="30">
        <v>1</v>
      </c>
      <c r="M17" s="30">
        <v>1</v>
      </c>
      <c r="N17" s="30">
        <v>1</v>
      </c>
      <c r="O17" s="30">
        <v>1</v>
      </c>
      <c r="P17" s="30">
        <v>1</v>
      </c>
      <c r="Q17" s="16">
        <v>1</v>
      </c>
      <c r="R17" s="16">
        <v>1</v>
      </c>
    </row>
    <row r="18" spans="2:18" ht="14.25" thickTop="1" thickBot="1"/>
    <row r="19" spans="2:18" ht="13.5" thickTop="1">
      <c r="B19" s="72">
        <v>4</v>
      </c>
      <c r="C19" s="74" t="s">
        <v>24</v>
      </c>
      <c r="D19" s="12" t="s">
        <v>14</v>
      </c>
      <c r="E19" s="15">
        <v>0.97659327465941681</v>
      </c>
      <c r="F19" s="15">
        <v>0.96342030839918869</v>
      </c>
      <c r="G19" s="15">
        <v>0.95774760820045557</v>
      </c>
      <c r="H19" s="15">
        <v>0.96677626016871132</v>
      </c>
      <c r="I19" s="15">
        <v>0.97392854402398787</v>
      </c>
      <c r="J19" s="15">
        <v>0.97558019358671055</v>
      </c>
      <c r="K19" s="20">
        <v>0.95624126879776483</v>
      </c>
      <c r="L19" s="20">
        <v>0.97309784108258579</v>
      </c>
      <c r="M19" s="20">
        <v>0.97169378766051473</v>
      </c>
      <c r="N19" s="20">
        <v>0.98893443931626868</v>
      </c>
      <c r="O19" s="20">
        <v>0.975713849585366</v>
      </c>
      <c r="P19" s="21">
        <v>0.97278988884089923</v>
      </c>
    </row>
    <row r="20" spans="2:18" ht="13.5" thickBot="1">
      <c r="B20" s="73"/>
      <c r="C20" s="75"/>
      <c r="D20" s="13" t="s">
        <v>17</v>
      </c>
      <c r="E20" s="30">
        <v>1</v>
      </c>
      <c r="F20" s="30">
        <v>1</v>
      </c>
      <c r="G20" s="30">
        <v>1</v>
      </c>
      <c r="H20" s="30">
        <v>1</v>
      </c>
      <c r="I20" s="30">
        <v>1</v>
      </c>
      <c r="J20" s="30">
        <v>1</v>
      </c>
      <c r="K20" s="30">
        <v>1</v>
      </c>
      <c r="L20" s="30">
        <v>1</v>
      </c>
      <c r="M20" s="30">
        <v>1</v>
      </c>
      <c r="N20" s="30">
        <v>1</v>
      </c>
      <c r="O20" s="30">
        <v>1</v>
      </c>
      <c r="P20" s="30">
        <v>1</v>
      </c>
    </row>
    <row r="21" spans="2:18" ht="13.5" thickTop="1"/>
    <row r="23" spans="2:18" ht="15.75">
      <c r="E23" s="71" t="s">
        <v>89</v>
      </c>
      <c r="F23" s="71"/>
    </row>
    <row r="24" spans="2:18" ht="15.75">
      <c r="E24" s="71" t="s">
        <v>90</v>
      </c>
      <c r="F24" s="71"/>
    </row>
    <row r="47" ht="59.25" customHeight="1"/>
    <row r="68" ht="59.25" customHeight="1"/>
    <row r="69" ht="51.75" customHeight="1"/>
  </sheetData>
  <protectedRanges>
    <protectedRange password="9399" sqref="E7:P7 E13:P13 E10:P10 E16:K16 E19:K19" name="A Sanchez"/>
    <protectedRange password="9399" sqref="R7:AC7" name="A Sanchez_1"/>
    <protectedRange password="9399" sqref="R10:AC10" name="A Sanchez_2"/>
  </protectedRanges>
  <mergeCells count="10">
    <mergeCell ref="B19:B20"/>
    <mergeCell ref="C19:C20"/>
    <mergeCell ref="B16:B17"/>
    <mergeCell ref="C16:C17"/>
    <mergeCell ref="B7:B8"/>
    <mergeCell ref="C7:C8"/>
    <mergeCell ref="B13:B14"/>
    <mergeCell ref="C13:C14"/>
    <mergeCell ref="B10:B11"/>
    <mergeCell ref="C10:C11"/>
  </mergeCells>
  <phoneticPr fontId="1" type="noConversion"/>
  <printOptions horizontalCentered="1"/>
  <pageMargins left="1.5748031496062993" right="0.94488188976377963" top="1.5748031496062993" bottom="1.5748031496062993" header="0" footer="0"/>
  <pageSetup paperSize="9" scale="48" fitToWidth="3" fitToHeight="3" orientation="portrait" r:id="rId1"/>
  <headerFooter alignWithMargins="0"/>
  <colBreaks count="1" manualBreakCount="1">
    <brk id="9" min="21" max="9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D28" sqref="D28"/>
    </sheetView>
  </sheetViews>
  <sheetFormatPr baseColWidth="10" defaultRowHeight="12.75"/>
  <cols>
    <col min="1" max="1" width="26" bestFit="1" customWidth="1"/>
    <col min="2" max="2" width="9" customWidth="1"/>
    <col min="3" max="3" width="10" bestFit="1" customWidth="1"/>
    <col min="4" max="4" width="7.5703125" bestFit="1" customWidth="1"/>
    <col min="5" max="8" width="7.28515625" bestFit="1" customWidth="1"/>
    <col min="9" max="9" width="8.85546875" bestFit="1" customWidth="1"/>
    <col min="10" max="10" width="13" bestFit="1" customWidth="1"/>
    <col min="11" max="11" width="9.85546875" bestFit="1" customWidth="1"/>
    <col min="12" max="12" width="12.140625" bestFit="1" customWidth="1"/>
    <col min="13" max="13" width="11.140625" bestFit="1" customWidth="1"/>
  </cols>
  <sheetData>
    <row r="1" spans="1:13" ht="13.5" thickBot="1">
      <c r="A1" s="38"/>
      <c r="B1" s="31" t="s">
        <v>25</v>
      </c>
      <c r="C1" s="32" t="s">
        <v>26</v>
      </c>
      <c r="D1" s="32" t="s">
        <v>27</v>
      </c>
      <c r="E1" s="32" t="s">
        <v>28</v>
      </c>
      <c r="F1" s="32" t="s">
        <v>29</v>
      </c>
      <c r="G1" s="32" t="s">
        <v>30</v>
      </c>
      <c r="H1" s="32" t="s">
        <v>31</v>
      </c>
      <c r="I1" s="32" t="s">
        <v>32</v>
      </c>
      <c r="J1" s="32" t="s">
        <v>33</v>
      </c>
      <c r="K1" s="32" t="s">
        <v>34</v>
      </c>
      <c r="L1" s="32" t="s">
        <v>35</v>
      </c>
      <c r="M1" s="33" t="s">
        <v>36</v>
      </c>
    </row>
    <row r="2" spans="1:13" ht="13.5" thickBot="1">
      <c r="A2" s="34" t="s">
        <v>37</v>
      </c>
      <c r="B2" s="41">
        <v>302349</v>
      </c>
      <c r="C2" s="41">
        <v>275098</v>
      </c>
      <c r="D2" s="41">
        <v>274375</v>
      </c>
      <c r="E2" s="41">
        <v>266135</v>
      </c>
      <c r="F2" s="41">
        <v>338838</v>
      </c>
      <c r="G2" s="41">
        <v>291239</v>
      </c>
      <c r="H2" s="42">
        <v>316394</v>
      </c>
      <c r="I2" s="42">
        <v>326182</v>
      </c>
      <c r="J2" s="42">
        <v>338053</v>
      </c>
      <c r="K2" s="42">
        <v>407119</v>
      </c>
      <c r="L2" s="42">
        <v>321006</v>
      </c>
      <c r="M2" s="43">
        <v>263946</v>
      </c>
    </row>
    <row r="3" spans="1:13" ht="13.5" thickBot="1">
      <c r="A3" s="34" t="s">
        <v>38</v>
      </c>
      <c r="B3" s="44">
        <f>B2-B4</f>
        <v>7077</v>
      </c>
      <c r="C3" s="44">
        <f t="shared" ref="C3:M3" si="0">C2-C4</f>
        <v>10063</v>
      </c>
      <c r="D3" s="44">
        <f t="shared" si="0"/>
        <v>11593</v>
      </c>
      <c r="E3" s="44">
        <f>E2-E4</f>
        <v>8842</v>
      </c>
      <c r="F3" s="44">
        <f>F2-F4</f>
        <v>8834</v>
      </c>
      <c r="G3" s="44">
        <f t="shared" si="0"/>
        <v>7112</v>
      </c>
      <c r="H3" s="45">
        <f t="shared" si="0"/>
        <v>13845</v>
      </c>
      <c r="I3" s="45">
        <f t="shared" si="0"/>
        <v>8775</v>
      </c>
      <c r="J3" s="45">
        <f t="shared" si="0"/>
        <v>9569</v>
      </c>
      <c r="K3" s="45">
        <f t="shared" si="0"/>
        <v>4505</v>
      </c>
      <c r="L3" s="45">
        <f t="shared" si="0"/>
        <v>7796</v>
      </c>
      <c r="M3" s="46">
        <f t="shared" si="0"/>
        <v>7182</v>
      </c>
    </row>
    <row r="4" spans="1:13" ht="39" thickBot="1">
      <c r="A4" s="35" t="s">
        <v>39</v>
      </c>
      <c r="B4" s="47">
        <v>295272</v>
      </c>
      <c r="C4" s="47">
        <v>265035</v>
      </c>
      <c r="D4" s="47">
        <v>262782</v>
      </c>
      <c r="E4" s="47">
        <v>257293</v>
      </c>
      <c r="F4" s="47">
        <v>330004</v>
      </c>
      <c r="G4" s="47">
        <v>284127</v>
      </c>
      <c r="H4" s="48">
        <v>302549</v>
      </c>
      <c r="I4" s="48">
        <v>317407</v>
      </c>
      <c r="J4" s="48">
        <v>328484</v>
      </c>
      <c r="K4" s="48">
        <v>402614</v>
      </c>
      <c r="L4" s="48">
        <v>313210</v>
      </c>
      <c r="M4" s="48">
        <v>256764</v>
      </c>
    </row>
    <row r="5" spans="1:13" ht="13.5" thickBot="1">
      <c r="A5" s="36" t="s">
        <v>40</v>
      </c>
      <c r="B5" s="39">
        <f>(B2-B3)/B2</f>
        <v>0.97659327465941681</v>
      </c>
      <c r="C5" s="39">
        <f t="shared" ref="C5:M5" si="1">(C2-C3)/C2</f>
        <v>0.96342030839918869</v>
      </c>
      <c r="D5" s="39">
        <f t="shared" si="1"/>
        <v>0.95774760820045557</v>
      </c>
      <c r="E5" s="39">
        <f t="shared" si="1"/>
        <v>0.96677626016871132</v>
      </c>
      <c r="F5" s="39">
        <f t="shared" si="1"/>
        <v>0.97392854402398787</v>
      </c>
      <c r="G5" s="39">
        <f t="shared" si="1"/>
        <v>0.97558019358671055</v>
      </c>
      <c r="H5" s="39">
        <f t="shared" si="1"/>
        <v>0.95624126879776483</v>
      </c>
      <c r="I5" s="39">
        <f t="shared" si="1"/>
        <v>0.97309784108258579</v>
      </c>
      <c r="J5" s="39">
        <f t="shared" si="1"/>
        <v>0.97169378766051473</v>
      </c>
      <c r="K5" s="39">
        <f t="shared" si="1"/>
        <v>0.98893443931626868</v>
      </c>
      <c r="L5" s="39">
        <f t="shared" si="1"/>
        <v>0.975713849585366</v>
      </c>
      <c r="M5" s="40">
        <f t="shared" si="1"/>
        <v>0.97278988884089923</v>
      </c>
    </row>
    <row r="7" spans="1:13">
      <c r="A7" s="37" t="s">
        <v>80</v>
      </c>
      <c r="B7" s="37"/>
    </row>
    <row r="14" spans="1:13">
      <c r="D14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4"/>
  <sheetViews>
    <sheetView workbookViewId="0">
      <selection activeCell="E36" sqref="E36"/>
    </sheetView>
  </sheetViews>
  <sheetFormatPr baseColWidth="10" defaultRowHeight="12.75"/>
  <cols>
    <col min="1" max="1" width="32" bestFit="1" customWidth="1"/>
    <col min="2" max="2" width="9" customWidth="1"/>
    <col min="3" max="3" width="10.140625" bestFit="1" customWidth="1"/>
    <col min="4" max="4" width="12" bestFit="1" customWidth="1"/>
    <col min="5" max="5" width="7.5703125" bestFit="1" customWidth="1"/>
    <col min="6" max="6" width="8" bestFit="1" customWidth="1"/>
    <col min="7" max="8" width="8.28515625" bestFit="1" customWidth="1"/>
    <col min="9" max="9" width="9" bestFit="1" customWidth="1"/>
    <col min="10" max="10" width="13.140625" bestFit="1" customWidth="1"/>
    <col min="11" max="11" width="10" bestFit="1" customWidth="1"/>
    <col min="12" max="12" width="12.28515625" bestFit="1" customWidth="1"/>
    <col min="13" max="13" width="11.28515625" bestFit="1" customWidth="1"/>
    <col min="15" max="15" width="21.42578125" bestFit="1" customWidth="1"/>
    <col min="16" max="16" width="18.7109375" bestFit="1" customWidth="1"/>
  </cols>
  <sheetData>
    <row r="1" spans="1:13">
      <c r="A1" s="60" t="s">
        <v>55</v>
      </c>
      <c r="B1" s="68" t="s">
        <v>81</v>
      </c>
      <c r="C1" s="69" t="s">
        <v>82</v>
      </c>
      <c r="D1" s="69" t="s">
        <v>83</v>
      </c>
      <c r="E1" s="69" t="s">
        <v>28</v>
      </c>
      <c r="F1" s="61" t="s">
        <v>29</v>
      </c>
      <c r="G1" s="61" t="s">
        <v>30</v>
      </c>
      <c r="H1" s="61" t="s">
        <v>31</v>
      </c>
      <c r="I1" s="69" t="s">
        <v>84</v>
      </c>
      <c r="J1" s="69" t="s">
        <v>85</v>
      </c>
      <c r="K1" s="69" t="s">
        <v>86</v>
      </c>
      <c r="L1" s="69" t="s">
        <v>87</v>
      </c>
      <c r="M1" s="70" t="s">
        <v>88</v>
      </c>
    </row>
    <row r="2" spans="1:13">
      <c r="A2" s="64" t="s">
        <v>77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>
      <c r="A3" s="55" t="s">
        <v>53</v>
      </c>
      <c r="B3" s="54">
        <v>15535</v>
      </c>
      <c r="C3" s="54">
        <v>19528</v>
      </c>
      <c r="D3" s="54">
        <v>19265</v>
      </c>
      <c r="E3" s="54">
        <v>7627</v>
      </c>
      <c r="F3" s="54">
        <v>11616</v>
      </c>
      <c r="G3" s="54">
        <v>23320</v>
      </c>
      <c r="H3" s="54">
        <v>23259</v>
      </c>
      <c r="I3" s="54">
        <v>19128</v>
      </c>
      <c r="J3" s="54">
        <v>15651</v>
      </c>
      <c r="K3" s="54">
        <v>27241</v>
      </c>
      <c r="L3" s="54">
        <v>23165</v>
      </c>
      <c r="M3" s="54">
        <v>7761</v>
      </c>
    </row>
    <row r="4" spans="1:13">
      <c r="A4" s="55" t="s">
        <v>49</v>
      </c>
      <c r="B4" s="54">
        <v>10623</v>
      </c>
      <c r="C4" s="54">
        <v>10730</v>
      </c>
      <c r="D4" s="54">
        <v>10927</v>
      </c>
      <c r="E4" s="54">
        <v>0</v>
      </c>
      <c r="F4" s="54">
        <v>7021</v>
      </c>
      <c r="G4" s="54">
        <v>7158</v>
      </c>
      <c r="H4" s="54">
        <v>3506</v>
      </c>
      <c r="I4" s="54">
        <v>3620</v>
      </c>
      <c r="J4" s="54">
        <v>14431</v>
      </c>
      <c r="K4" s="54">
        <v>14562</v>
      </c>
      <c r="L4" s="54">
        <v>7260</v>
      </c>
      <c r="M4" s="54">
        <v>7302</v>
      </c>
    </row>
    <row r="5" spans="1:13">
      <c r="A5" s="55" t="s">
        <v>50</v>
      </c>
      <c r="B5" s="54">
        <v>22482</v>
      </c>
      <c r="C5" s="54">
        <f>13239+4450</f>
        <v>17689</v>
      </c>
      <c r="D5" s="54">
        <v>27029</v>
      </c>
      <c r="E5" s="54">
        <v>22681</v>
      </c>
      <c r="F5" s="54">
        <v>22329</v>
      </c>
      <c r="G5" s="54">
        <v>26730</v>
      </c>
      <c r="H5" s="54">
        <v>13200</v>
      </c>
      <c r="I5" s="54">
        <v>13420</v>
      </c>
      <c r="J5" s="54">
        <v>22220</v>
      </c>
      <c r="K5" s="54">
        <v>27068</v>
      </c>
      <c r="L5" s="54">
        <v>13718</v>
      </c>
      <c r="M5" s="54">
        <v>44812</v>
      </c>
    </row>
    <row r="6" spans="1:13">
      <c r="A6" s="55" t="s">
        <v>51</v>
      </c>
      <c r="B6" s="54">
        <v>7932</v>
      </c>
      <c r="C6" s="54">
        <f>0+11829</f>
        <v>11829</v>
      </c>
      <c r="D6" s="54">
        <v>7931</v>
      </c>
      <c r="E6" s="54">
        <v>0</v>
      </c>
      <c r="F6" s="54">
        <v>7916</v>
      </c>
      <c r="G6" s="54">
        <v>7880</v>
      </c>
      <c r="H6" s="54">
        <v>3912</v>
      </c>
      <c r="I6" s="54">
        <v>3912</v>
      </c>
      <c r="J6" s="54">
        <v>19678</v>
      </c>
      <c r="K6" s="54">
        <v>7822</v>
      </c>
      <c r="L6" s="54">
        <v>7870</v>
      </c>
      <c r="M6" s="54">
        <v>0</v>
      </c>
    </row>
    <row r="7" spans="1:13">
      <c r="A7" s="55" t="s">
        <v>64</v>
      </c>
      <c r="B7" s="54">
        <v>0</v>
      </c>
      <c r="C7" s="54">
        <v>3978</v>
      </c>
      <c r="D7" s="54">
        <v>4028</v>
      </c>
      <c r="E7" s="54">
        <v>3960</v>
      </c>
      <c r="F7" s="54">
        <v>7920</v>
      </c>
      <c r="G7" s="54">
        <v>3838</v>
      </c>
      <c r="H7" s="54">
        <v>3894</v>
      </c>
      <c r="I7" s="54">
        <v>3625</v>
      </c>
      <c r="J7" s="54">
        <v>7680</v>
      </c>
      <c r="K7" s="54">
        <v>3965</v>
      </c>
      <c r="L7" s="54">
        <v>11717</v>
      </c>
      <c r="M7" s="54">
        <v>7749</v>
      </c>
    </row>
    <row r="8" spans="1:13">
      <c r="A8" s="55" t="s">
        <v>52</v>
      </c>
      <c r="B8" s="54">
        <v>3586</v>
      </c>
      <c r="C8" s="54">
        <v>3690</v>
      </c>
      <c r="D8" s="54">
        <v>7280</v>
      </c>
      <c r="E8" s="54">
        <v>0</v>
      </c>
      <c r="F8" s="54">
        <v>3682</v>
      </c>
      <c r="G8" s="54">
        <v>3748</v>
      </c>
      <c r="H8" s="54">
        <v>3552</v>
      </c>
      <c r="I8" s="54">
        <v>3708</v>
      </c>
      <c r="J8" s="54">
        <f>4250+(3600)*0</f>
        <v>4250</v>
      </c>
      <c r="K8" s="54">
        <v>7480</v>
      </c>
      <c r="L8" s="54">
        <v>4250</v>
      </c>
      <c r="M8" s="54">
        <v>7390</v>
      </c>
    </row>
    <row r="9" spans="1:13">
      <c r="A9" s="55" t="s">
        <v>63</v>
      </c>
      <c r="B9" s="54">
        <v>0</v>
      </c>
      <c r="C9" s="54">
        <v>0</v>
      </c>
      <c r="D9" s="54">
        <v>0</v>
      </c>
      <c r="E9" s="54">
        <v>670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</row>
    <row r="10" spans="1:13">
      <c r="A10" s="55" t="s">
        <v>62</v>
      </c>
      <c r="B10" s="54">
        <v>0</v>
      </c>
      <c r="C10" s="54">
        <v>1683</v>
      </c>
      <c r="D10" s="54">
        <v>0</v>
      </c>
      <c r="E10" s="54">
        <v>0</v>
      </c>
      <c r="F10" s="54">
        <v>0</v>
      </c>
      <c r="G10" s="54">
        <v>795</v>
      </c>
      <c r="H10" s="54">
        <v>1087</v>
      </c>
      <c r="I10" s="54">
        <v>0</v>
      </c>
      <c r="J10" s="54">
        <v>815</v>
      </c>
      <c r="K10" s="54">
        <v>0</v>
      </c>
      <c r="L10" s="54">
        <v>905</v>
      </c>
      <c r="M10" s="54">
        <v>0</v>
      </c>
    </row>
    <row r="11" spans="1:13">
      <c r="A11" s="55" t="s">
        <v>41</v>
      </c>
      <c r="B11" s="54">
        <v>5488</v>
      </c>
      <c r="C11" s="54">
        <v>0</v>
      </c>
      <c r="D11" s="54">
        <v>7335</v>
      </c>
      <c r="E11" s="54">
        <v>0</v>
      </c>
      <c r="F11" s="54">
        <v>4442</v>
      </c>
      <c r="G11" s="54">
        <v>4581</v>
      </c>
      <c r="H11" s="54">
        <v>5904</v>
      </c>
      <c r="I11" s="54">
        <v>372</v>
      </c>
      <c r="J11" s="54">
        <v>15823</v>
      </c>
      <c r="K11" s="54">
        <v>14080</v>
      </c>
      <c r="L11" s="54">
        <v>0</v>
      </c>
      <c r="M11" s="54">
        <v>4730</v>
      </c>
    </row>
    <row r="12" spans="1:13">
      <c r="A12" s="55" t="s">
        <v>42</v>
      </c>
      <c r="B12" s="54">
        <v>7789</v>
      </c>
      <c r="C12" s="54">
        <v>11880</v>
      </c>
      <c r="D12" s="54">
        <v>3416</v>
      </c>
      <c r="E12" s="54">
        <v>0</v>
      </c>
      <c r="F12" s="54">
        <v>8785</v>
      </c>
      <c r="G12" s="54">
        <v>9020</v>
      </c>
      <c r="H12" s="54">
        <v>2762</v>
      </c>
      <c r="I12" s="54">
        <v>2593</v>
      </c>
      <c r="J12" s="54">
        <f>13164</f>
        <v>13164</v>
      </c>
      <c r="K12" s="54">
        <v>12432</v>
      </c>
      <c r="L12" s="54">
        <v>8618</v>
      </c>
      <c r="M12" s="54">
        <v>0</v>
      </c>
    </row>
    <row r="13" spans="1:13">
      <c r="A13" s="55" t="s">
        <v>43</v>
      </c>
      <c r="B13" s="54">
        <v>90608</v>
      </c>
      <c r="C13" s="54">
        <v>106364</v>
      </c>
      <c r="D13" s="54">
        <v>63132</v>
      </c>
      <c r="E13" s="54">
        <v>67072</v>
      </c>
      <c r="F13" s="54">
        <v>82948</v>
      </c>
      <c r="G13" s="54">
        <v>74928</v>
      </c>
      <c r="H13" s="54">
        <v>63204</v>
      </c>
      <c r="I13" s="54">
        <v>90840</v>
      </c>
      <c r="J13" s="54">
        <v>86764</v>
      </c>
      <c r="K13" s="54">
        <f>114343+(3948)*1</f>
        <v>118291</v>
      </c>
      <c r="L13" s="54">
        <v>149811</v>
      </c>
      <c r="M13" s="54">
        <v>74740</v>
      </c>
    </row>
    <row r="14" spans="1:13">
      <c r="A14" s="55" t="s">
        <v>44</v>
      </c>
      <c r="B14" s="54">
        <v>77544</v>
      </c>
      <c r="C14" s="54">
        <f>51154</f>
        <v>51154</v>
      </c>
      <c r="D14" s="54">
        <v>51184</v>
      </c>
      <c r="E14" s="54">
        <v>90566</v>
      </c>
      <c r="F14" s="54">
        <v>66890</v>
      </c>
      <c r="G14" s="54">
        <v>59118</v>
      </c>
      <c r="H14" s="54">
        <v>70886</v>
      </c>
      <c r="I14" s="54">
        <v>90476</v>
      </c>
      <c r="J14" s="54">
        <v>59018</v>
      </c>
      <c r="K14" s="54">
        <f>106246+(3941)*0</f>
        <v>106246</v>
      </c>
      <c r="L14" s="54">
        <v>55121</v>
      </c>
      <c r="M14" s="54">
        <v>52451</v>
      </c>
    </row>
    <row r="15" spans="1:13">
      <c r="A15" s="55" t="s">
        <v>45</v>
      </c>
      <c r="B15" s="54">
        <v>15682</v>
      </c>
      <c r="C15" s="54">
        <v>0</v>
      </c>
      <c r="D15" s="54">
        <v>47148</v>
      </c>
      <c r="E15" s="54">
        <v>51040</v>
      </c>
      <c r="F15" s="54">
        <v>66824</v>
      </c>
      <c r="G15" s="54">
        <v>23572</v>
      </c>
      <c r="H15" s="54">
        <v>82518</v>
      </c>
      <c r="I15" s="54">
        <v>47177</v>
      </c>
      <c r="J15" s="54">
        <v>31414</v>
      </c>
      <c r="K15" s="54">
        <v>11784</v>
      </c>
      <c r="L15" s="54">
        <v>3923</v>
      </c>
      <c r="M15" s="54">
        <v>19608</v>
      </c>
    </row>
    <row r="16" spans="1:13">
      <c r="A16" s="64" t="s">
        <v>76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>
      <c r="A17" s="55" t="s">
        <v>60</v>
      </c>
      <c r="B17" s="54">
        <v>0</v>
      </c>
      <c r="C17" s="54">
        <v>5538</v>
      </c>
      <c r="D17" s="54">
        <v>4148</v>
      </c>
      <c r="E17" s="54">
        <v>1402</v>
      </c>
      <c r="F17" s="54">
        <v>2696</v>
      </c>
      <c r="G17" s="54">
        <v>5385</v>
      </c>
      <c r="H17" s="54">
        <v>2750</v>
      </c>
      <c r="I17" s="54">
        <v>2646</v>
      </c>
      <c r="J17" s="54">
        <v>0</v>
      </c>
      <c r="K17" s="54">
        <f>4068+1440</f>
        <v>5508</v>
      </c>
      <c r="L17" s="54">
        <v>4300</v>
      </c>
      <c r="M17" s="54">
        <v>2775</v>
      </c>
    </row>
    <row r="18" spans="1:13">
      <c r="A18" s="55" t="s">
        <v>48</v>
      </c>
      <c r="B18" s="54">
        <v>38597</v>
      </c>
      <c r="C18" s="54">
        <v>0</v>
      </c>
      <c r="D18" s="54">
        <v>0</v>
      </c>
      <c r="E18" s="54">
        <v>0</v>
      </c>
      <c r="F18" s="54">
        <v>21535</v>
      </c>
      <c r="G18" s="54">
        <v>30428</v>
      </c>
      <c r="H18" s="54">
        <f>22747+(1400)*0</f>
        <v>22747</v>
      </c>
      <c r="I18" s="54">
        <v>15839</v>
      </c>
      <c r="J18" s="54">
        <f>21254</f>
        <v>21254</v>
      </c>
      <c r="K18" s="54">
        <v>18290</v>
      </c>
      <c r="L18" s="54">
        <v>1400</v>
      </c>
      <c r="M18" s="54">
        <v>28283</v>
      </c>
    </row>
    <row r="19" spans="1:13">
      <c r="A19" s="62" t="s">
        <v>46</v>
      </c>
      <c r="B19" s="63">
        <v>1186</v>
      </c>
      <c r="C19" s="63">
        <v>13521</v>
      </c>
      <c r="D19" s="63">
        <v>0</v>
      </c>
      <c r="E19" s="63">
        <v>2748</v>
      </c>
      <c r="F19" s="63">
        <v>6834</v>
      </c>
      <c r="G19" s="63">
        <v>5485</v>
      </c>
      <c r="H19" s="63">
        <v>2724</v>
      </c>
      <c r="I19" s="63">
        <v>6900</v>
      </c>
      <c r="J19" s="63">
        <v>10836</v>
      </c>
      <c r="K19" s="63">
        <v>8201</v>
      </c>
      <c r="L19" s="63">
        <v>5572</v>
      </c>
      <c r="M19" s="63">
        <v>0</v>
      </c>
    </row>
    <row r="20" spans="1:13">
      <c r="A20" s="55" t="s">
        <v>47</v>
      </c>
      <c r="B20" s="54">
        <v>5297</v>
      </c>
      <c r="C20" s="58">
        <v>0</v>
      </c>
      <c r="D20" s="54">
        <v>3966</v>
      </c>
      <c r="E20" s="54">
        <v>7967</v>
      </c>
      <c r="F20" s="54">
        <v>6572</v>
      </c>
      <c r="G20" s="54">
        <v>0</v>
      </c>
      <c r="H20" s="54">
        <v>0</v>
      </c>
      <c r="I20" s="54">
        <v>2661</v>
      </c>
      <c r="J20" s="54">
        <v>5306</v>
      </c>
      <c r="K20" s="54">
        <v>5280</v>
      </c>
      <c r="L20" s="54">
        <v>6889</v>
      </c>
      <c r="M20" s="54">
        <v>0</v>
      </c>
    </row>
    <row r="21" spans="1:13">
      <c r="A21" s="55" t="s">
        <v>61</v>
      </c>
      <c r="B21" s="54">
        <v>0</v>
      </c>
      <c r="C21" s="54">
        <v>10415</v>
      </c>
      <c r="D21" s="54">
        <v>8844</v>
      </c>
      <c r="E21" s="54">
        <v>0</v>
      </c>
      <c r="F21" s="54">
        <v>3590</v>
      </c>
      <c r="G21" s="54">
        <v>5253</v>
      </c>
      <c r="H21" s="54">
        <v>9020</v>
      </c>
      <c r="I21" s="54">
        <v>3530</v>
      </c>
      <c r="J21" s="54">
        <f>6988</f>
        <v>6988</v>
      </c>
      <c r="K21" s="54">
        <v>12639</v>
      </c>
      <c r="L21" s="54">
        <v>0</v>
      </c>
      <c r="M21" s="54">
        <v>0</v>
      </c>
    </row>
    <row r="22" spans="1:13">
      <c r="A22" s="55" t="s">
        <v>65</v>
      </c>
      <c r="B22" s="54">
        <v>0</v>
      </c>
      <c r="C22" s="54">
        <f>0+1274</f>
        <v>1274</v>
      </c>
      <c r="D22" s="54">
        <v>0</v>
      </c>
      <c r="E22" s="54">
        <v>0</v>
      </c>
      <c r="F22" s="54">
        <v>1249</v>
      </c>
      <c r="G22" s="54">
        <v>0</v>
      </c>
      <c r="H22" s="54">
        <v>0</v>
      </c>
      <c r="I22" s="54">
        <f>0+(1260)*1</f>
        <v>1260</v>
      </c>
      <c r="J22" s="54">
        <v>1281</v>
      </c>
      <c r="K22" s="54">
        <v>0</v>
      </c>
      <c r="L22" s="54">
        <v>1259</v>
      </c>
      <c r="M22" s="54">
        <v>0</v>
      </c>
    </row>
    <row r="23" spans="1:13">
      <c r="A23" s="55" t="s">
        <v>66</v>
      </c>
      <c r="B23" s="54">
        <v>0</v>
      </c>
      <c r="C23" s="54">
        <v>4505</v>
      </c>
      <c r="D23" s="54">
        <v>4480</v>
      </c>
      <c r="E23" s="54">
        <v>10402</v>
      </c>
      <c r="F23" s="54">
        <v>5989</v>
      </c>
      <c r="G23" s="54">
        <v>0</v>
      </c>
      <c r="H23" s="54">
        <v>1469</v>
      </c>
      <c r="I23" s="54">
        <v>11888</v>
      </c>
      <c r="J23" s="54">
        <v>0</v>
      </c>
      <c r="K23" s="54">
        <v>3032</v>
      </c>
      <c r="L23" s="54">
        <v>7598</v>
      </c>
      <c r="M23" s="54">
        <v>0</v>
      </c>
    </row>
    <row r="24" spans="1:13">
      <c r="A24" s="55" t="s">
        <v>67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4030</v>
      </c>
      <c r="M24" s="54">
        <v>3327</v>
      </c>
    </row>
    <row r="25" spans="1:13">
      <c r="A25" s="55" t="s">
        <v>68</v>
      </c>
      <c r="B25" s="54">
        <v>0</v>
      </c>
      <c r="C25" s="54">
        <v>0</v>
      </c>
      <c r="D25" s="54">
        <v>1555</v>
      </c>
      <c r="E25" s="54"/>
      <c r="F25" s="54"/>
      <c r="G25" s="54"/>
      <c r="H25" s="54"/>
      <c r="I25" s="54"/>
      <c r="J25" s="54">
        <v>1480</v>
      </c>
      <c r="K25" s="54"/>
      <c r="L25" s="54"/>
      <c r="M25" s="54">
        <v>0</v>
      </c>
    </row>
    <row r="26" spans="1:13">
      <c r="A26" s="55" t="s">
        <v>69</v>
      </c>
      <c r="B26" s="54">
        <v>0</v>
      </c>
      <c r="C26" s="54">
        <f>1320</f>
        <v>1320</v>
      </c>
      <c r="D26" s="54">
        <v>2707</v>
      </c>
      <c r="E26" s="54">
        <v>0</v>
      </c>
      <c r="F26" s="54">
        <v>0</v>
      </c>
      <c r="G26" s="54">
        <v>0</v>
      </c>
      <c r="H26" s="54">
        <v>0</v>
      </c>
      <c r="I26" s="54">
        <v>2587</v>
      </c>
      <c r="J26" s="54">
        <v>0</v>
      </c>
      <c r="K26" s="54">
        <v>1298</v>
      </c>
      <c r="L26" s="54">
        <v>0</v>
      </c>
      <c r="M26" s="54">
        <v>1250</v>
      </c>
    </row>
    <row r="27" spans="1:13">
      <c r="A27" s="55" t="s">
        <v>70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1900</v>
      </c>
      <c r="L27" s="54">
        <v>3600</v>
      </c>
      <c r="M27" s="54">
        <v>1768</v>
      </c>
    </row>
    <row r="28" spans="1:13">
      <c r="A28" s="53" t="s">
        <v>75</v>
      </c>
      <c r="B28" s="52">
        <f>SUM(B17:B27)</f>
        <v>45080</v>
      </c>
      <c r="C28" s="52">
        <f t="shared" ref="C28:M28" si="0">SUM(C17:C27)</f>
        <v>36573</v>
      </c>
      <c r="D28" s="52">
        <f t="shared" si="0"/>
        <v>25700</v>
      </c>
      <c r="E28" s="52">
        <f t="shared" si="0"/>
        <v>22519</v>
      </c>
      <c r="F28" s="52">
        <f t="shared" si="0"/>
        <v>48465</v>
      </c>
      <c r="G28" s="52">
        <f t="shared" si="0"/>
        <v>46551</v>
      </c>
      <c r="H28" s="52">
        <f t="shared" si="0"/>
        <v>38710</v>
      </c>
      <c r="I28" s="52">
        <f t="shared" si="0"/>
        <v>47311</v>
      </c>
      <c r="J28" s="52">
        <f t="shared" si="0"/>
        <v>47145</v>
      </c>
      <c r="K28" s="52">
        <f t="shared" si="0"/>
        <v>56148</v>
      </c>
      <c r="L28" s="52">
        <f t="shared" si="0"/>
        <v>34648</v>
      </c>
      <c r="M28" s="52">
        <f t="shared" si="0"/>
        <v>37403</v>
      </c>
    </row>
    <row r="29" spans="1:13">
      <c r="A29" s="53" t="s">
        <v>74</v>
      </c>
      <c r="B29" s="52">
        <f>SUM(B3:B15)</f>
        <v>257269</v>
      </c>
      <c r="C29" s="52">
        <f t="shared" ref="C29:M29" si="1">SUM(C3:C15)</f>
        <v>238525</v>
      </c>
      <c r="D29" s="52">
        <f t="shared" si="1"/>
        <v>248675</v>
      </c>
      <c r="E29" s="52">
        <f t="shared" si="1"/>
        <v>243616</v>
      </c>
      <c r="F29" s="52">
        <f t="shared" si="1"/>
        <v>290373</v>
      </c>
      <c r="G29" s="52">
        <f t="shared" si="1"/>
        <v>244688</v>
      </c>
      <c r="H29" s="52">
        <f t="shared" si="1"/>
        <v>277684</v>
      </c>
      <c r="I29" s="52">
        <f t="shared" si="1"/>
        <v>278871</v>
      </c>
      <c r="J29" s="52">
        <f t="shared" si="1"/>
        <v>290908</v>
      </c>
      <c r="K29" s="52">
        <f t="shared" si="1"/>
        <v>350971</v>
      </c>
      <c r="L29" s="52">
        <f t="shared" si="1"/>
        <v>286358</v>
      </c>
      <c r="M29" s="52">
        <f t="shared" si="1"/>
        <v>226543</v>
      </c>
    </row>
    <row r="30" spans="1:13">
      <c r="A30" s="53" t="s">
        <v>56</v>
      </c>
      <c r="B30" s="52">
        <f>SUM(B28:B29)</f>
        <v>302349</v>
      </c>
      <c r="C30" s="52">
        <f t="shared" ref="C30:M30" si="2">SUM(C28:C29)</f>
        <v>275098</v>
      </c>
      <c r="D30" s="52">
        <f t="shared" si="2"/>
        <v>274375</v>
      </c>
      <c r="E30" s="52">
        <f t="shared" si="2"/>
        <v>266135</v>
      </c>
      <c r="F30" s="52">
        <f t="shared" si="2"/>
        <v>338838</v>
      </c>
      <c r="G30" s="52">
        <f t="shared" si="2"/>
        <v>291239</v>
      </c>
      <c r="H30" s="52">
        <f t="shared" si="2"/>
        <v>316394</v>
      </c>
      <c r="I30" s="52">
        <f t="shared" si="2"/>
        <v>326182</v>
      </c>
      <c r="J30" s="52">
        <f t="shared" si="2"/>
        <v>338053</v>
      </c>
      <c r="K30" s="52">
        <f t="shared" si="2"/>
        <v>407119</v>
      </c>
      <c r="L30" s="52">
        <f t="shared" si="2"/>
        <v>321006</v>
      </c>
      <c r="M30" s="52">
        <f t="shared" si="2"/>
        <v>263946</v>
      </c>
    </row>
    <row r="31" spans="1:13" ht="13.5" thickBot="1">
      <c r="A31" s="49" t="s">
        <v>57</v>
      </c>
      <c r="B31" s="66">
        <v>1204</v>
      </c>
      <c r="C31" s="66">
        <v>1056</v>
      </c>
      <c r="D31" s="67">
        <v>1150</v>
      </c>
      <c r="E31" s="67">
        <v>1057</v>
      </c>
      <c r="F31" s="66">
        <v>1270</v>
      </c>
      <c r="G31" s="67">
        <v>1100</v>
      </c>
      <c r="H31" s="67">
        <v>1250</v>
      </c>
      <c r="I31" s="67">
        <v>1180</v>
      </c>
      <c r="J31" s="67">
        <v>1300</v>
      </c>
      <c r="K31" s="67">
        <v>1450</v>
      </c>
      <c r="L31" s="67">
        <v>1290</v>
      </c>
      <c r="M31" s="66">
        <v>1333</v>
      </c>
    </row>
    <row r="32" spans="1:13" ht="13.5" thickBot="1">
      <c r="A32" s="51" t="s">
        <v>73</v>
      </c>
      <c r="B32" s="59">
        <f>((D40*B3)+(B4*D41)+(B5*D42)+(B6*D43)+(B7*D44)+(B8*D45)+(B9*D46)+(B10*D47)+(B11*D48)+(B12*D49)+(B13*D50)+(B14*D51)+(B15*D52))/(B31/2)</f>
        <v>0.82730574603956852</v>
      </c>
      <c r="C32" s="59">
        <f>((D40*C3)+(C4*D41)+(C5*D42)+(C6*D43)+(C7*D44)+(C8*D45)+(C9*D46)+(C10*D47)+(C11*D48)+(C12*D49)+(C13*D50)+(C14*D51)+(C15*D52))/(C31/2)</f>
        <v>0.8943644935799544</v>
      </c>
      <c r="D32" s="59">
        <f>((D40*D3)+(D4*D41)+(D5*D42)+(D6*D43)+(D7*D44)+(D8*D45)+(D9*D46)+(D10*D47)+(D11*D48)+(D12*D49)+(D13*D50)+(D14*D51)+(D15*D52))/(D31/2)</f>
        <v>0.87147704594531716</v>
      </c>
      <c r="E32" s="59">
        <f>((D40*E3)+(E4*D41)+(E5*D42)+(E6*D43)+(E7*D44)+(E8*D45)+(E9*D46)+(E10*D47)+(E11*D48)+(E12*D49)+(E13*D50)+(E14*D51)+(E15*D52))/(E31/2)</f>
        <v>0.90749434040647559</v>
      </c>
      <c r="F32" s="59">
        <f>((D40*F3)+(F4*D41)+(F5*D42)+(F6*D43)+(F7*D44)+(F8*D45)+(F9*D46)+(F10*D47)+(F11*D48)+(F12*D49)+(F13*D50)+(F14*D51)+(F15*D52))/(F31/2)</f>
        <v>0.9049033773276155</v>
      </c>
      <c r="G32" s="59">
        <f>((D40*G3)+(G4*D41)+(G5*D42)+(G6*D43)+(G7*D44)+(G8*D45)+(G9*D46)+(G10*D47)+(G11*D48)+(G12*D49)+(G13*D50)+(G14*D51)+(G15*D52))/(G31/2)</f>
        <v>0.88033883198630913</v>
      </c>
      <c r="H32" s="59">
        <f>((D40*H3)+(H4*D41)+(H5*D42)+(H6*D43)+(H7*D44)+(H8*D45)+(H9*D46)+(H10*D47)+(H11*D48)+(H12*D49)+(H13*D50)+(H14*D51)+(H15*D52))/(H31/2)</f>
        <v>0.86768751164336866</v>
      </c>
      <c r="I32" s="59">
        <f>((D40*I3)+(I4*D41)+(I5*D42)+(I6*D43)+(I7*D44)+(I8*D45)+(I9*D46)+(I10*D47)+(I11*D48)+(I12*D49)+(I13*D50)+(I14*D51)+(I15*D52))/(I31/2)</f>
        <v>0.90665313202401743</v>
      </c>
      <c r="J32" s="59">
        <f>((D40*J3)+(J4*D41)+(J5*D42)+(J6*D43)+(J7*D44)+(J8*D45)+(J9*D46)+(J10*D47)+(J11*D48)+(J12*D49)+(J13*D50)+(J14*D51)+(J15*D52))/(J31/2)</f>
        <v>0.89081347060659344</v>
      </c>
      <c r="K32" s="59">
        <f>((D40*K3)+(K4*D41)+(K5*D42)+(K6*D43)+(K7*D44)+(K8*D45)+(K9*D46)+(K10*D47)+(K11*D48)+(K12*D49)+(K13*D50)+(K14*D51)+(K15*D52))/(K31/2)</f>
        <v>0.91956133503778992</v>
      </c>
      <c r="L32" s="59">
        <f>((D40*L3)+(L4*D41)+(L5*D42)+(L6*D43)+(L7*D44)+(L8*D45)+(L9*D46)+(L10*D47)+(L11*D48)+(L12*D49)+(L13*D50)+(L14*D51)+(L15*D52))/(L31/2)</f>
        <v>0.85713793134186333</v>
      </c>
      <c r="M32" s="59">
        <f>((D40*M3)+(M4*D41)+(M5*D42)+(M6*D43)+(M7*D44)+(M8*D45)+(M9*D46)+(M10*D47)+(M11*D48)+(M12*D49)+(M13*D50)+(M14*D51)+(M15*D52))/(M31/2)</f>
        <v>0.70069777763087737</v>
      </c>
    </row>
    <row r="33" spans="1:13" ht="13.5" thickBot="1">
      <c r="A33" s="51" t="s">
        <v>72</v>
      </c>
      <c r="B33" s="59">
        <f>((B17*D54)+(B18*D55)+(B19*D56)+(B20*D57)+(B21*D58)+(B22*D59)+(B23*D60)+(B24*D61)+(B25*D62)+(B26*D63)+(B27*D64))/(B31/2)</f>
        <v>0.35869021101871013</v>
      </c>
      <c r="C33" s="59">
        <f>((C17*D54)+(C18*D55)+(C19*D56)+(C20*D57)+(C21*D58)+(C22*D59)+(C23*D60)+(C24*D61)+(C25*D62)+(C26*D63)+(C27*D64))/(C31/2)</f>
        <v>0.35640429756537739</v>
      </c>
      <c r="D33" s="59">
        <f>((D17*D54)+(D18*D55)+(D19*D56)+(D20*D57)+(D21*D58)+(D22*D59)+(D23*D60)+(D24*D61)+(D25*D62)+(D26*D63)+(D27*D64))/(D31/2)</f>
        <v>0.21718568136691357</v>
      </c>
      <c r="E33" s="59">
        <f>((E17*D54)+(E18*D55)+(E19*D56)+(E20*D57)+(E21*D58)+(E22*D59)+(E23*D60)+(E24*D61)+(E25*D62)+(E26*D63)+(E27*D64))/(E31/2)</f>
        <v>0.24023029139298746</v>
      </c>
      <c r="F33" s="59">
        <f>((F17*D54)+(F18*D55)+(F19*D56)+(F20*D57)+(F21*D58)+(F22*D59)+(F23*D60)+(F24*D61)+(F25*D62)+(F26*D63)+(F27*D64))/(F31/2)</f>
        <v>0.38814982358997036</v>
      </c>
      <c r="G33" s="59">
        <f>((G17*D54)+(G18*D55)+(G19*D56)+(G20*D57)+(G21*D58)+(G22*D59)+(G23*D60)+(G24*D61)+(G25*D62)+(G26*D63)+(G27*D64))/(G31/2)</f>
        <v>0.39655190575104482</v>
      </c>
      <c r="H33" s="59">
        <f>((H17*D54)+(H18*D55)+(H19*D56)+(H20*D57)+(H21*D58)+(H22*D59)+(H23*D60)+(H24*D61)+(H25*D62)+(H26*D63)+(H27*D64))/(H31/2)</f>
        <v>0.29763591719024157</v>
      </c>
      <c r="I33" s="59">
        <f>((I17*D54)+(I18*D55)+(I19*D56)+(I20*D57)+(I21*D58)+(I22*D59)+(I23*D60)+(I24*D61)+(I25*D62)+(I26*D63)+(I27*D64))/(I31/2)</f>
        <v>0.41080210843499376</v>
      </c>
      <c r="J33" s="59">
        <f>((J17*D54)+(J18*D55)+(J19*D56)+(J20*D57)+(J21*D58)+(J22*D59)+(J23*D60)+(J24*D61)+(J25*D62)+(J26*D63)+(J27*D64))/(J31/2)</f>
        <v>0.36593671365014901</v>
      </c>
      <c r="K33" s="59">
        <f>((K17*D54)+(K18*D55)+(K19*D56)+(K20*D57)+(K21*D58)+(K22*D59)+(K23*D60)+(K24*D61)+(K25*D62)+(K26*D63)+(K27*D64))/(K31/2)</f>
        <v>0.38070190920009617</v>
      </c>
      <c r="L33" s="59">
        <f>((L17*D54)+(L18*D55)+(L19*D56)+(L20*D57)+(L21*D58)+(L22*D59)+(L23*D60)+(L24*D61)+(L25*D62)+(L26*D63)+(L27*D64))/(L31/2)</f>
        <v>0.26140315922235424</v>
      </c>
      <c r="M33" s="59">
        <f>((M17*D54)+(M18*D55)+(M19*D56)+(M20*D57)+(M21*D58)+(M22*D59)+(M23*D60)+(M24*D61)+(M25*D62)+(M26*D63)+(M27*D64))/(M31/2)</f>
        <v>0.24180635075290244</v>
      </c>
    </row>
    <row r="35" spans="1:13">
      <c r="A35" s="37" t="s">
        <v>79</v>
      </c>
      <c r="B35" s="37"/>
    </row>
    <row r="36" spans="1:13">
      <c r="A36" t="s">
        <v>78</v>
      </c>
      <c r="B36" s="37"/>
    </row>
    <row r="37" spans="1:13">
      <c r="M37" s="65"/>
    </row>
    <row r="38" spans="1:13" ht="51">
      <c r="A38" s="56" t="s">
        <v>54</v>
      </c>
      <c r="B38" s="57" t="s">
        <v>58</v>
      </c>
      <c r="C38" s="57" t="s">
        <v>59</v>
      </c>
      <c r="D38" s="57" t="s">
        <v>71</v>
      </c>
    </row>
    <row r="39" spans="1:13">
      <c r="A39" s="53" t="s">
        <v>77</v>
      </c>
      <c r="B39" s="57"/>
      <c r="C39" s="57"/>
      <c r="D39" s="57"/>
    </row>
    <row r="40" spans="1:13">
      <c r="A40" s="55" t="s">
        <v>53</v>
      </c>
      <c r="B40" s="50">
        <v>6.25</v>
      </c>
      <c r="C40" s="50">
        <v>3600</v>
      </c>
      <c r="D40" s="50">
        <f t="shared" ref="D40:D45" si="3">(B40/C40)</f>
        <v>1.736111111111111E-3</v>
      </c>
    </row>
    <row r="41" spans="1:13">
      <c r="A41" s="55" t="s">
        <v>49</v>
      </c>
      <c r="B41" s="50">
        <v>10.33</v>
      </c>
      <c r="C41" s="50">
        <v>3532</v>
      </c>
      <c r="D41" s="50">
        <f t="shared" si="3"/>
        <v>2.9246885617214041E-3</v>
      </c>
    </row>
    <row r="42" spans="1:13">
      <c r="A42" s="55" t="s">
        <v>50</v>
      </c>
      <c r="B42" s="50">
        <v>12.33</v>
      </c>
      <c r="C42" s="50">
        <v>4440</v>
      </c>
      <c r="D42" s="50">
        <f t="shared" si="3"/>
        <v>2.7770270270270269E-3</v>
      </c>
    </row>
    <row r="43" spans="1:13">
      <c r="A43" s="55" t="s">
        <v>51</v>
      </c>
      <c r="B43" s="50">
        <v>11.58</v>
      </c>
      <c r="C43" s="50">
        <v>3914</v>
      </c>
      <c r="D43" s="50">
        <f t="shared" si="3"/>
        <v>2.9586101175268268E-3</v>
      </c>
    </row>
    <row r="44" spans="1:13">
      <c r="A44" s="55" t="s">
        <v>64</v>
      </c>
      <c r="B44" s="50">
        <v>10.75</v>
      </c>
      <c r="C44" s="50">
        <v>3920</v>
      </c>
      <c r="D44" s="50">
        <f t="shared" si="3"/>
        <v>2.7423469387755101E-3</v>
      </c>
    </row>
    <row r="45" spans="1:13">
      <c r="A45" s="55" t="s">
        <v>52</v>
      </c>
      <c r="B45" s="50">
        <v>6.25</v>
      </c>
      <c r="C45" s="50">
        <v>3600</v>
      </c>
      <c r="D45" s="50">
        <f t="shared" si="3"/>
        <v>1.736111111111111E-3</v>
      </c>
    </row>
    <row r="46" spans="1:13">
      <c r="A46" s="55" t="s">
        <v>63</v>
      </c>
      <c r="B46" s="50">
        <v>4.5</v>
      </c>
      <c r="C46" s="50">
        <v>720</v>
      </c>
      <c r="D46" s="50">
        <f t="shared" ref="D46" si="4">(B46/C46)</f>
        <v>6.2500000000000003E-3</v>
      </c>
    </row>
    <row r="47" spans="1:13">
      <c r="A47" s="55" t="s">
        <v>62</v>
      </c>
      <c r="B47" s="50">
        <v>4.5</v>
      </c>
      <c r="C47" s="50">
        <v>720</v>
      </c>
      <c r="D47" s="50">
        <f t="shared" ref="D47:D52" si="5">(B47/C47)</f>
        <v>6.2500000000000003E-3</v>
      </c>
    </row>
    <row r="48" spans="1:13">
      <c r="A48" s="55" t="s">
        <v>41</v>
      </c>
      <c r="B48" s="50">
        <v>4.5</v>
      </c>
      <c r="C48" s="50">
        <v>4400</v>
      </c>
      <c r="D48" s="50">
        <f t="shared" si="5"/>
        <v>1.0227272727272728E-3</v>
      </c>
    </row>
    <row r="49" spans="1:4">
      <c r="A49" s="55" t="s">
        <v>42</v>
      </c>
      <c r="B49" s="50">
        <v>4.5</v>
      </c>
      <c r="C49" s="50">
        <v>4400</v>
      </c>
      <c r="D49" s="50">
        <f t="shared" si="5"/>
        <v>1.0227272727272728E-3</v>
      </c>
    </row>
    <row r="50" spans="1:4">
      <c r="A50" s="55" t="s">
        <v>43</v>
      </c>
      <c r="B50" s="50">
        <v>7.08</v>
      </c>
      <c r="C50" s="50">
        <v>3944</v>
      </c>
      <c r="D50" s="50">
        <f t="shared" si="5"/>
        <v>1.795131845841785E-3</v>
      </c>
    </row>
    <row r="51" spans="1:4">
      <c r="A51" s="55" t="s">
        <v>44</v>
      </c>
      <c r="B51" s="50">
        <v>7.08</v>
      </c>
      <c r="C51" s="50">
        <v>3941</v>
      </c>
      <c r="D51" s="50">
        <f t="shared" si="5"/>
        <v>1.7964983506724183E-3</v>
      </c>
    </row>
    <row r="52" spans="1:4">
      <c r="A52" s="55" t="s">
        <v>45</v>
      </c>
      <c r="B52" s="50">
        <v>8.08</v>
      </c>
      <c r="C52" s="50">
        <v>3919</v>
      </c>
      <c r="D52" s="50">
        <f t="shared" si="5"/>
        <v>2.0617504465424855E-3</v>
      </c>
    </row>
    <row r="53" spans="1:4">
      <c r="A53" s="53" t="s">
        <v>76</v>
      </c>
      <c r="B53" s="57"/>
      <c r="C53" s="57"/>
      <c r="D53" s="57"/>
    </row>
    <row r="54" spans="1:4">
      <c r="A54" s="55" t="s">
        <v>60</v>
      </c>
      <c r="B54" s="50">
        <v>4.92</v>
      </c>
      <c r="C54" s="50">
        <v>1390</v>
      </c>
      <c r="D54" s="50">
        <f t="shared" ref="D54:D64" si="6">(B54/C54)</f>
        <v>3.5395683453237408E-3</v>
      </c>
    </row>
    <row r="55" spans="1:4">
      <c r="A55" s="55" t="s">
        <v>48</v>
      </c>
      <c r="B55" s="50">
        <v>6.5</v>
      </c>
      <c r="C55" s="50">
        <v>1400</v>
      </c>
      <c r="D55" s="50">
        <f t="shared" si="6"/>
        <v>4.642857142857143E-3</v>
      </c>
    </row>
    <row r="56" spans="1:4">
      <c r="A56" s="55" t="s">
        <v>46</v>
      </c>
      <c r="B56" s="50">
        <v>7.5</v>
      </c>
      <c r="C56" s="50">
        <v>1350</v>
      </c>
      <c r="D56" s="50">
        <f t="shared" si="6"/>
        <v>5.5555555555555558E-3</v>
      </c>
    </row>
    <row r="57" spans="1:4">
      <c r="A57" s="55" t="s">
        <v>47</v>
      </c>
      <c r="B57" s="50">
        <v>7.5</v>
      </c>
      <c r="C57" s="50">
        <v>1318</v>
      </c>
      <c r="D57" s="50">
        <f t="shared" si="6"/>
        <v>5.6904400606980271E-3</v>
      </c>
    </row>
    <row r="58" spans="1:4">
      <c r="A58" s="55" t="s">
        <v>61</v>
      </c>
      <c r="B58" s="50">
        <v>9.25</v>
      </c>
      <c r="C58" s="50">
        <v>1780</v>
      </c>
      <c r="D58" s="50">
        <f t="shared" si="6"/>
        <v>5.1966292134831464E-3</v>
      </c>
    </row>
    <row r="59" spans="1:4">
      <c r="A59" s="55" t="s">
        <v>65</v>
      </c>
      <c r="B59" s="50">
        <v>7.5</v>
      </c>
      <c r="C59" s="50">
        <v>1236</v>
      </c>
      <c r="D59" s="50">
        <f t="shared" si="6"/>
        <v>6.0679611650485436E-3</v>
      </c>
    </row>
    <row r="60" spans="1:4">
      <c r="A60" s="55" t="s">
        <v>66</v>
      </c>
      <c r="B60" s="50">
        <v>8.83</v>
      </c>
      <c r="C60" s="50">
        <v>1496</v>
      </c>
      <c r="D60" s="50">
        <f t="shared" si="6"/>
        <v>5.9024064171122994E-3</v>
      </c>
    </row>
    <row r="61" spans="1:4">
      <c r="A61" s="55" t="s">
        <v>67</v>
      </c>
      <c r="B61" s="50">
        <v>4.5</v>
      </c>
      <c r="C61" s="50">
        <v>1800</v>
      </c>
      <c r="D61" s="50">
        <f t="shared" si="6"/>
        <v>2.5000000000000001E-3</v>
      </c>
    </row>
    <row r="62" spans="1:4">
      <c r="A62" s="55" t="s">
        <v>68</v>
      </c>
      <c r="B62" s="50">
        <v>5.08</v>
      </c>
      <c r="C62" s="50">
        <v>1600</v>
      </c>
      <c r="D62" s="50">
        <f t="shared" si="6"/>
        <v>3.1749999999999999E-3</v>
      </c>
    </row>
    <row r="63" spans="1:4">
      <c r="A63" s="55" t="s">
        <v>69</v>
      </c>
      <c r="B63" s="50">
        <v>4.92</v>
      </c>
      <c r="C63" s="50">
        <v>1294</v>
      </c>
      <c r="D63" s="50">
        <f t="shared" si="6"/>
        <v>3.8021638330757342E-3</v>
      </c>
    </row>
    <row r="64" spans="1:4">
      <c r="A64" s="55" t="s">
        <v>70</v>
      </c>
      <c r="B64" s="50">
        <v>7.17</v>
      </c>
      <c r="C64" s="50">
        <v>1822</v>
      </c>
      <c r="D64" s="50">
        <f t="shared" si="6"/>
        <v>3.9352360043907793E-3</v>
      </c>
    </row>
  </sheetData>
  <protectedRanges>
    <protectedRange password="9399" sqref="B31:D31" name="A Sanchez"/>
  </protectedRanges>
  <pageMargins left="0.7" right="0.7" top="0.75" bottom="0.75" header="0.3" footer="0.3"/>
  <pageSetup paperSize="9" scale="61" orientation="portrait" horizontalDpi="300" verticalDpi="300" r:id="rId1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Mantenimiento (No. 11)</vt:lpstr>
      <vt:lpstr>calidad</vt:lpstr>
      <vt:lpstr>eficiencia</vt:lpstr>
      <vt:lpstr>eficiencia!Área_de_impresión</vt:lpstr>
      <vt:lpstr>'Mantenimiento (No. 11)'!Área_de_impresión</vt:lpstr>
    </vt:vector>
  </TitlesOfParts>
  <Company>Poliquim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Poliquim</dc:creator>
  <cp:lastModifiedBy>Windows Xp</cp:lastModifiedBy>
  <cp:lastPrinted>2008-09-05T15:15:56Z</cp:lastPrinted>
  <dcterms:created xsi:type="dcterms:W3CDTF">2005-11-11T21:12:14Z</dcterms:created>
  <dcterms:modified xsi:type="dcterms:W3CDTF">2008-09-05T15:15:59Z</dcterms:modified>
</cp:coreProperties>
</file>