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7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9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20_0.bin" ContentType="application/vnd.openxmlformats-officedocument.oleObject"/>
  <Override PartName="/xl/embeddings/oleObject_20_1.bin" ContentType="application/vnd.openxmlformats-officedocument.oleObject"/>
  <Override PartName="/xl/embeddings/oleObject_22_0.bin" ContentType="application/vnd.openxmlformats-officedocument.oleObject"/>
  <Override PartName="/xl/embeddings/oleObject_22_1.bin" ContentType="application/vnd.openxmlformats-officedocument.oleObject"/>
  <Override PartName="/xl/embeddings/oleObject_24_0.bin" ContentType="application/vnd.openxmlformats-officedocument.oleObject"/>
  <Override PartName="/xl/embeddings/oleObject_24_1.bin" ContentType="application/vnd.openxmlformats-officedocument.oleObject"/>
  <Override PartName="/xl/embeddings/oleObject_26_0.bin" ContentType="application/vnd.openxmlformats-officedocument.oleObject"/>
  <Override PartName="/xl/embeddings/oleObject_26_1.bin" ContentType="application/vnd.openxmlformats-officedocument.oleObject"/>
  <Override PartName="/xl/embeddings/oleObject_28_0.bin" ContentType="application/vnd.openxmlformats-officedocument.oleObject"/>
  <Override PartName="/xl/embeddings/oleObject_28_1.bin" ContentType="application/vnd.openxmlformats-officedocument.oleObject"/>
  <Override PartName="/xl/embeddings/oleObject_30_0.bin" ContentType="application/vnd.openxmlformats-officedocument.oleObject"/>
  <Override PartName="/xl/embeddings/oleObject_30_1.bin" ContentType="application/vnd.openxmlformats-officedocument.oleObject"/>
  <Override PartName="/xl/embeddings/oleObject_32_0.bin" ContentType="application/vnd.openxmlformats-officedocument.oleObject"/>
  <Override PartName="/xl/embeddings/oleObject_32_1.bin" ContentType="application/vnd.openxmlformats-officedocument.oleObject"/>
  <Override PartName="/xl/embeddings/oleObject_34_0.bin" ContentType="application/vnd.openxmlformats-officedocument.oleObject"/>
  <Override PartName="/xl/embeddings/oleObject_34_1.bin" ContentType="application/vnd.openxmlformats-officedocument.oleObject"/>
  <Override PartName="/xl/embeddings/oleObject_36_0.bin" ContentType="application/vnd.openxmlformats-officedocument.oleObject"/>
  <Override PartName="/xl/embeddings/oleObject_36_1.bin" ContentType="application/vnd.openxmlformats-officedocument.oleObject"/>
  <Override PartName="/xl/embeddings/oleObject_38_0.bin" ContentType="application/vnd.openxmlformats-officedocument.oleObject"/>
  <Override PartName="/xl/embeddings/oleObject_3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d Elementos reg" sheetId="1" r:id="rId1"/>
    <sheet name="Retiro daipas" sheetId="2" r:id="rId2"/>
    <sheet name="T. estandar daipas" sheetId="3" r:id="rId3"/>
    <sheet name="Desmane s" sheetId="4" r:id="rId4"/>
    <sheet name="T. estandar Desmane s" sheetId="5" r:id="rId5"/>
    <sheet name="Desmane i" sheetId="6" r:id="rId6"/>
    <sheet name="T. estandar Desmane i" sheetId="7" r:id="rId7"/>
    <sheet name="Gajeo Clusters p" sheetId="8" r:id="rId8"/>
    <sheet name="T. estandar gajeo p" sheetId="9" r:id="rId9"/>
    <sheet name="Gajeo Clusters m" sheetId="10" r:id="rId10"/>
    <sheet name="T. estandar gajeo m" sheetId="11" r:id="rId11"/>
    <sheet name="Gajeo Clusters g" sheetId="12" r:id="rId12"/>
    <sheet name="T. estandar gajeo g" sheetId="13" r:id="rId13"/>
    <sheet name="Llenado platos p" sheetId="14" r:id="rId14"/>
    <sheet name="T. estandar Llenado Platos p" sheetId="15" r:id="rId15"/>
    <sheet name="Llenado platos m" sheetId="16" r:id="rId16"/>
    <sheet name="T. estandar Llenado Platos m" sheetId="17" r:id="rId17"/>
    <sheet name="Llenado platos g" sheetId="18" r:id="rId18"/>
    <sheet name="T. estandar Llenado Platos g" sheetId="19" r:id="rId19"/>
    <sheet name="Pesado Clusters 100%" sheetId="20" r:id="rId20"/>
    <sheet name="T. estandar Pesado Clusters 100" sheetId="21" r:id="rId21"/>
    <sheet name="Fumigado" sheetId="22" r:id="rId22"/>
    <sheet name="T. estandar Fumigado" sheetId="23" r:id="rId23"/>
    <sheet name="Enfundar Clusters" sheetId="24" r:id="rId24"/>
    <sheet name="T. estandar Enfundar Clusters" sheetId="25" r:id="rId25"/>
    <sheet name="Ligar Clusters" sheetId="26" r:id="rId26"/>
    <sheet name="T. estandar Ligar Clusters" sheetId="27" r:id="rId27"/>
    <sheet name="Embalar Cajas" sheetId="28" r:id="rId28"/>
    <sheet name="T. estandar Embalar Cajas" sheetId="29" r:id="rId29"/>
    <sheet name="Paletizar Cajas" sheetId="30" r:id="rId30"/>
    <sheet name="T. estandar Paletizar Cajas" sheetId="31" r:id="rId31"/>
    <sheet name="Engomar fondo" sheetId="32" r:id="rId32"/>
    <sheet name="T. estandar Engomar fondo" sheetId="33" r:id="rId33"/>
    <sheet name="Pegar fondo" sheetId="34" r:id="rId34"/>
    <sheet name="T. estandar Pegar fondo" sheetId="35" r:id="rId35"/>
    <sheet name="Arma fondo tapa" sheetId="36" r:id="rId36"/>
    <sheet name="T. estandar Arma fondo tapa" sheetId="37" r:id="rId37"/>
    <sheet name="Report elementos" sheetId="38" r:id="rId38"/>
    <sheet name="T. estandar" sheetId="39" r:id="rId39"/>
    <sheet name="Tab Tolerancias" sheetId="40" r:id="rId40"/>
    <sheet name="Pre-pesadas" sheetId="41" r:id="rId41"/>
    <sheet name="Pre-pesadas (2)" sheetId="42" r:id="rId42"/>
    <sheet name="Cuadro intervalo" sheetId="43" r:id="rId43"/>
  </sheets>
  <definedNames/>
  <calcPr fullCalcOnLoad="1"/>
</workbook>
</file>

<file path=xl/sharedStrings.xml><?xml version="1.0" encoding="utf-8"?>
<sst xmlns="http://schemas.openxmlformats.org/spreadsheetml/2006/main" count="3046" uniqueCount="339">
  <si>
    <t xml:space="preserve">Tiempo </t>
  </si>
  <si>
    <t>Promedio</t>
  </si>
  <si>
    <t>seg</t>
  </si>
  <si>
    <t xml:space="preserve">          =</t>
  </si>
  <si>
    <t>Cajas/dia</t>
  </si>
  <si>
    <t>Análisis GTT para determinar tiempos estándares en los procesos de empaque de banano</t>
  </si>
  <si>
    <t>Proceso</t>
  </si>
  <si>
    <r>
      <t xml:space="preserve">Producciόn    </t>
    </r>
    <r>
      <rPr>
        <b/>
        <sz val="10"/>
        <rFont val="Arial"/>
        <family val="2"/>
      </rPr>
      <t>Pa</t>
    </r>
    <r>
      <rPr>
        <b/>
        <i/>
        <sz val="10"/>
        <rFont val="Arial"/>
        <family val="2"/>
      </rPr>
      <t xml:space="preserve"> =</t>
    </r>
  </si>
  <si>
    <t>estándar</t>
  </si>
  <si>
    <t>Desviaciόn</t>
  </si>
  <si>
    <t>Muestreo</t>
  </si>
  <si>
    <r>
      <t xml:space="preserve">  σ  </t>
    </r>
    <r>
      <rPr>
        <sz val="10"/>
        <rFont val="Arial"/>
        <family val="2"/>
      </rPr>
      <t>=</t>
    </r>
  </si>
  <si>
    <t>HABILIDAD</t>
  </si>
  <si>
    <t>ESFUERZO</t>
  </si>
  <si>
    <t>+ 0.15</t>
  </si>
  <si>
    <t>A1</t>
  </si>
  <si>
    <t>A2</t>
  </si>
  <si>
    <t>Super-</t>
  </si>
  <si>
    <t>habilidad</t>
  </si>
  <si>
    <t>+ 0.13</t>
  </si>
  <si>
    <t>+ 0.12</t>
  </si>
  <si>
    <t>Excesivo</t>
  </si>
  <si>
    <t>+ 0.11</t>
  </si>
  <si>
    <t>+ 0.08</t>
  </si>
  <si>
    <t>+ 0.06</t>
  </si>
  <si>
    <t>+ 0.03</t>
  </si>
  <si>
    <t>B1</t>
  </si>
  <si>
    <t>B2</t>
  </si>
  <si>
    <t>C1</t>
  </si>
  <si>
    <t>C2</t>
  </si>
  <si>
    <t>Excelente</t>
  </si>
  <si>
    <t>Buena</t>
  </si>
  <si>
    <t>+ 0.10</t>
  </si>
  <si>
    <t>+ 0.05</t>
  </si>
  <si>
    <t>+ 0.02</t>
  </si>
  <si>
    <t>Bueno</t>
  </si>
  <si>
    <t>D</t>
  </si>
  <si>
    <t>- 0.05</t>
  </si>
  <si>
    <t>- 0.10</t>
  </si>
  <si>
    <t>- 0.16</t>
  </si>
  <si>
    <t>- 0.22</t>
  </si>
  <si>
    <t>E1</t>
  </si>
  <si>
    <t>E2</t>
  </si>
  <si>
    <t>F1</t>
  </si>
  <si>
    <t>F2</t>
  </si>
  <si>
    <t>Regular</t>
  </si>
  <si>
    <t>Pobre</t>
  </si>
  <si>
    <t>- 0.04</t>
  </si>
  <si>
    <t>- 0.08</t>
  </si>
  <si>
    <t>- 0.12</t>
  </si>
  <si>
    <t>- 0.17</t>
  </si>
  <si>
    <t>Tabla de valoración del desempeño para nivelación</t>
  </si>
  <si>
    <t>NPDF</t>
  </si>
  <si>
    <t>= % Demoras Inevitables + % Demoras Evitables + % Demoras Especiales + % Demoras Personales + % Fatiga</t>
  </si>
  <si>
    <t>Demoras</t>
  </si>
  <si>
    <t>Inevitables</t>
  </si>
  <si>
    <t>Evitables</t>
  </si>
  <si>
    <t>Especiales</t>
  </si>
  <si>
    <t>Personales</t>
  </si>
  <si>
    <t>Elementos</t>
  </si>
  <si>
    <t>Trabajando</t>
  </si>
  <si>
    <t>No</t>
  </si>
  <si>
    <t>( seg )</t>
  </si>
  <si>
    <t>TOTAL</t>
  </si>
  <si>
    <t>Desmanar racimo</t>
  </si>
  <si>
    <t>Sanear a cluster</t>
  </si>
  <si>
    <t>Llenar plato</t>
  </si>
  <si>
    <t>Fumigar plato</t>
  </si>
  <si>
    <t>Sellar plato</t>
  </si>
  <si>
    <t>Mover plato</t>
  </si>
  <si>
    <t>Embalar caja</t>
  </si>
  <si>
    <t>Pesar plato</t>
  </si>
  <si>
    <t>Re-pesar caja</t>
  </si>
  <si>
    <t>Tapar caja</t>
  </si>
  <si>
    <t>Paletizar caja</t>
  </si>
  <si>
    <t>% Demoras Inevitables  =</t>
  </si>
  <si>
    <t>% Demoras Evitables     =</t>
  </si>
  <si>
    <t>% Demoras Especiales   =</t>
  </si>
  <si>
    <t>% Demoras Personales   =</t>
  </si>
  <si>
    <t>FN =</t>
  </si>
  <si>
    <t>1 + HAB + ESF</t>
  </si>
  <si>
    <t>(Ver en tabla de valoración de desempeño para nivelación)</t>
  </si>
  <si>
    <t xml:space="preserve">       FN</t>
  </si>
  <si>
    <t xml:space="preserve">Total Tiempos (u observaciones) Demoras Inevitables </t>
  </si>
  <si>
    <t xml:space="preserve">Total Tiempos (u observaciones) Demoras Evitables </t>
  </si>
  <si>
    <t xml:space="preserve">Total Tiempos (u observaciones) Demoras Especiales </t>
  </si>
  <si>
    <t xml:space="preserve">Total Tiempos (u observaciones) Demoras Personales </t>
  </si>
  <si>
    <t xml:space="preserve">   Total Tiempo (u observaciones) Trabajo Efectivo</t>
  </si>
  <si>
    <t>%</t>
  </si>
  <si>
    <t>Horas</t>
  </si>
  <si>
    <t>Total Observaciones Trabajo Efectivo</t>
  </si>
  <si>
    <t xml:space="preserve">    Total Observaciones Muestreo</t>
  </si>
  <si>
    <t>(Tiempo Muestreo)</t>
  </si>
  <si>
    <t>Fraccion %</t>
  </si>
  <si>
    <t>% Fatiga =</t>
  </si>
  <si>
    <t>Tiempo de Trabajo ( O )    =</t>
  </si>
  <si>
    <t>O(FN)</t>
  </si>
  <si>
    <t>Pa(S)</t>
  </si>
  <si>
    <t xml:space="preserve">         Tiempo Nivelado ( S )  =</t>
  </si>
  <si>
    <t>Fracción %</t>
  </si>
  <si>
    <t>Determinación del % de necesidades personales, demoras y fatiga GTT</t>
  </si>
  <si>
    <t>Determinación de Demoras (Retrasos)</t>
  </si>
  <si>
    <t>Determinación del Porcentaje de Fatiga</t>
  </si>
  <si>
    <t>Determinación del Tiempo Estándar</t>
  </si>
  <si>
    <t xml:space="preserve">      Tiempo Estándar ( S' ) =</t>
  </si>
  <si>
    <t>S (NPDF)</t>
  </si>
  <si>
    <t>Determinación del Error del Muestreo GTT</t>
  </si>
  <si>
    <t>Determinación del % de Aprendizaje</t>
  </si>
  <si>
    <t>E</t>
  </si>
  <si>
    <t>80 √ Ka</t>
  </si>
  <si>
    <t>Na</t>
  </si>
  <si>
    <t>( 100 )</t>
  </si>
  <si>
    <t>Na =</t>
  </si>
  <si>
    <t>Observaciones de Trabajo</t>
  </si>
  <si>
    <t xml:space="preserve">         Tiempo Total Muestreo ( T ) =</t>
  </si>
  <si>
    <t>X (8)</t>
  </si>
  <si>
    <t>X (4)</t>
  </si>
  <si>
    <t>X (8) =</t>
  </si>
  <si>
    <t>X (4) =</t>
  </si>
  <si>
    <t>x1 + x2 + x3 + x4 + x5 + x6 + x7 + x8</t>
  </si>
  <si>
    <t>x1 + x2 + x3 + x4</t>
  </si>
  <si>
    <t xml:space="preserve">   Fraccion % Aprendizaje  =</t>
  </si>
  <si>
    <t>Hablar con Jefe de Planta</t>
  </si>
  <si>
    <t>Bajar Cajas de camión (recepción)</t>
  </si>
  <si>
    <t>Ir al Baño</t>
  </si>
  <si>
    <t>Falta de fruta</t>
  </si>
  <si>
    <t>Enfundar cluster</t>
  </si>
  <si>
    <t>Ligar cluster</t>
  </si>
  <si>
    <t>Mover mesa de paletizado</t>
  </si>
  <si>
    <t>Subir cajas a camión (despacho)</t>
  </si>
  <si>
    <t>Falta de Tapa</t>
  </si>
  <si>
    <t>Falta de Fondo</t>
  </si>
  <si>
    <t>Falta de fundas de clusters</t>
  </si>
  <si>
    <t>Falta de fundas de caja</t>
  </si>
  <si>
    <t>Falta de Pack</t>
  </si>
  <si>
    <t>Cambio de plato</t>
  </si>
  <si>
    <t>Arreglo de rodillo</t>
  </si>
  <si>
    <t>Elaboración de Fungicida</t>
  </si>
  <si>
    <t>Falta de ligas</t>
  </si>
  <si>
    <t>Cambio de guantes</t>
  </si>
  <si>
    <t>Falta de personal</t>
  </si>
  <si>
    <t>Cambio de agua de tina</t>
  </si>
  <si>
    <t>Desflore de fruta</t>
  </si>
  <si>
    <t>Limpieza de fruta</t>
  </si>
  <si>
    <t>Saneo de fruta</t>
  </si>
  <si>
    <t>Cambiar peso de plato</t>
  </si>
  <si>
    <t>Calibrar balanza</t>
  </si>
  <si>
    <t>Dar paso entre rodillos</t>
  </si>
  <si>
    <t>Limpieza de empacadora</t>
  </si>
  <si>
    <t>Botar Rechazo (canasta metálica)</t>
  </si>
  <si>
    <t>Botar Rechazo (banda mecánica)</t>
  </si>
  <si>
    <t>Falta de Plato</t>
  </si>
  <si>
    <t>Descanso (Tomar agua, Parar y descansar)</t>
  </si>
  <si>
    <t>Hablar con Administrador</t>
  </si>
  <si>
    <t>Hablar con alguien</t>
  </si>
  <si>
    <t>Observaciones</t>
  </si>
  <si>
    <t>Observador:</t>
  </si>
  <si>
    <t>Fecha:</t>
  </si>
  <si>
    <t>Tamaño de intervalo:</t>
  </si>
  <si>
    <t>Total Tiempo Muestreo:</t>
  </si>
  <si>
    <t>min</t>
  </si>
  <si>
    <t>Elementos Trabajando</t>
  </si>
  <si>
    <t>Demoras Inevitables</t>
  </si>
  <si>
    <t>Demoras Evitables</t>
  </si>
  <si>
    <t>Demoras Especiales</t>
  </si>
  <si>
    <t>Demoras Personales</t>
  </si>
  <si>
    <t>Regresar fruta</t>
  </si>
  <si>
    <t>Inspeccionar (revisar) fruta</t>
  </si>
  <si>
    <t>Elem. No.</t>
  </si>
  <si>
    <t>Descripción de Elelemento</t>
  </si>
  <si>
    <t>Embalar Cajas</t>
  </si>
  <si>
    <t>Paletizar Cajas</t>
  </si>
  <si>
    <t>Ligar Clusters</t>
  </si>
  <si>
    <t>Llenado de Platos</t>
  </si>
  <si>
    <t>Afilar Curvo</t>
  </si>
  <si>
    <t>Falta de Fruta</t>
  </si>
  <si>
    <t>Descanso</t>
  </si>
  <si>
    <t>Arreglar Indumentaria</t>
  </si>
  <si>
    <t>Ausencia Puesto de Trabajo</t>
  </si>
  <si>
    <t>Hablar con Supervisor</t>
  </si>
  <si>
    <t>Hablar con Alguien</t>
  </si>
  <si>
    <t>Arreglar Puesto de Trabajo</t>
  </si>
  <si>
    <t>Re-Trabajo</t>
  </si>
  <si>
    <t>Intervalo:</t>
  </si>
  <si>
    <t>Operarios</t>
  </si>
  <si>
    <t>Total Observaciones</t>
  </si>
  <si>
    <t>Suma</t>
  </si>
  <si>
    <t>Elementos de Trabajo</t>
  </si>
  <si>
    <t>SUMA</t>
  </si>
  <si>
    <t xml:space="preserve">   Total Tiempo (u observaciones) Trabajo</t>
  </si>
  <si>
    <t>Mover Fruta</t>
  </si>
  <si>
    <t>Esperar platos</t>
  </si>
  <si>
    <t>Destapar Hueco de residuos</t>
  </si>
  <si>
    <t>Arreglar Flautas</t>
  </si>
  <si>
    <t>Realizar Otra Labor</t>
  </si>
  <si>
    <t>Destapar Huecos de residuos</t>
  </si>
  <si>
    <t>Pesado clusters 100%</t>
  </si>
  <si>
    <t>Arreglar Equipo Trabajo</t>
  </si>
  <si>
    <t>Mover Platos a mas de 2 metros</t>
  </si>
  <si>
    <t>Colocar Dedos en bandeja</t>
  </si>
  <si>
    <t xml:space="preserve">Esperar Continuidad Linea </t>
  </si>
  <si>
    <t>Esperar Continuidad Linea</t>
  </si>
  <si>
    <t>Interrupcion Inesperada</t>
  </si>
  <si>
    <t>Fumigado Platos</t>
  </si>
  <si>
    <t>Arreglar Material Trabajo</t>
  </si>
  <si>
    <t>Enfundar Clusters</t>
  </si>
  <si>
    <t>Falta de Cajas</t>
  </si>
  <si>
    <t>Cambio Mesa Paletizado</t>
  </si>
  <si>
    <t>DOLE KRAFT</t>
  </si>
  <si>
    <t>BAJELLA</t>
  </si>
  <si>
    <t>CABANA</t>
  </si>
  <si>
    <t>SINGLES</t>
  </si>
  <si>
    <t>QP</t>
  </si>
  <si>
    <t>4 LBS</t>
  </si>
  <si>
    <t>Trabajadores</t>
  </si>
  <si>
    <t>Grupo</t>
  </si>
  <si>
    <t>predeterminados</t>
  </si>
  <si>
    <t>3-6</t>
  </si>
  <si>
    <t>7-10</t>
  </si>
  <si>
    <t>11-15</t>
  </si>
  <si>
    <t>Usar dos o mas observadores</t>
  </si>
  <si>
    <r>
      <t>M</t>
    </r>
    <r>
      <rPr>
        <sz val="10"/>
        <rFont val="Tahoma"/>
        <family val="2"/>
      </rPr>
      <t>á</t>
    </r>
    <r>
      <rPr>
        <sz val="10"/>
        <rFont val="Arial"/>
        <family val="0"/>
      </rPr>
      <t>s de 15</t>
    </r>
  </si>
  <si>
    <t>Usar estudio tiempos o</t>
  </si>
  <si>
    <t>sistema de tiempos</t>
  </si>
  <si>
    <t>Relojes de horas decimales</t>
  </si>
  <si>
    <t>Relojes de minutos decimales</t>
  </si>
  <si>
    <t>Número</t>
  </si>
  <si>
    <r>
      <t>Itervalos medidos con cron</t>
    </r>
    <r>
      <rPr>
        <b/>
        <sz val="10"/>
        <rFont val="Tahoma"/>
        <family val="2"/>
      </rPr>
      <t>ó</t>
    </r>
    <r>
      <rPr>
        <b/>
        <sz val="10"/>
        <rFont val="Arial"/>
        <family val="2"/>
      </rPr>
      <t>metro</t>
    </r>
  </si>
  <si>
    <t>Realizar saneo a fruta</t>
  </si>
  <si>
    <t>Formar un gajo</t>
  </si>
  <si>
    <t>Verificar peso de gajo</t>
  </si>
  <si>
    <t>Re-Trabajo (Dedos desperdiciados)</t>
  </si>
  <si>
    <t>Cortar una mano</t>
  </si>
  <si>
    <t>Llenar Platos</t>
  </si>
  <si>
    <t>Retirar daipas de racimo</t>
  </si>
  <si>
    <t>Duracion:</t>
  </si>
  <si>
    <t xml:space="preserve">   Total Tiempo (u observaciones)</t>
  </si>
  <si>
    <t>Racimos:</t>
  </si>
  <si>
    <t>FN</t>
  </si>
  <si>
    <t>Tareas</t>
  </si>
  <si>
    <t>VALORES</t>
  </si>
  <si>
    <t>CALIFICACIÓN</t>
  </si>
  <si>
    <t>Retiro de daipas</t>
  </si>
  <si>
    <t>Desmane de racimo superior</t>
  </si>
  <si>
    <t>+ 0.16</t>
  </si>
  <si>
    <t>Desmane de racimo inferior</t>
  </si>
  <si>
    <t>Corte de gajos pequeños</t>
  </si>
  <si>
    <t>Corte de gajos medianos</t>
  </si>
  <si>
    <t>Corte de gajos grandes</t>
  </si>
  <si>
    <t>Llenado de plato con fruta pequeña</t>
  </si>
  <si>
    <t>Llenado de plato con fruta mediana</t>
  </si>
  <si>
    <t>Llenado de plato con fruta grande</t>
  </si>
  <si>
    <t>Fumigar gajos</t>
  </si>
  <si>
    <t>Empaque de cajas</t>
  </si>
  <si>
    <t>Paletizado de cajas</t>
  </si>
  <si>
    <t>+ 0.21</t>
  </si>
  <si>
    <r>
      <t>Pegar fondo en m</t>
    </r>
    <r>
      <rPr>
        <sz val="10"/>
        <rFont val="Arial"/>
        <family val="2"/>
      </rPr>
      <t>á</t>
    </r>
    <r>
      <rPr>
        <sz val="10"/>
        <rFont val="Arial"/>
        <family val="0"/>
      </rPr>
      <t>quina</t>
    </r>
  </si>
  <si>
    <t>Pesado de gajo</t>
  </si>
  <si>
    <t>Enfundar gajos</t>
  </si>
  <si>
    <t>Ligar gajos</t>
  </si>
  <si>
    <t>Engomado de fondo</t>
  </si>
  <si>
    <t>Armar fondo y cartulina</t>
  </si>
  <si>
    <t>racimos</t>
  </si>
  <si>
    <t>(ratio 1.45 con 362 cajas en 1.82 Horas)</t>
  </si>
  <si>
    <t>Tolerancia</t>
  </si>
  <si>
    <t>Tiempo</t>
  </si>
  <si>
    <t>Estandar</t>
  </si>
  <si>
    <t>promedio</t>
  </si>
  <si>
    <t>Nivelado</t>
  </si>
  <si>
    <t>segundos</t>
  </si>
  <si>
    <t>Espera por ritmo gajeo</t>
  </si>
  <si>
    <t>manos</t>
  </si>
  <si>
    <t>Segundos</t>
  </si>
  <si>
    <t>Cajas:</t>
  </si>
  <si>
    <t>Unidad</t>
  </si>
  <si>
    <t>medida</t>
  </si>
  <si>
    <t>Pegar fondo</t>
  </si>
  <si>
    <t>Falta de cajas</t>
  </si>
  <si>
    <t>Falta de fondo</t>
  </si>
  <si>
    <t>Armar fondo y tapa</t>
  </si>
  <si>
    <t>Falta de Fondo o tapa</t>
  </si>
  <si>
    <t>Falta de fondo o tapa</t>
  </si>
  <si>
    <t>seg/racimo</t>
  </si>
  <si>
    <t>seg/mitad-racimo</t>
  </si>
  <si>
    <t>seg/mano</t>
  </si>
  <si>
    <t>seg/fila</t>
  </si>
  <si>
    <t>seg/caja</t>
  </si>
  <si>
    <t>% Demoras</t>
  </si>
  <si>
    <t xml:space="preserve">% </t>
  </si>
  <si>
    <t>Fatiga</t>
  </si>
  <si>
    <t>Pesado gajos 100%</t>
  </si>
  <si>
    <t>Enfundar Gajos</t>
  </si>
  <si>
    <t>Ligar Gajos</t>
  </si>
  <si>
    <t>Engomar fondo</t>
  </si>
  <si>
    <t>CÓDIGO</t>
  </si>
  <si>
    <t>TAREA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</si>
  <si>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</si>
  <si>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</si>
  <si>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</si>
  <si>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</si>
  <si>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</si>
  <si>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</si>
  <si>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</si>
  <si>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</si>
  <si>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</si>
  <si>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</si>
  <si>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</si>
  <si>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</si>
  <si>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</si>
  <si>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</si>
  <si>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</si>
  <si>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</si>
  <si>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</si>
  <si>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</si>
  <si>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Desmane de racimo</t>
  </si>
  <si>
    <t>seg/palet</t>
  </si>
  <si>
    <t>Corte de gajos</t>
  </si>
  <si>
    <t>Llenado de plato</t>
  </si>
  <si>
    <t>Tarea:</t>
  </si>
  <si>
    <t>Retiro daipas</t>
  </si>
  <si>
    <t>ANEXO J</t>
  </si>
  <si>
    <t>FORMATO GTT Y REGISTRO DE CUENTAS EN ELBAS</t>
  </si>
  <si>
    <t>DESMANE SUPERIOR</t>
  </si>
  <si>
    <t>DESMANE INFERIOR</t>
  </si>
  <si>
    <t>CORTE GAJOS PEQUENOS</t>
  </si>
  <si>
    <t>CORTE GAJOS MEDIANOS</t>
  </si>
  <si>
    <t>CORTE GAJOS GRANDES</t>
  </si>
  <si>
    <t>LLENADO PLATOS PEQUENOS</t>
  </si>
  <si>
    <t>LLENADO PLATOS MEDIANOS</t>
  </si>
  <si>
    <t>LLENADO PLATOS GRANDES</t>
  </si>
  <si>
    <t>PESADO GAJOS 100%</t>
  </si>
  <si>
    <t>FUMIGAR</t>
  </si>
  <si>
    <t>ENFUNDAR</t>
  </si>
  <si>
    <t>LIGAR</t>
  </si>
  <si>
    <t>EMBALAR</t>
  </si>
  <si>
    <t>PALETIZAR CAJAS</t>
  </si>
  <si>
    <t>ENGOMAR FONDO</t>
  </si>
  <si>
    <t>PEGAR FONDO</t>
  </si>
  <si>
    <t>ARMA FONDO TAPA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</si>
</sst>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\ &quot;min&quot;"/>
    <numFmt numFmtId="181" formatCode="0.0000\ &quot;hora&quot;"/>
    <numFmt numFmtId="182" formatCode="0.00\ &quot;minutos&quot;"/>
    <numFmt numFmtId="183" formatCode="0.0\ &quot;minutos&quot;"/>
    <numFmt numFmtId="184" formatCode="0\ &quot;seg&quot;"/>
    <numFmt numFmtId="185" formatCode="0.0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 quotePrefix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7" xfId="0" applyFill="1" applyBorder="1" applyAlignment="1" quotePrefix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quotePrefix="1">
      <alignment horizontal="center"/>
    </xf>
    <xf numFmtId="0" fontId="0" fillId="2" borderId="10" xfId="0" applyFill="1" applyBorder="1" applyAlignment="1" quotePrefix="1">
      <alignment horizontal="center"/>
    </xf>
    <xf numFmtId="0" fontId="0" fillId="2" borderId="11" xfId="0" applyFill="1" applyBorder="1" applyAlignment="1" quotePrefix="1">
      <alignment horizontal="center"/>
    </xf>
    <xf numFmtId="2" fontId="0" fillId="2" borderId="12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13" xfId="0" applyFill="1" applyBorder="1" applyAlignment="1">
      <alignment/>
    </xf>
    <xf numFmtId="0" fontId="0" fillId="5" borderId="0" xfId="0" applyFill="1" applyAlignment="1">
      <alignment/>
    </xf>
    <xf numFmtId="0" fontId="0" fillId="5" borderId="13" xfId="0" applyFill="1" applyBorder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 applyAlignment="1">
      <alignment horizontal="center"/>
    </xf>
    <xf numFmtId="177" fontId="0" fillId="0" borderId="1" xfId="0" applyNumberForma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181" fontId="0" fillId="2" borderId="12" xfId="0" applyNumberFormat="1" applyFill="1" applyBorder="1" applyAlignment="1">
      <alignment horizontal="center"/>
    </xf>
    <xf numFmtId="183" fontId="0" fillId="2" borderId="12" xfId="0" applyNumberFormat="1" applyFill="1" applyBorder="1" applyAlignment="1">
      <alignment horizontal="center"/>
    </xf>
    <xf numFmtId="16" fontId="0" fillId="2" borderId="12" xfId="0" applyNumberFormat="1" applyFill="1" applyBorder="1" applyAlignment="1" quotePrefix="1">
      <alignment horizontal="center"/>
    </xf>
    <xf numFmtId="181" fontId="0" fillId="2" borderId="9" xfId="0" applyNumberFormat="1" applyFill="1" applyBorder="1" applyAlignment="1">
      <alignment horizontal="center"/>
    </xf>
    <xf numFmtId="183" fontId="0" fillId="2" borderId="9" xfId="0" applyNumberFormat="1" applyFill="1" applyBorder="1" applyAlignment="1">
      <alignment horizontal="center"/>
    </xf>
    <xf numFmtId="181" fontId="0" fillId="2" borderId="10" xfId="0" applyNumberFormat="1" applyFill="1" applyBorder="1" applyAlignment="1">
      <alignment horizontal="center"/>
    </xf>
    <xf numFmtId="183" fontId="0" fillId="2" borderId="10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177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9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2" fontId="0" fillId="0" borderId="12" xfId="0" applyNumberFormat="1" applyBorder="1" applyAlignment="1" quotePrefix="1">
      <alignment horizontal="center"/>
    </xf>
    <xf numFmtId="0" fontId="0" fillId="2" borderId="8" xfId="0" applyFill="1" applyBorder="1" applyAlignment="1">
      <alignment/>
    </xf>
    <xf numFmtId="2" fontId="0" fillId="2" borderId="21" xfId="0" applyNumberForma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10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2" fillId="9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20" fontId="0" fillId="2" borderId="3" xfId="0" applyNumberFormat="1" applyFill="1" applyBorder="1" applyAlignment="1">
      <alignment/>
    </xf>
    <xf numFmtId="20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8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6" fillId="2" borderId="0" xfId="0" applyFont="1" applyFill="1" applyAlignment="1">
      <alignment horizontal="center"/>
    </xf>
    <xf numFmtId="0" fontId="2" fillId="2" borderId="27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28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8" fillId="2" borderId="30" xfId="0" applyFon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0" fontId="8" fillId="2" borderId="31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32" xfId="0" applyFill="1" applyBorder="1" applyAlignment="1">
      <alignment/>
    </xf>
    <xf numFmtId="1" fontId="0" fillId="2" borderId="31" xfId="0" applyNumberFormat="1" applyFill="1" applyBorder="1" applyAlignment="1">
      <alignment horizontal="center"/>
    </xf>
    <xf numFmtId="0" fontId="8" fillId="2" borderId="33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34" xfId="0" applyFill="1" applyBorder="1" applyAlignment="1">
      <alignment/>
    </xf>
    <xf numFmtId="1" fontId="0" fillId="2" borderId="33" xfId="0" applyNumberForma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8" fillId="2" borderId="35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6" xfId="0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3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39</xdr:row>
      <xdr:rowOff>133350</xdr:rowOff>
    </xdr:from>
    <xdr:to>
      <xdr:col>4</xdr:col>
      <xdr:colOff>95250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495550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39</xdr:row>
      <xdr:rowOff>133350</xdr:rowOff>
    </xdr:from>
    <xdr:to>
      <xdr:col>4</xdr:col>
      <xdr:colOff>142875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431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39</xdr:row>
      <xdr:rowOff>114300</xdr:rowOff>
    </xdr:from>
    <xdr:to>
      <xdr:col>4</xdr:col>
      <xdr:colOff>47625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8125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104775</xdr:rowOff>
    </xdr:from>
    <xdr:to>
      <xdr:col>4</xdr:col>
      <xdr:colOff>114300</xdr:colOff>
      <xdr:row>39</xdr:row>
      <xdr:rowOff>133350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389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39</xdr:row>
      <xdr:rowOff>114300</xdr:rowOff>
    </xdr:from>
    <xdr:to>
      <xdr:col>4</xdr:col>
      <xdr:colOff>47625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8125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39</xdr:row>
      <xdr:rowOff>133350</xdr:rowOff>
    </xdr:from>
    <xdr:to>
      <xdr:col>4</xdr:col>
      <xdr:colOff>104775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2505075" y="66675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39</xdr:row>
      <xdr:rowOff>114300</xdr:rowOff>
    </xdr:from>
    <xdr:to>
      <xdr:col>4</xdr:col>
      <xdr:colOff>38100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71725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9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7435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734050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753100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753100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40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43"/>
        <xdr:cNvGrpSpPr>
          <a:grpSpLocks/>
        </xdr:cNvGrpSpPr>
      </xdr:nvGrpSpPr>
      <xdr:grpSpPr>
        <a:xfrm>
          <a:off x="7562850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46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9"/>
        <xdr:cNvGrpSpPr>
          <a:grpSpLocks/>
        </xdr:cNvGrpSpPr>
      </xdr:nvGrpSpPr>
      <xdr:grpSpPr>
        <a:xfrm>
          <a:off x="5753100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5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52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5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95250</xdr:rowOff>
    </xdr:from>
    <xdr:to>
      <xdr:col>4</xdr:col>
      <xdr:colOff>0</xdr:colOff>
      <xdr:row>39</xdr:row>
      <xdr:rowOff>123825</xdr:rowOff>
    </xdr:to>
    <xdr:grpSp>
      <xdr:nvGrpSpPr>
        <xdr:cNvPr id="46" name="Group 55"/>
        <xdr:cNvGrpSpPr>
          <a:grpSpLocks/>
        </xdr:cNvGrpSpPr>
      </xdr:nvGrpSpPr>
      <xdr:grpSpPr>
        <a:xfrm>
          <a:off x="24003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5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58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6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6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65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6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6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6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7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7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7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7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7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7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7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7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8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8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86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83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4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5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8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8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9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9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9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9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76200</xdr:rowOff>
    </xdr:from>
    <xdr:to>
      <xdr:col>4</xdr:col>
      <xdr:colOff>114300</xdr:colOff>
      <xdr:row>39</xdr:row>
      <xdr:rowOff>104775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103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8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6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4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5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7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76200</xdr:rowOff>
    </xdr:from>
    <xdr:to>
      <xdr:col>4</xdr:col>
      <xdr:colOff>114300</xdr:colOff>
      <xdr:row>39</xdr:row>
      <xdr:rowOff>104775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103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76200</xdr:rowOff>
    </xdr:from>
    <xdr:to>
      <xdr:col>4</xdr:col>
      <xdr:colOff>114300</xdr:colOff>
      <xdr:row>39</xdr:row>
      <xdr:rowOff>104775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103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39</xdr:row>
      <xdr:rowOff>114300</xdr:rowOff>
    </xdr:from>
    <xdr:to>
      <xdr:col>4</xdr:col>
      <xdr:colOff>66675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4003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9525</xdr:rowOff>
    </xdr:from>
    <xdr:to>
      <xdr:col>1</xdr:col>
      <xdr:colOff>323850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90575" y="990600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266700</xdr:colOff>
      <xdr:row>37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1952625" y="6048375"/>
          <a:ext cx="142875" cy="180975"/>
          <a:chOff x="72" y="136"/>
          <a:chExt cx="15" cy="1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" y="13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400050</xdr:colOff>
      <xdr:row>17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4562475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19</xdr:row>
      <xdr:rowOff>133350</xdr:rowOff>
    </xdr:from>
    <xdr:to>
      <xdr:col>7</xdr:col>
      <xdr:colOff>419100</xdr:colOff>
      <xdr:row>20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4581525" y="32861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22</xdr:row>
      <xdr:rowOff>133350</xdr:rowOff>
    </xdr:from>
    <xdr:to>
      <xdr:col>7</xdr:col>
      <xdr:colOff>409575</xdr:colOff>
      <xdr:row>23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4572000" y="38004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25</xdr:row>
      <xdr:rowOff>133350</xdr:rowOff>
    </xdr:from>
    <xdr:to>
      <xdr:col>7</xdr:col>
      <xdr:colOff>409575</xdr:colOff>
      <xdr:row>26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572000" y="43148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16</xdr:row>
      <xdr:rowOff>142875</xdr:rowOff>
    </xdr:from>
    <xdr:to>
      <xdr:col>9</xdr:col>
      <xdr:colOff>361950</xdr:colOff>
      <xdr:row>17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5829300" y="27813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133350</xdr:rowOff>
    </xdr:from>
    <xdr:to>
      <xdr:col>9</xdr:col>
      <xdr:colOff>352425</xdr:colOff>
      <xdr:row>20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5819775" y="328612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22</xdr:row>
      <xdr:rowOff>133350</xdr:rowOff>
    </xdr:from>
    <xdr:to>
      <xdr:col>9</xdr:col>
      <xdr:colOff>371475</xdr:colOff>
      <xdr:row>23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838825" y="3800475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142875</xdr:rowOff>
    </xdr:from>
    <xdr:to>
      <xdr:col>9</xdr:col>
      <xdr:colOff>371475</xdr:colOff>
      <xdr:row>26</xdr:row>
      <xdr:rowOff>9525</xdr:rowOff>
    </xdr:to>
    <xdr:grpSp>
      <xdr:nvGrpSpPr>
        <xdr:cNvPr id="28" name="Group 28"/>
        <xdr:cNvGrpSpPr>
          <a:grpSpLocks/>
        </xdr:cNvGrpSpPr>
      </xdr:nvGrpSpPr>
      <xdr:grpSpPr>
        <a:xfrm>
          <a:off x="5838825" y="432435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36</xdr:row>
      <xdr:rowOff>57150</xdr:rowOff>
    </xdr:from>
    <xdr:to>
      <xdr:col>4</xdr:col>
      <xdr:colOff>57150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390775" y="610552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66675</xdr:rowOff>
    </xdr:from>
    <xdr:to>
      <xdr:col>12</xdr:col>
      <xdr:colOff>352425</xdr:colOff>
      <xdr:row>34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7648575" y="5772150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28</xdr:row>
      <xdr:rowOff>133350</xdr:rowOff>
    </xdr:from>
    <xdr:to>
      <xdr:col>7</xdr:col>
      <xdr:colOff>409575</xdr:colOff>
      <xdr:row>29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572000" y="4829175"/>
          <a:ext cx="104775" cy="47625"/>
          <a:chOff x="479" y="392"/>
          <a:chExt cx="11" cy="4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371475</xdr:colOff>
      <xdr:row>29</xdr:row>
      <xdr:rowOff>9525</xdr:rowOff>
    </xdr:to>
    <xdr:grpSp>
      <xdr:nvGrpSpPr>
        <xdr:cNvPr id="40" name="Group 40"/>
        <xdr:cNvGrpSpPr>
          <a:grpSpLocks/>
        </xdr:cNvGrpSpPr>
      </xdr:nvGrpSpPr>
      <xdr:grpSpPr>
        <a:xfrm>
          <a:off x="5838825" y="4838700"/>
          <a:ext cx="104775" cy="38100"/>
          <a:chOff x="479" y="392"/>
          <a:chExt cx="11" cy="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95250</xdr:rowOff>
    </xdr:from>
    <xdr:to>
      <xdr:col>3</xdr:col>
      <xdr:colOff>47625</xdr:colOff>
      <xdr:row>39</xdr:row>
      <xdr:rowOff>123825</xdr:rowOff>
    </xdr:to>
    <xdr:grpSp>
      <xdr:nvGrpSpPr>
        <xdr:cNvPr id="43" name="Group 43"/>
        <xdr:cNvGrpSpPr>
          <a:grpSpLocks/>
        </xdr:cNvGrpSpPr>
      </xdr:nvGrpSpPr>
      <xdr:grpSpPr>
        <a:xfrm>
          <a:off x="1838325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114300</xdr:colOff>
      <xdr:row>39</xdr:row>
      <xdr:rowOff>123825</xdr:rowOff>
    </xdr:to>
    <xdr:grpSp>
      <xdr:nvGrpSpPr>
        <xdr:cNvPr id="46" name="Group 46"/>
        <xdr:cNvGrpSpPr>
          <a:grpSpLocks/>
        </xdr:cNvGrpSpPr>
      </xdr:nvGrpSpPr>
      <xdr:grpSpPr>
        <a:xfrm>
          <a:off x="2514600" y="66294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40</xdr:row>
      <xdr:rowOff>0</xdr:rowOff>
    </xdr:from>
    <xdr:to>
      <xdr:col>3</xdr:col>
      <xdr:colOff>514350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1924050" y="6696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66675</xdr:rowOff>
    </xdr:from>
    <xdr:to>
      <xdr:col>1</xdr:col>
      <xdr:colOff>85725</xdr:colOff>
      <xdr:row>46</xdr:row>
      <xdr:rowOff>95250</xdr:rowOff>
    </xdr:to>
    <xdr:grpSp>
      <xdr:nvGrpSpPr>
        <xdr:cNvPr id="50" name="Group 50"/>
        <xdr:cNvGrpSpPr>
          <a:grpSpLocks/>
        </xdr:cNvGrpSpPr>
      </xdr:nvGrpSpPr>
      <xdr:grpSpPr>
        <a:xfrm>
          <a:off x="657225" y="773430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46</xdr:row>
      <xdr:rowOff>47625</xdr:rowOff>
    </xdr:from>
    <xdr:to>
      <xdr:col>2</xdr:col>
      <xdr:colOff>38100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1181100" y="7715250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46</xdr:row>
      <xdr:rowOff>57150</xdr:rowOff>
    </xdr:from>
    <xdr:to>
      <xdr:col>3</xdr:col>
      <xdr:colOff>38100</xdr:colOff>
      <xdr:row>46</xdr:row>
      <xdr:rowOff>133350</xdr:rowOff>
    </xdr:to>
    <xdr:grpSp>
      <xdr:nvGrpSpPr>
        <xdr:cNvPr id="56" name="Group 56"/>
        <xdr:cNvGrpSpPr>
          <a:grpSpLocks/>
        </xdr:cNvGrpSpPr>
      </xdr:nvGrpSpPr>
      <xdr:grpSpPr>
        <a:xfrm>
          <a:off x="17907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46</xdr:row>
      <xdr:rowOff>57150</xdr:rowOff>
    </xdr:from>
    <xdr:to>
      <xdr:col>4</xdr:col>
      <xdr:colOff>38100</xdr:colOff>
      <xdr:row>46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24003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46</xdr:row>
      <xdr:rowOff>57150</xdr:rowOff>
    </xdr:from>
    <xdr:to>
      <xdr:col>5</xdr:col>
      <xdr:colOff>38100</xdr:colOff>
      <xdr:row>46</xdr:row>
      <xdr:rowOff>133350</xdr:rowOff>
    </xdr:to>
    <xdr:grpSp>
      <xdr:nvGrpSpPr>
        <xdr:cNvPr id="62" name="Group 62"/>
        <xdr:cNvGrpSpPr>
          <a:grpSpLocks/>
        </xdr:cNvGrpSpPr>
      </xdr:nvGrpSpPr>
      <xdr:grpSpPr>
        <a:xfrm>
          <a:off x="3009900" y="7724775"/>
          <a:ext cx="76200" cy="76200"/>
          <a:chOff x="208" y="893"/>
          <a:chExt cx="8" cy="8"/>
        </a:xfrm>
        <a:solidFill>
          <a:srgbClr val="FFFFFF"/>
        </a:solidFill>
      </xdr:grpSpPr>
      <xdr:sp>
        <xdr:nvSpPr>
          <xdr:cNvPr id="63" name="Line 63"/>
          <xdr:cNvSpPr>
            <a:spLocks/>
          </xdr:cNvSpPr>
        </xdr:nvSpPr>
        <xdr:spPr>
          <a:xfrm>
            <a:off x="208" y="89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12" y="89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48</xdr:row>
      <xdr:rowOff>66675</xdr:rowOff>
    </xdr:from>
    <xdr:to>
      <xdr:col>1</xdr:col>
      <xdr:colOff>85725</xdr:colOff>
      <xdr:row>48</xdr:row>
      <xdr:rowOff>95250</xdr:rowOff>
    </xdr:to>
    <xdr:grpSp>
      <xdr:nvGrpSpPr>
        <xdr:cNvPr id="65" name="Group 65"/>
        <xdr:cNvGrpSpPr>
          <a:grpSpLocks/>
        </xdr:cNvGrpSpPr>
      </xdr:nvGrpSpPr>
      <xdr:grpSpPr>
        <a:xfrm>
          <a:off x="657225" y="80581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52</xdr:row>
      <xdr:rowOff>152400</xdr:rowOff>
    </xdr:from>
    <xdr:to>
      <xdr:col>5</xdr:col>
      <xdr:colOff>57150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306705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152400</xdr:rowOff>
    </xdr:from>
    <xdr:to>
      <xdr:col>5</xdr:col>
      <xdr:colOff>571500</xdr:colOff>
      <xdr:row>54</xdr:row>
      <xdr:rowOff>9525</xdr:rowOff>
    </xdr:to>
    <xdr:sp>
      <xdr:nvSpPr>
        <xdr:cNvPr id="69" name="AutoShape 69"/>
        <xdr:cNvSpPr>
          <a:spLocks/>
        </xdr:cNvSpPr>
      </xdr:nvSpPr>
      <xdr:spPr>
        <a:xfrm rot="10800000">
          <a:off x="3581400" y="8791575"/>
          <a:ext cx="38100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66675</xdr:rowOff>
    </xdr:from>
    <xdr:to>
      <xdr:col>4</xdr:col>
      <xdr:colOff>180975</xdr:colOff>
      <xdr:row>53</xdr:row>
      <xdr:rowOff>95250</xdr:rowOff>
    </xdr:to>
    <xdr:grpSp>
      <xdr:nvGrpSpPr>
        <xdr:cNvPr id="70" name="Group 70"/>
        <xdr:cNvGrpSpPr>
          <a:grpSpLocks/>
        </xdr:cNvGrpSpPr>
      </xdr:nvGrpSpPr>
      <xdr:grpSpPr>
        <a:xfrm>
          <a:off x="2581275" y="886777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59</xdr:row>
      <xdr:rowOff>19050</xdr:rowOff>
    </xdr:from>
    <xdr:to>
      <xdr:col>1</xdr:col>
      <xdr:colOff>114300</xdr:colOff>
      <xdr:row>59</xdr:row>
      <xdr:rowOff>123825</xdr:rowOff>
    </xdr:to>
    <xdr:grpSp>
      <xdr:nvGrpSpPr>
        <xdr:cNvPr id="73" name="Group 73"/>
        <xdr:cNvGrpSpPr>
          <a:grpSpLocks/>
        </xdr:cNvGrpSpPr>
      </xdr:nvGrpSpPr>
      <xdr:grpSpPr>
        <a:xfrm>
          <a:off x="666750" y="9791700"/>
          <a:ext cx="57150" cy="104775"/>
          <a:chOff x="155" y="1047"/>
          <a:chExt cx="6" cy="11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58" y="1047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5" y="105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56" y="105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59</xdr:row>
      <xdr:rowOff>76200</xdr:rowOff>
    </xdr:from>
    <xdr:to>
      <xdr:col>0</xdr:col>
      <xdr:colOff>514350</xdr:colOff>
      <xdr:row>59</xdr:row>
      <xdr:rowOff>104775</xdr:rowOff>
    </xdr:to>
    <xdr:grpSp>
      <xdr:nvGrpSpPr>
        <xdr:cNvPr id="77" name="Group 77"/>
        <xdr:cNvGrpSpPr>
          <a:grpSpLocks/>
        </xdr:cNvGrpSpPr>
      </xdr:nvGrpSpPr>
      <xdr:grpSpPr>
        <a:xfrm>
          <a:off x="476250" y="9848850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59</xdr:row>
      <xdr:rowOff>9525</xdr:rowOff>
    </xdr:from>
    <xdr:to>
      <xdr:col>2</xdr:col>
      <xdr:colOff>0</xdr:colOff>
      <xdr:row>59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000125" y="978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76200</xdr:rowOff>
    </xdr:from>
    <xdr:to>
      <xdr:col>0</xdr:col>
      <xdr:colOff>514350</xdr:colOff>
      <xdr:row>62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476250" y="10334625"/>
          <a:ext cx="38100" cy="28575"/>
          <a:chOff x="479" y="392"/>
          <a:chExt cx="11" cy="4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79" y="392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479" y="396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39</xdr:row>
      <xdr:rowOff>114300</xdr:rowOff>
    </xdr:from>
    <xdr:to>
      <xdr:col>4</xdr:col>
      <xdr:colOff>28575</xdr:colOff>
      <xdr:row>40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2362200" y="6648450"/>
          <a:ext cx="104775" cy="76200"/>
          <a:chOff x="274" y="723"/>
          <a:chExt cx="11" cy="8"/>
        </a:xfrm>
        <a:solidFill>
          <a:srgbClr val="FFFFFF"/>
        </a:solidFill>
      </xdr:grpSpPr>
      <xdr:grpSp>
        <xdr:nvGrpSpPr>
          <xdr:cNvPr id="85" name="Group 85"/>
          <xdr:cNvGrpSpPr>
            <a:grpSpLocks/>
          </xdr:cNvGrpSpPr>
        </xdr:nvGrpSpPr>
        <xdr:grpSpPr>
          <a:xfrm>
            <a:off x="282" y="723"/>
            <a:ext cx="3" cy="8"/>
            <a:chOff x="294" y="725"/>
            <a:chExt cx="3" cy="8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 flipV="1">
              <a:off x="294" y="726"/>
              <a:ext cx="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297" y="725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8"/>
          <xdr:cNvSpPr>
            <a:spLocks/>
          </xdr:cNvSpPr>
        </xdr:nvSpPr>
        <xdr:spPr>
          <a:xfrm>
            <a:off x="274" y="728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oleObject" Target="../embeddings/oleObject_22_1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oleObject" Target="../embeddings/oleObject_24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oleObject" Target="../embeddings/oleObject_26_1.bin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8_0.bin" /><Relationship Id="rId2" Type="http://schemas.openxmlformats.org/officeDocument/2006/relationships/oleObject" Target="../embeddings/oleObject_28_1.bin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0_0.bin" /><Relationship Id="rId2" Type="http://schemas.openxmlformats.org/officeDocument/2006/relationships/oleObject" Target="../embeddings/oleObject_30_1.bin" /><Relationship Id="rId3" Type="http://schemas.openxmlformats.org/officeDocument/2006/relationships/vmlDrawing" Target="../drawings/vmlDrawing15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2_0.bin" /><Relationship Id="rId2" Type="http://schemas.openxmlformats.org/officeDocument/2006/relationships/oleObject" Target="../embeddings/oleObject_32_1.bin" /><Relationship Id="rId3" Type="http://schemas.openxmlformats.org/officeDocument/2006/relationships/vmlDrawing" Target="../drawings/vmlDrawing16.v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4_0.bin" /><Relationship Id="rId2" Type="http://schemas.openxmlformats.org/officeDocument/2006/relationships/oleObject" Target="../embeddings/oleObject_34_1.bin" /><Relationship Id="rId3" Type="http://schemas.openxmlformats.org/officeDocument/2006/relationships/vmlDrawing" Target="../drawings/vmlDrawing17.v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6_0.bin" /><Relationship Id="rId2" Type="http://schemas.openxmlformats.org/officeDocument/2006/relationships/oleObject" Target="../embeddings/oleObject_36_1.bin" /><Relationship Id="rId3" Type="http://schemas.openxmlformats.org/officeDocument/2006/relationships/vmlDrawing" Target="../drawings/vmlDrawing18.vml" /><Relationship Id="rId4" Type="http://schemas.openxmlformats.org/officeDocument/2006/relationships/drawing" Target="../drawings/drawing18.xml" /><Relationship Id="rId5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8_0.bin" /><Relationship Id="rId2" Type="http://schemas.openxmlformats.org/officeDocument/2006/relationships/oleObject" Target="../embeddings/oleObject_38_1.bin" /><Relationship Id="rId3" Type="http://schemas.openxmlformats.org/officeDocument/2006/relationships/vmlDrawing" Target="../drawings/vmlDrawing19.vml" /><Relationship Id="rId4" Type="http://schemas.openxmlformats.org/officeDocument/2006/relationships/drawing" Target="../drawings/drawing19.xml" /><Relationship Id="rId5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86"/>
  <sheetViews>
    <sheetView workbookViewId="0" topLeftCell="A1">
      <selection activeCell="D11" sqref="D11"/>
    </sheetView>
  </sheetViews>
  <sheetFormatPr defaultColWidth="9.140625" defaultRowHeight="12.75"/>
  <cols>
    <col min="3" max="3" width="8.421875" style="0" bestFit="1" customWidth="1"/>
    <col min="4" max="4" width="45.8515625" style="0" bestFit="1" customWidth="1"/>
    <col min="5" max="19" width="2.7109375" style="0" customWidth="1"/>
    <col min="20" max="20" width="7.140625" style="0" bestFit="1" customWidth="1"/>
  </cols>
  <sheetData>
    <row r="1" spans="3:19" ht="12.75">
      <c r="C1" s="2" t="s">
        <v>157</v>
      </c>
      <c r="F1" s="2" t="s">
        <v>158</v>
      </c>
      <c r="O1" s="31"/>
      <c r="P1" s="31" t="s">
        <v>160</v>
      </c>
      <c r="Q1" s="31"/>
      <c r="R1" s="31"/>
      <c r="S1" s="31"/>
    </row>
    <row r="2" spans="3:19" ht="12.75">
      <c r="C2" s="2" t="s">
        <v>156</v>
      </c>
      <c r="F2" s="2" t="s">
        <v>159</v>
      </c>
      <c r="O2" s="77"/>
      <c r="P2" s="31" t="s">
        <v>89</v>
      </c>
      <c r="Q2" s="77"/>
      <c r="R2" s="77"/>
      <c r="S2" s="77"/>
    </row>
    <row r="3" spans="3:20" ht="12.75">
      <c r="C3" s="76" t="s">
        <v>168</v>
      </c>
      <c r="D3" s="85" t="s">
        <v>169</v>
      </c>
      <c r="E3" s="86"/>
      <c r="F3" s="87"/>
      <c r="G3" s="88"/>
      <c r="H3" s="87"/>
      <c r="I3" s="77"/>
      <c r="J3" s="87" t="s">
        <v>61</v>
      </c>
      <c r="K3" s="77"/>
      <c r="L3" s="87" t="s">
        <v>155</v>
      </c>
      <c r="M3" s="87"/>
      <c r="N3" s="87"/>
      <c r="O3" s="87"/>
      <c r="P3" s="87"/>
      <c r="Q3" s="87"/>
      <c r="R3" s="87"/>
      <c r="S3" s="89"/>
      <c r="T3" s="81" t="s">
        <v>63</v>
      </c>
    </row>
    <row r="4" spans="3:20" ht="15">
      <c r="C4" s="81"/>
      <c r="D4" s="84" t="s">
        <v>161</v>
      </c>
      <c r="E4" s="7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9"/>
      <c r="T4" s="30"/>
    </row>
    <row r="5" spans="3:20" ht="15">
      <c r="C5" s="81">
        <v>1</v>
      </c>
      <c r="D5" s="80" t="s">
        <v>64</v>
      </c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9"/>
      <c r="T5" s="30"/>
    </row>
    <row r="6" spans="3:25" ht="15">
      <c r="C6" s="81">
        <f aca="true" t="shared" si="0" ref="C6:C70">C5+1</f>
        <v>2</v>
      </c>
      <c r="D6" s="80" t="s">
        <v>65</v>
      </c>
      <c r="E6" s="78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9"/>
      <c r="T6" s="30"/>
      <c r="Y6" s="83"/>
    </row>
    <row r="7" spans="3:20" ht="15">
      <c r="C7" s="81">
        <f t="shared" si="0"/>
        <v>3</v>
      </c>
      <c r="D7" s="80" t="s">
        <v>66</v>
      </c>
      <c r="E7" s="7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9"/>
      <c r="T7" s="30"/>
    </row>
    <row r="8" spans="3:20" ht="15">
      <c r="C8" s="81">
        <f t="shared" si="0"/>
        <v>4</v>
      </c>
      <c r="D8" s="80" t="s">
        <v>71</v>
      </c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9"/>
      <c r="T8" s="30"/>
    </row>
    <row r="9" spans="3:20" ht="15">
      <c r="C9" s="81">
        <f t="shared" si="0"/>
        <v>5</v>
      </c>
      <c r="D9" s="80" t="s">
        <v>67</v>
      </c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9"/>
      <c r="T9" s="30"/>
    </row>
    <row r="10" spans="3:20" ht="15">
      <c r="C10" s="81">
        <f t="shared" si="0"/>
        <v>6</v>
      </c>
      <c r="D10" s="80" t="s">
        <v>68</v>
      </c>
      <c r="E10" s="7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9"/>
      <c r="T10" s="30"/>
    </row>
    <row r="11" spans="3:20" ht="15">
      <c r="C11" s="81">
        <f t="shared" si="0"/>
        <v>7</v>
      </c>
      <c r="D11" s="80" t="s">
        <v>126</v>
      </c>
      <c r="E11" s="7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9"/>
      <c r="T11" s="30"/>
    </row>
    <row r="12" spans="3:20" ht="15">
      <c r="C12" s="81">
        <f t="shared" si="0"/>
        <v>8</v>
      </c>
      <c r="D12" s="80" t="s">
        <v>127</v>
      </c>
      <c r="E12" s="7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9"/>
      <c r="T12" s="30"/>
    </row>
    <row r="13" spans="3:20" ht="15">
      <c r="C13" s="81">
        <f t="shared" si="0"/>
        <v>9</v>
      </c>
      <c r="D13" s="80" t="s">
        <v>69</v>
      </c>
      <c r="E13" s="78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9"/>
      <c r="T13" s="30"/>
    </row>
    <row r="14" spans="3:20" ht="15">
      <c r="C14" s="81">
        <f t="shared" si="0"/>
        <v>10</v>
      </c>
      <c r="D14" s="80" t="s">
        <v>70</v>
      </c>
      <c r="E14" s="78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9"/>
      <c r="T14" s="30"/>
    </row>
    <row r="15" spans="3:20" ht="15">
      <c r="C15" s="81">
        <f t="shared" si="0"/>
        <v>11</v>
      </c>
      <c r="D15" s="80" t="s">
        <v>72</v>
      </c>
      <c r="E15" s="78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30"/>
    </row>
    <row r="16" spans="3:20" ht="15">
      <c r="C16" s="81">
        <f t="shared" si="0"/>
        <v>12</v>
      </c>
      <c r="D16" s="80" t="s">
        <v>73</v>
      </c>
      <c r="E16" s="78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9"/>
      <c r="T16" s="30"/>
    </row>
    <row r="17" spans="3:20" ht="15">
      <c r="C17" s="81">
        <f t="shared" si="0"/>
        <v>13</v>
      </c>
      <c r="D17" s="80" t="s">
        <v>74</v>
      </c>
      <c r="E17" s="78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9"/>
      <c r="T17" s="30"/>
    </row>
    <row r="18" spans="3:20" ht="12.75">
      <c r="C18" s="81">
        <f>C17+1</f>
        <v>14</v>
      </c>
      <c r="D18" s="30"/>
      <c r="E18" s="7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9"/>
      <c r="T18" s="30"/>
    </row>
    <row r="19" spans="3:20" ht="12.75">
      <c r="C19" s="81">
        <f>C18+1</f>
        <v>15</v>
      </c>
      <c r="D19" s="30"/>
      <c r="E19" s="78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9"/>
      <c r="T19" s="30"/>
    </row>
    <row r="20" spans="3:20" ht="12.75">
      <c r="C20" s="81">
        <f>C19+1</f>
        <v>16</v>
      </c>
      <c r="D20" s="30"/>
      <c r="E20" s="78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9"/>
      <c r="T20" s="30"/>
    </row>
    <row r="21" spans="3:20" ht="12.75">
      <c r="C21" s="81">
        <f t="shared" si="0"/>
        <v>17</v>
      </c>
      <c r="D21" s="30"/>
      <c r="E21" s="78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9"/>
      <c r="T21" s="30"/>
    </row>
    <row r="22" spans="3:20" ht="15">
      <c r="C22" s="81"/>
      <c r="D22" s="90" t="s">
        <v>164</v>
      </c>
      <c r="E22" s="78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9"/>
      <c r="T22" s="30"/>
    </row>
    <row r="23" spans="3:20" ht="15">
      <c r="C23" s="81">
        <v>1</v>
      </c>
      <c r="D23" s="80" t="s">
        <v>123</v>
      </c>
      <c r="E23" s="78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9"/>
      <c r="T23" s="30"/>
    </row>
    <row r="24" spans="3:20" ht="15">
      <c r="C24" s="81">
        <f t="shared" si="0"/>
        <v>2</v>
      </c>
      <c r="D24" s="80" t="s">
        <v>122</v>
      </c>
      <c r="E24" s="78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9"/>
      <c r="T24" s="30"/>
    </row>
    <row r="25" spans="3:20" ht="15">
      <c r="C25" s="81">
        <f t="shared" si="0"/>
        <v>3</v>
      </c>
      <c r="D25" s="80" t="s">
        <v>125</v>
      </c>
      <c r="E25" s="78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9"/>
      <c r="T25" s="30"/>
    </row>
    <row r="26" spans="3:20" ht="15">
      <c r="C26" s="81">
        <f t="shared" si="0"/>
        <v>4</v>
      </c>
      <c r="D26" s="80" t="s">
        <v>128</v>
      </c>
      <c r="E26" s="78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9"/>
      <c r="T26" s="30"/>
    </row>
    <row r="27" spans="3:20" ht="15">
      <c r="C27" s="81">
        <f t="shared" si="0"/>
        <v>5</v>
      </c>
      <c r="D27" s="80" t="s">
        <v>132</v>
      </c>
      <c r="E27" s="78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9"/>
      <c r="T27" s="30"/>
    </row>
    <row r="28" spans="3:20" ht="15">
      <c r="C28" s="81">
        <f t="shared" si="0"/>
        <v>6</v>
      </c>
      <c r="D28" s="80" t="s">
        <v>133</v>
      </c>
      <c r="E28" s="78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9"/>
      <c r="T28" s="30"/>
    </row>
    <row r="29" spans="3:20" ht="15">
      <c r="C29" s="81">
        <f t="shared" si="0"/>
        <v>7</v>
      </c>
      <c r="D29" s="80" t="s">
        <v>134</v>
      </c>
      <c r="E29" s="78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9"/>
      <c r="T29" s="30"/>
    </row>
    <row r="30" spans="3:20" ht="15">
      <c r="C30" s="81">
        <f t="shared" si="0"/>
        <v>8</v>
      </c>
      <c r="D30" s="80" t="s">
        <v>138</v>
      </c>
      <c r="E30" s="78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9"/>
      <c r="T30" s="30"/>
    </row>
    <row r="31" spans="3:20" ht="15">
      <c r="C31" s="81">
        <f t="shared" si="0"/>
        <v>9</v>
      </c>
      <c r="D31" s="80" t="s">
        <v>140</v>
      </c>
      <c r="E31" s="78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9"/>
      <c r="T31" s="30"/>
    </row>
    <row r="32" spans="3:20" ht="15">
      <c r="C32" s="81">
        <f t="shared" si="0"/>
        <v>10</v>
      </c>
      <c r="D32" s="80" t="s">
        <v>142</v>
      </c>
      <c r="E32" s="78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9"/>
      <c r="T32" s="30"/>
    </row>
    <row r="33" spans="3:20" ht="15">
      <c r="C33" s="81">
        <f t="shared" si="0"/>
        <v>11</v>
      </c>
      <c r="D33" s="80" t="s">
        <v>143</v>
      </c>
      <c r="E33" s="78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9"/>
      <c r="T33" s="30"/>
    </row>
    <row r="34" spans="3:20" ht="15">
      <c r="C34" s="81">
        <f t="shared" si="0"/>
        <v>12</v>
      </c>
      <c r="D34" s="80" t="s">
        <v>147</v>
      </c>
      <c r="E34" s="78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9"/>
      <c r="T34" s="30"/>
    </row>
    <row r="35" spans="3:20" ht="15">
      <c r="C35" s="81">
        <f t="shared" si="0"/>
        <v>13</v>
      </c>
      <c r="D35" s="80" t="s">
        <v>148</v>
      </c>
      <c r="E35" s="78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9"/>
      <c r="T35" s="30"/>
    </row>
    <row r="36" spans="3:20" ht="15">
      <c r="C36" s="81">
        <f t="shared" si="0"/>
        <v>14</v>
      </c>
      <c r="D36" s="80" t="s">
        <v>150</v>
      </c>
      <c r="E36" s="78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9"/>
      <c r="T36" s="30"/>
    </row>
    <row r="37" spans="3:20" ht="15">
      <c r="C37" s="81">
        <f t="shared" si="0"/>
        <v>15</v>
      </c>
      <c r="D37" s="80" t="s">
        <v>149</v>
      </c>
      <c r="E37" s="78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9"/>
      <c r="T37" s="30"/>
    </row>
    <row r="38" spans="3:20" ht="15">
      <c r="C38" s="81">
        <f t="shared" si="0"/>
        <v>16</v>
      </c>
      <c r="D38" s="80" t="s">
        <v>153</v>
      </c>
      <c r="E38" s="78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9"/>
      <c r="T38" s="30"/>
    </row>
    <row r="39" spans="3:20" ht="15">
      <c r="C39" s="81">
        <f t="shared" si="0"/>
        <v>17</v>
      </c>
      <c r="D39" s="80" t="s">
        <v>154</v>
      </c>
      <c r="E39" s="78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9"/>
      <c r="T39" s="30"/>
    </row>
    <row r="40" spans="3:20" ht="15">
      <c r="C40" s="81">
        <f t="shared" si="0"/>
        <v>18</v>
      </c>
      <c r="D40" s="82" t="s">
        <v>166</v>
      </c>
      <c r="E40" s="78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9"/>
      <c r="T40" s="30"/>
    </row>
    <row r="41" spans="3:20" ht="15">
      <c r="C41" s="81">
        <f t="shared" si="0"/>
        <v>19</v>
      </c>
      <c r="D41" s="82" t="s">
        <v>167</v>
      </c>
      <c r="E41" s="78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9"/>
      <c r="T41" s="30"/>
    </row>
    <row r="42" spans="3:20" ht="15">
      <c r="C42" s="81"/>
      <c r="D42" s="90" t="s">
        <v>162</v>
      </c>
      <c r="E42" s="78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9"/>
      <c r="T42" s="30"/>
    </row>
    <row r="43" spans="3:20" ht="15">
      <c r="C43" s="81">
        <v>1</v>
      </c>
      <c r="D43" s="80" t="s">
        <v>151</v>
      </c>
      <c r="E43" s="78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9"/>
      <c r="T43" s="30"/>
    </row>
    <row r="44" spans="3:20" ht="15">
      <c r="C44" s="81">
        <f t="shared" si="0"/>
        <v>2</v>
      </c>
      <c r="D44" s="80" t="s">
        <v>144</v>
      </c>
      <c r="E44" s="78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9"/>
      <c r="T44" s="30"/>
    </row>
    <row r="45" spans="3:20" ht="15">
      <c r="C45" s="81">
        <f t="shared" si="0"/>
        <v>3</v>
      </c>
      <c r="D45" s="80" t="s">
        <v>145</v>
      </c>
      <c r="E45" s="78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9"/>
      <c r="T45" s="30"/>
    </row>
    <row r="46" spans="3:20" ht="12.75">
      <c r="C46" s="81">
        <f t="shared" si="0"/>
        <v>4</v>
      </c>
      <c r="D46" s="30"/>
      <c r="E46" s="78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9"/>
      <c r="T46" s="30"/>
    </row>
    <row r="47" spans="3:20" ht="12.75">
      <c r="C47" s="81">
        <f t="shared" si="0"/>
        <v>5</v>
      </c>
      <c r="D47" s="30"/>
      <c r="E47" s="7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9"/>
      <c r="T47" s="30"/>
    </row>
    <row r="48" spans="3:20" ht="12.75">
      <c r="C48" s="81">
        <f t="shared" si="0"/>
        <v>6</v>
      </c>
      <c r="D48" s="30"/>
      <c r="E48" s="78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9"/>
      <c r="T48" s="30"/>
    </row>
    <row r="49" spans="3:20" ht="12.75">
      <c r="C49" s="81">
        <f t="shared" si="0"/>
        <v>7</v>
      </c>
      <c r="D49" s="30"/>
      <c r="E49" s="78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9"/>
      <c r="T49" s="30"/>
    </row>
    <row r="50" spans="3:20" ht="15">
      <c r="C50" s="81"/>
      <c r="D50" s="90" t="s">
        <v>163</v>
      </c>
      <c r="E50" s="78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9"/>
      <c r="T50" s="30"/>
    </row>
    <row r="51" spans="3:20" ht="15">
      <c r="C51" s="81">
        <v>1</v>
      </c>
      <c r="D51" s="80" t="s">
        <v>130</v>
      </c>
      <c r="E51" s="7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9"/>
      <c r="T51" s="30"/>
    </row>
    <row r="52" spans="3:20" ht="15">
      <c r="C52" s="81">
        <f t="shared" si="0"/>
        <v>2</v>
      </c>
      <c r="D52" s="80" t="s">
        <v>131</v>
      </c>
      <c r="E52" s="78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9"/>
      <c r="T52" s="30"/>
    </row>
    <row r="53" spans="3:20" ht="15">
      <c r="C53" s="81">
        <f t="shared" si="0"/>
        <v>3</v>
      </c>
      <c r="D53" s="80" t="s">
        <v>137</v>
      </c>
      <c r="E53" s="78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9"/>
      <c r="T53" s="30"/>
    </row>
    <row r="54" spans="3:20" ht="15">
      <c r="C54" s="81">
        <f t="shared" si="0"/>
        <v>4</v>
      </c>
      <c r="D54" s="80" t="s">
        <v>135</v>
      </c>
      <c r="E54" s="78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9"/>
      <c r="T54" s="30"/>
    </row>
    <row r="55" spans="3:20" ht="15">
      <c r="C55" s="81">
        <f t="shared" si="0"/>
        <v>5</v>
      </c>
      <c r="D55" s="80" t="s">
        <v>136</v>
      </c>
      <c r="E55" s="78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9"/>
      <c r="T55" s="30"/>
    </row>
    <row r="56" spans="3:20" ht="15">
      <c r="C56" s="81">
        <f t="shared" si="0"/>
        <v>6</v>
      </c>
      <c r="D56" s="80" t="s">
        <v>139</v>
      </c>
      <c r="E56" s="78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9"/>
      <c r="T56" s="30"/>
    </row>
    <row r="57" spans="3:20" ht="15">
      <c r="C57" s="81">
        <f t="shared" si="0"/>
        <v>7</v>
      </c>
      <c r="D57" s="80" t="s">
        <v>141</v>
      </c>
      <c r="E57" s="78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9"/>
      <c r="T57" s="30"/>
    </row>
    <row r="58" spans="3:20" ht="15">
      <c r="C58" s="81">
        <f t="shared" si="0"/>
        <v>8</v>
      </c>
      <c r="D58" s="80" t="s">
        <v>146</v>
      </c>
      <c r="E58" s="78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9"/>
      <c r="T58" s="30"/>
    </row>
    <row r="59" spans="3:20" ht="12.75">
      <c r="C59" s="81">
        <f t="shared" si="0"/>
        <v>9</v>
      </c>
      <c r="D59" s="30"/>
      <c r="E59" s="78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9"/>
      <c r="T59" s="30"/>
    </row>
    <row r="60" spans="3:20" ht="12.75">
      <c r="C60" s="81">
        <f t="shared" si="0"/>
        <v>10</v>
      </c>
      <c r="D60" s="30"/>
      <c r="E60" s="78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9"/>
      <c r="T60" s="30"/>
    </row>
    <row r="61" spans="3:20" ht="12.75">
      <c r="C61" s="81">
        <f t="shared" si="0"/>
        <v>11</v>
      </c>
      <c r="D61" s="30"/>
      <c r="E61" s="78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9"/>
      <c r="T61" s="30"/>
    </row>
    <row r="62" spans="3:20" ht="12.75">
      <c r="C62" s="81">
        <f t="shared" si="0"/>
        <v>12</v>
      </c>
      <c r="D62" s="30"/>
      <c r="E62" s="78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9"/>
      <c r="T62" s="30"/>
    </row>
    <row r="63" spans="3:20" ht="12.75">
      <c r="C63" s="81">
        <f t="shared" si="0"/>
        <v>13</v>
      </c>
      <c r="D63" s="30"/>
      <c r="E63" s="78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9"/>
      <c r="T63" s="30"/>
    </row>
    <row r="64" spans="3:20" ht="12.75">
      <c r="C64" s="81">
        <f t="shared" si="0"/>
        <v>14</v>
      </c>
      <c r="D64" s="30"/>
      <c r="E64" s="78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9"/>
      <c r="T64" s="30"/>
    </row>
    <row r="65" spans="3:20" ht="12.75">
      <c r="C65" s="81">
        <f t="shared" si="0"/>
        <v>15</v>
      </c>
      <c r="D65" s="30"/>
      <c r="E65" s="78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9"/>
      <c r="T65" s="30"/>
    </row>
    <row r="66" spans="3:20" ht="15">
      <c r="C66" s="30"/>
      <c r="D66" s="90" t="s">
        <v>165</v>
      </c>
      <c r="E66" s="78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9"/>
      <c r="T66" s="30"/>
    </row>
    <row r="67" spans="3:20" ht="15">
      <c r="C67" s="81">
        <v>1</v>
      </c>
      <c r="D67" s="91" t="s">
        <v>124</v>
      </c>
      <c r="E67" s="7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9"/>
      <c r="T67" s="30"/>
    </row>
    <row r="68" spans="3:20" ht="15">
      <c r="C68" s="81">
        <f t="shared" si="0"/>
        <v>2</v>
      </c>
      <c r="D68" s="92" t="s">
        <v>152</v>
      </c>
      <c r="E68" s="78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9"/>
      <c r="T68" s="30"/>
    </row>
    <row r="69" spans="3:20" ht="15">
      <c r="C69" s="81">
        <f t="shared" si="0"/>
        <v>3</v>
      </c>
      <c r="D69" s="92" t="s">
        <v>129</v>
      </c>
      <c r="E69" s="78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9"/>
      <c r="T69" s="30"/>
    </row>
    <row r="70" spans="3:20" ht="12.75">
      <c r="C70" s="81">
        <f t="shared" si="0"/>
        <v>4</v>
      </c>
      <c r="D70" s="30"/>
      <c r="E70" s="78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9"/>
      <c r="T70" s="30"/>
    </row>
    <row r="71" spans="3:20" ht="12.75">
      <c r="C71" s="81">
        <f aca="true" t="shared" si="1" ref="C71:C85">C70+1</f>
        <v>5</v>
      </c>
      <c r="D71" s="30"/>
      <c r="E71" s="78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9"/>
      <c r="T71" s="30"/>
    </row>
    <row r="72" spans="3:20" ht="12.75">
      <c r="C72" s="81">
        <f t="shared" si="1"/>
        <v>6</v>
      </c>
      <c r="D72" s="30"/>
      <c r="E72" s="78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9"/>
      <c r="T72" s="30"/>
    </row>
    <row r="73" spans="3:20" ht="12.75">
      <c r="C73" s="81">
        <f t="shared" si="1"/>
        <v>7</v>
      </c>
      <c r="D73" s="30"/>
      <c r="E73" s="78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9"/>
      <c r="T73" s="30"/>
    </row>
    <row r="74" spans="3:20" ht="12.75">
      <c r="C74" s="81">
        <f t="shared" si="1"/>
        <v>8</v>
      </c>
      <c r="D74" s="30"/>
      <c r="E74" s="78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9"/>
      <c r="T74" s="30"/>
    </row>
    <row r="75" spans="3:20" ht="12.75">
      <c r="C75" s="81">
        <f t="shared" si="1"/>
        <v>9</v>
      </c>
      <c r="D75" s="30"/>
      <c r="E75" s="78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9"/>
      <c r="T75" s="30"/>
    </row>
    <row r="76" spans="3:20" ht="12.75">
      <c r="C76" s="81">
        <f t="shared" si="1"/>
        <v>10</v>
      </c>
      <c r="D76" s="30"/>
      <c r="E76" s="78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9"/>
      <c r="T76" s="30"/>
    </row>
    <row r="77" spans="3:20" ht="12.75">
      <c r="C77" s="81">
        <f t="shared" si="1"/>
        <v>11</v>
      </c>
      <c r="D77" s="30"/>
      <c r="E77" s="78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9"/>
      <c r="T77" s="30"/>
    </row>
    <row r="78" spans="3:20" ht="12.75">
      <c r="C78" s="81">
        <f t="shared" si="1"/>
        <v>12</v>
      </c>
      <c r="D78" s="30"/>
      <c r="E78" s="78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9"/>
      <c r="T78" s="30"/>
    </row>
    <row r="79" spans="3:20" ht="12.75">
      <c r="C79" s="81">
        <f t="shared" si="1"/>
        <v>13</v>
      </c>
      <c r="D79" s="30"/>
      <c r="E79" s="78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9"/>
      <c r="T79" s="30"/>
    </row>
    <row r="80" spans="3:20" ht="12.75">
      <c r="C80" s="81">
        <f t="shared" si="1"/>
        <v>14</v>
      </c>
      <c r="D80" s="30"/>
      <c r="E80" s="78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9"/>
      <c r="T80" s="30"/>
    </row>
    <row r="81" spans="3:20" ht="12.75">
      <c r="C81" s="81">
        <f t="shared" si="1"/>
        <v>15</v>
      </c>
      <c r="D81" s="30"/>
      <c r="E81" s="78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9"/>
      <c r="T81" s="30"/>
    </row>
    <row r="82" spans="3:20" ht="12.75">
      <c r="C82" s="81">
        <f t="shared" si="1"/>
        <v>16</v>
      </c>
      <c r="D82" s="30"/>
      <c r="E82" s="78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9"/>
      <c r="T82" s="30"/>
    </row>
    <row r="83" spans="3:20" ht="12.75">
      <c r="C83" s="81">
        <f t="shared" si="1"/>
        <v>17</v>
      </c>
      <c r="D83" s="30"/>
      <c r="E83" s="78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9"/>
      <c r="T83" s="30"/>
    </row>
    <row r="84" spans="3:20" ht="12.75">
      <c r="C84" s="81">
        <f t="shared" si="1"/>
        <v>18</v>
      </c>
      <c r="D84" s="30"/>
      <c r="E84" s="78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9"/>
      <c r="T84" s="30"/>
    </row>
    <row r="85" spans="3:20" ht="12.75">
      <c r="C85" s="81">
        <f t="shared" si="1"/>
        <v>19</v>
      </c>
      <c r="D85" s="30"/>
      <c r="E85" s="78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9"/>
      <c r="T85" s="30"/>
    </row>
    <row r="86" spans="5:19" ht="12.75"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</row>
  </sheetData>
  <printOptions/>
  <pageMargins left="0.75" right="0.75" top="0.17" bottom="0.23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7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325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12</v>
      </c>
      <c r="D5" s="9"/>
      <c r="E5" s="9"/>
      <c r="F5" s="9"/>
      <c r="G5" s="10" t="s">
        <v>235</v>
      </c>
      <c r="H5" s="183">
        <v>3895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237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229</v>
      </c>
      <c r="B13" s="189">
        <v>76</v>
      </c>
      <c r="C13" s="190">
        <v>76</v>
      </c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6">SUM(B13:H13)</f>
        <v>152</v>
      </c>
      <c r="M13" s="93"/>
      <c r="N13" s="95"/>
      <c r="O13" s="93"/>
      <c r="P13" s="95"/>
      <c r="Q13" s="93"/>
    </row>
    <row r="14" spans="1:17" ht="12.75">
      <c r="A14" s="214" t="s">
        <v>230</v>
      </c>
      <c r="B14" s="215">
        <v>76</v>
      </c>
      <c r="C14" s="22">
        <v>76</v>
      </c>
      <c r="D14" s="22"/>
      <c r="E14" s="22"/>
      <c r="F14" s="22"/>
      <c r="G14" s="22"/>
      <c r="H14" s="22"/>
      <c r="I14" s="123"/>
      <c r="J14" s="123"/>
      <c r="K14" s="216"/>
      <c r="L14" s="196">
        <f t="shared" si="0"/>
        <v>152</v>
      </c>
      <c r="M14" s="93"/>
      <c r="N14" s="95"/>
      <c r="O14" s="93"/>
      <c r="P14" s="95"/>
      <c r="Q14" s="93"/>
    </row>
    <row r="15" spans="1:17" ht="12.75">
      <c r="A15" s="214" t="s">
        <v>228</v>
      </c>
      <c r="B15" s="215">
        <v>4</v>
      </c>
      <c r="C15" s="22">
        <v>4</v>
      </c>
      <c r="D15" s="22"/>
      <c r="E15" s="22"/>
      <c r="F15" s="22"/>
      <c r="G15" s="22"/>
      <c r="H15" s="22"/>
      <c r="I15" s="123"/>
      <c r="J15" s="123"/>
      <c r="K15" s="216"/>
      <c r="L15" s="196">
        <f t="shared" si="0"/>
        <v>8</v>
      </c>
      <c r="M15" s="93"/>
      <c r="N15" s="95"/>
      <c r="O15" s="93"/>
      <c r="P15" s="95"/>
      <c r="Q15" s="93"/>
    </row>
    <row r="16" spans="1:17" ht="12.75">
      <c r="A16" s="194" t="s">
        <v>174</v>
      </c>
      <c r="B16" s="195">
        <v>0</v>
      </c>
      <c r="C16" s="24">
        <v>0</v>
      </c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0</v>
      </c>
      <c r="M16" s="3"/>
      <c r="N16" s="3"/>
      <c r="O16" s="3"/>
      <c r="P16" s="3"/>
      <c r="Q16" s="3"/>
    </row>
    <row r="17" spans="1:17" ht="12.75">
      <c r="A17" s="194" t="s">
        <v>175</v>
      </c>
      <c r="B17" s="195">
        <v>0</v>
      </c>
      <c r="C17" s="24">
        <v>0</v>
      </c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176</v>
      </c>
      <c r="B18" s="195">
        <v>1</v>
      </c>
      <c r="C18" s="24">
        <v>2</v>
      </c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3</v>
      </c>
      <c r="M18" s="3"/>
      <c r="N18" s="3"/>
      <c r="O18" s="3"/>
      <c r="P18" s="3"/>
      <c r="Q18" s="3"/>
    </row>
    <row r="19" spans="1:17" ht="12.75">
      <c r="A19" s="194" t="s">
        <v>177</v>
      </c>
      <c r="B19" s="195">
        <v>0</v>
      </c>
      <c r="C19" s="24">
        <v>0</v>
      </c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181</v>
      </c>
      <c r="B20" s="195">
        <v>0</v>
      </c>
      <c r="C20" s="24">
        <v>0</v>
      </c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178</v>
      </c>
      <c r="B21" s="195">
        <v>0</v>
      </c>
      <c r="C21" s="24">
        <v>0</v>
      </c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3"/>
      <c r="O21" s="3"/>
      <c r="P21" s="3"/>
      <c r="Q21" s="3"/>
    </row>
    <row r="22" spans="1:17" ht="12.75">
      <c r="A22" s="194" t="s">
        <v>179</v>
      </c>
      <c r="B22" s="195">
        <v>1</v>
      </c>
      <c r="C22" s="24">
        <v>1</v>
      </c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2</v>
      </c>
      <c r="M22" s="3"/>
      <c r="N22" s="3"/>
      <c r="O22" s="3"/>
      <c r="P22" s="3"/>
      <c r="Q22" s="3"/>
    </row>
    <row r="23" spans="1:17" ht="12.75">
      <c r="A23" s="194" t="s">
        <v>180</v>
      </c>
      <c r="B23" s="195">
        <v>0</v>
      </c>
      <c r="C23" s="24">
        <v>0</v>
      </c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0</v>
      </c>
      <c r="M23" s="3"/>
      <c r="N23" s="3"/>
      <c r="O23" s="3"/>
      <c r="P23" s="3"/>
      <c r="Q23" s="3"/>
    </row>
    <row r="24" spans="1:17" ht="12.75">
      <c r="A24" s="194" t="s">
        <v>194</v>
      </c>
      <c r="B24" s="195">
        <v>0</v>
      </c>
      <c r="C24" s="24">
        <v>0</v>
      </c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3"/>
      <c r="O24" s="3"/>
      <c r="P24" s="3"/>
      <c r="Q24" s="3"/>
    </row>
    <row r="25" spans="1:17" ht="12.75">
      <c r="A25" s="217" t="s">
        <v>231</v>
      </c>
      <c r="B25" s="199">
        <v>4</v>
      </c>
      <c r="C25" s="21">
        <v>4</v>
      </c>
      <c r="D25" s="21"/>
      <c r="E25" s="21"/>
      <c r="F25" s="21"/>
      <c r="G25" s="21"/>
      <c r="H25" s="21"/>
      <c r="I25" s="121"/>
      <c r="J25" s="121"/>
      <c r="K25" s="200"/>
      <c r="L25" s="201">
        <f t="shared" si="0"/>
        <v>8</v>
      </c>
      <c r="M25" s="3"/>
      <c r="N25" s="3"/>
      <c r="O25" s="3"/>
      <c r="P25" s="3"/>
      <c r="Q25" s="3"/>
    </row>
    <row r="26" spans="1:17" ht="13.5" thickBot="1">
      <c r="A26" s="202" t="s">
        <v>202</v>
      </c>
      <c r="B26" s="203">
        <v>0</v>
      </c>
      <c r="C26" s="204">
        <v>0</v>
      </c>
      <c r="D26" s="204"/>
      <c r="E26" s="204"/>
      <c r="F26" s="204"/>
      <c r="G26" s="204"/>
      <c r="H26" s="204"/>
      <c r="I26" s="205"/>
      <c r="J26" s="205"/>
      <c r="K26" s="206"/>
      <c r="L26" s="207">
        <f t="shared" si="0"/>
        <v>0</v>
      </c>
      <c r="M26" s="3"/>
      <c r="N26" s="3"/>
      <c r="O26" s="3"/>
      <c r="P26" s="3"/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SUM(L13:L26)</f>
        <v>325</v>
      </c>
      <c r="M27" s="3"/>
      <c r="N27" s="3"/>
      <c r="O27" s="3"/>
      <c r="P27" s="3"/>
      <c r="Q27" s="3"/>
    </row>
    <row r="28" spans="1:17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10" t="s">
        <v>229</v>
      </c>
      <c r="B32" s="14">
        <f>L13</f>
        <v>152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230</v>
      </c>
      <c r="B33" s="14">
        <f>L14</f>
        <v>152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10" t="s">
        <v>63</v>
      </c>
      <c r="B34" s="209">
        <f>SUM(B32:B33)</f>
        <v>304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1" t="s">
        <v>164</v>
      </c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175</v>
      </c>
      <c r="B37" s="14">
        <f>L17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0" t="s">
        <v>178</v>
      </c>
      <c r="B38" s="14">
        <f>L21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202</v>
      </c>
      <c r="B39" s="212">
        <f>L26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10" t="s">
        <v>63</v>
      </c>
      <c r="B40" s="209">
        <f>SUM(B37:B39)</f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1" t="s">
        <v>162</v>
      </c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174</v>
      </c>
      <c r="B43" s="14">
        <f>L16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228</v>
      </c>
      <c r="B44" s="14">
        <f>L15</f>
        <v>8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179</v>
      </c>
      <c r="B45" s="14">
        <f>L22</f>
        <v>2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0" t="s">
        <v>180</v>
      </c>
      <c r="B46" s="212">
        <f>L23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10" t="s">
        <v>194</v>
      </c>
      <c r="B47" s="212">
        <f>L24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10" t="s">
        <v>63</v>
      </c>
      <c r="B48" s="209">
        <f>SUM(B43:B47)</f>
        <v>10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1" t="s">
        <v>163</v>
      </c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0" t="s">
        <v>177</v>
      </c>
      <c r="B51" s="212">
        <f>L19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181</v>
      </c>
      <c r="B52" s="212">
        <f>L20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8" t="s">
        <v>231</v>
      </c>
      <c r="B53" s="212">
        <f>L25</f>
        <v>8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SUM(B51:B53)</f>
        <v>8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11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10" t="s">
        <v>176</v>
      </c>
      <c r="B57" s="212">
        <f>L18</f>
        <v>3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10" t="s">
        <v>63</v>
      </c>
      <c r="B58" s="213">
        <f>SUM(B57:B57)</f>
        <v>3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8">
      <selection activeCell="L35" sqref="L35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33">
        <v>14.108500000000001</v>
      </c>
      <c r="D7" s="3" t="s">
        <v>2</v>
      </c>
      <c r="F7" s="2" t="s">
        <v>7</v>
      </c>
      <c r="H7" s="47">
        <v>86</v>
      </c>
      <c r="I7" s="37" t="s">
        <v>262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SUM('Gajeo Clusters m'!L13:L14)</f>
        <v>304</v>
      </c>
      <c r="I9" t="s">
        <v>271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3895</v>
      </c>
      <c r="I11" t="s">
        <v>269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'Gajeo Clusters m'!B48</f>
        <v>10</v>
      </c>
      <c r="K17" s="111">
        <f>I17/I18</f>
        <v>0.03076923076923077</v>
      </c>
      <c r="L17" s="37" t="s">
        <v>99</v>
      </c>
    </row>
    <row r="18" spans="4:9" ht="13.5" thickTop="1">
      <c r="D18" s="38" t="s">
        <v>189</v>
      </c>
      <c r="I18" s="102">
        <f>'Gajeo Clusters m'!L27</f>
        <v>325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'Gajeo Clusters m'!B54</f>
        <v>8</v>
      </c>
      <c r="K20" s="111">
        <f>I20/I21</f>
        <v>0.024615384615384615</v>
      </c>
      <c r="L20" s="37" t="s">
        <v>99</v>
      </c>
    </row>
    <row r="21" spans="4:9" ht="13.5" thickTop="1">
      <c r="D21" s="38" t="s">
        <v>189</v>
      </c>
      <c r="I21" s="104">
        <f>I18</f>
        <v>325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'Gajeo Clusters m'!B40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325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'Gajeo Clusters m'!B58</f>
        <v>3</v>
      </c>
      <c r="K26" s="111">
        <f>I26/I27</f>
        <v>0.009230769230769232</v>
      </c>
      <c r="L26" s="37" t="s">
        <v>99</v>
      </c>
    </row>
    <row r="27" spans="4:9" ht="13.5" thickTop="1">
      <c r="D27" s="38" t="s">
        <v>189</v>
      </c>
      <c r="I27" s="106">
        <f>I18</f>
        <v>325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SUM('Gajeo Clusters m'!L13:L15)*H11</f>
        <v>1215240</v>
      </c>
      <c r="K29" s="47">
        <f>I29/I30</f>
        <v>3739.2</v>
      </c>
      <c r="L29" s="37" t="s">
        <v>2</v>
      </c>
    </row>
    <row r="30" spans="4:9" ht="13.5" thickTop="1">
      <c r="D30" s="38" t="s">
        <v>91</v>
      </c>
      <c r="I30" s="110">
        <f>I18</f>
        <v>325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'Pre-pesadas'!E13</f>
        <v>+ 0.08</v>
      </c>
      <c r="L35" s="58" t="str">
        <f>'Pre-pesadas'!H13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16.365860000000005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4337.472000000001</v>
      </c>
      <c r="E40">
        <f>D40/D41-1</f>
        <v>0.027254722742598547</v>
      </c>
      <c r="F40" t="s">
        <v>99</v>
      </c>
    </row>
    <row r="41" spans="3:4" ht="12.75">
      <c r="C41" s="3" t="s">
        <v>97</v>
      </c>
      <c r="D41" s="3">
        <f>(H7*3)*E37</f>
        <v>4222.391880000001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0.03076923076923077</v>
      </c>
      <c r="C47" s="66">
        <f>K20</f>
        <v>0.024615384615384615</v>
      </c>
      <c r="D47" s="3">
        <f>K23</f>
        <v>0</v>
      </c>
      <c r="E47" s="3">
        <f>K26</f>
        <v>0.009230769230769232</v>
      </c>
      <c r="F47">
        <f>E40</f>
        <v>0.027254722742598547</v>
      </c>
    </row>
    <row r="49" spans="1:3" ht="12.75">
      <c r="A49" s="2" t="s">
        <v>52</v>
      </c>
      <c r="B49">
        <f>B47+C47+D47+E47+F47</f>
        <v>0.09187010735798316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16.365860000000005</v>
      </c>
      <c r="F54" s="66">
        <f>B49+1</f>
        <v>1.091870107357983</v>
      </c>
    </row>
    <row r="56" spans="1:5" ht="12.75">
      <c r="A56" s="2" t="s">
        <v>104</v>
      </c>
      <c r="D56">
        <f>E54*F54</f>
        <v>17.869393315205727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2.4404259198672906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1498158" r:id="rId1"/>
    <oleObject progId="Equation.3" shapeId="1498159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7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326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16</v>
      </c>
      <c r="D5" s="9"/>
      <c r="E5" s="9"/>
      <c r="F5" s="9"/>
      <c r="G5" s="10" t="s">
        <v>235</v>
      </c>
      <c r="H5" s="183">
        <v>5193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237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229</v>
      </c>
      <c r="B13" s="189">
        <v>76</v>
      </c>
      <c r="C13" s="190">
        <v>76</v>
      </c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6">SUM(B13:H13)</f>
        <v>152</v>
      </c>
      <c r="M13" s="93"/>
      <c r="N13" s="95"/>
      <c r="O13" s="93"/>
      <c r="P13" s="95"/>
      <c r="Q13" s="93"/>
    </row>
    <row r="14" spans="1:17" ht="12.75">
      <c r="A14" s="214" t="s">
        <v>230</v>
      </c>
      <c r="B14" s="215">
        <v>76</v>
      </c>
      <c r="C14" s="22">
        <v>76</v>
      </c>
      <c r="D14" s="22"/>
      <c r="E14" s="22"/>
      <c r="F14" s="22"/>
      <c r="G14" s="22"/>
      <c r="H14" s="22"/>
      <c r="I14" s="123"/>
      <c r="J14" s="123"/>
      <c r="K14" s="216"/>
      <c r="L14" s="196">
        <f t="shared" si="0"/>
        <v>152</v>
      </c>
      <c r="M14" s="93"/>
      <c r="N14" s="95"/>
      <c r="O14" s="93"/>
      <c r="P14" s="95"/>
      <c r="Q14" s="93"/>
    </row>
    <row r="15" spans="1:17" ht="12.75">
      <c r="A15" s="214" t="s">
        <v>228</v>
      </c>
      <c r="B15" s="215">
        <v>4</v>
      </c>
      <c r="C15" s="22">
        <v>4</v>
      </c>
      <c r="D15" s="22"/>
      <c r="E15" s="22"/>
      <c r="F15" s="22"/>
      <c r="G15" s="22"/>
      <c r="H15" s="22"/>
      <c r="I15" s="123"/>
      <c r="J15" s="123"/>
      <c r="K15" s="216"/>
      <c r="L15" s="196">
        <f t="shared" si="0"/>
        <v>8</v>
      </c>
      <c r="M15" s="93"/>
      <c r="N15" s="95"/>
      <c r="O15" s="93"/>
      <c r="P15" s="95"/>
      <c r="Q15" s="93"/>
    </row>
    <row r="16" spans="1:17" ht="12.75">
      <c r="A16" s="194" t="s">
        <v>174</v>
      </c>
      <c r="B16" s="195">
        <v>0</v>
      </c>
      <c r="C16" s="24">
        <v>0</v>
      </c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0</v>
      </c>
      <c r="M16" s="3"/>
      <c r="N16" s="3"/>
      <c r="O16" s="3"/>
      <c r="P16" s="3"/>
      <c r="Q16" s="3"/>
    </row>
    <row r="17" spans="1:17" ht="12.75">
      <c r="A17" s="194" t="s">
        <v>175</v>
      </c>
      <c r="B17" s="195">
        <v>0</v>
      </c>
      <c r="C17" s="24">
        <v>0</v>
      </c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176</v>
      </c>
      <c r="B18" s="195">
        <v>1</v>
      </c>
      <c r="C18" s="24">
        <v>1</v>
      </c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2</v>
      </c>
      <c r="M18" s="3"/>
      <c r="N18" s="3"/>
      <c r="O18" s="3"/>
      <c r="P18" s="3"/>
      <c r="Q18" s="3"/>
    </row>
    <row r="19" spans="1:17" ht="12.75">
      <c r="A19" s="194" t="s">
        <v>177</v>
      </c>
      <c r="B19" s="195">
        <v>0</v>
      </c>
      <c r="C19" s="24">
        <v>0</v>
      </c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181</v>
      </c>
      <c r="B20" s="195">
        <v>0</v>
      </c>
      <c r="C20" s="24">
        <v>0</v>
      </c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178</v>
      </c>
      <c r="B21" s="195">
        <v>0</v>
      </c>
      <c r="C21" s="24">
        <v>0</v>
      </c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3"/>
      <c r="O21" s="3"/>
      <c r="P21" s="3"/>
      <c r="Q21" s="3"/>
    </row>
    <row r="22" spans="1:17" ht="12.75">
      <c r="A22" s="194" t="s">
        <v>179</v>
      </c>
      <c r="B22" s="195">
        <v>2</v>
      </c>
      <c r="C22" s="24">
        <v>1</v>
      </c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3</v>
      </c>
      <c r="M22" s="3"/>
      <c r="N22" s="3"/>
      <c r="O22" s="3"/>
      <c r="P22" s="3"/>
      <c r="Q22" s="3"/>
    </row>
    <row r="23" spans="1:17" ht="12.75">
      <c r="A23" s="194" t="s">
        <v>180</v>
      </c>
      <c r="B23" s="195">
        <v>0</v>
      </c>
      <c r="C23" s="24">
        <v>0</v>
      </c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0</v>
      </c>
      <c r="M23" s="3"/>
      <c r="N23" s="3"/>
      <c r="O23" s="3"/>
      <c r="P23" s="3"/>
      <c r="Q23" s="3"/>
    </row>
    <row r="24" spans="1:17" ht="12.75">
      <c r="A24" s="194" t="s">
        <v>194</v>
      </c>
      <c r="B24" s="195">
        <v>0</v>
      </c>
      <c r="C24" s="24">
        <v>0</v>
      </c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3"/>
      <c r="O24" s="3"/>
      <c r="P24" s="3"/>
      <c r="Q24" s="3"/>
    </row>
    <row r="25" spans="1:17" ht="12.75">
      <c r="A25" s="217" t="s">
        <v>231</v>
      </c>
      <c r="B25" s="199">
        <v>4</v>
      </c>
      <c r="C25" s="21">
        <v>4</v>
      </c>
      <c r="D25" s="21"/>
      <c r="E25" s="21"/>
      <c r="F25" s="21"/>
      <c r="G25" s="21"/>
      <c r="H25" s="21"/>
      <c r="I25" s="121"/>
      <c r="J25" s="121"/>
      <c r="K25" s="200"/>
      <c r="L25" s="201">
        <f t="shared" si="0"/>
        <v>8</v>
      </c>
      <c r="M25" s="3"/>
      <c r="N25" s="3"/>
      <c r="O25" s="3"/>
      <c r="P25" s="3"/>
      <c r="Q25" s="3"/>
    </row>
    <row r="26" spans="1:17" ht="13.5" thickBot="1">
      <c r="A26" s="202" t="s">
        <v>202</v>
      </c>
      <c r="B26" s="203">
        <v>0</v>
      </c>
      <c r="C26" s="204">
        <v>0</v>
      </c>
      <c r="D26" s="204"/>
      <c r="E26" s="204"/>
      <c r="F26" s="204"/>
      <c r="G26" s="204"/>
      <c r="H26" s="204"/>
      <c r="I26" s="205"/>
      <c r="J26" s="205"/>
      <c r="K26" s="206"/>
      <c r="L26" s="207">
        <f t="shared" si="0"/>
        <v>0</v>
      </c>
      <c r="M26" s="3"/>
      <c r="N26" s="3"/>
      <c r="O26" s="3"/>
      <c r="P26" s="3"/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SUM(L13:L26)</f>
        <v>325</v>
      </c>
      <c r="M27" s="3"/>
      <c r="N27" s="3"/>
      <c r="O27" s="3"/>
      <c r="P27" s="3"/>
      <c r="Q27" s="3"/>
    </row>
    <row r="28" spans="1:17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10" t="s">
        <v>229</v>
      </c>
      <c r="B32" s="14">
        <f>L13</f>
        <v>152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230</v>
      </c>
      <c r="B33" s="14">
        <f>L14</f>
        <v>152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10" t="s">
        <v>63</v>
      </c>
      <c r="B34" s="209">
        <f>SUM(B32)</f>
        <v>152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1" t="s">
        <v>164</v>
      </c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175</v>
      </c>
      <c r="B37" s="14">
        <f>L17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0" t="s">
        <v>178</v>
      </c>
      <c r="B38" s="14">
        <f>L21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202</v>
      </c>
      <c r="B39" s="212">
        <f>L26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10" t="s">
        <v>63</v>
      </c>
      <c r="B40" s="209">
        <f>SUM(B37:B39)</f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1" t="s">
        <v>162</v>
      </c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174</v>
      </c>
      <c r="B43" s="14">
        <f>L16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228</v>
      </c>
      <c r="B44" s="14">
        <f>L15</f>
        <v>8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179</v>
      </c>
      <c r="B45" s="14">
        <f>L22</f>
        <v>3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0" t="s">
        <v>180</v>
      </c>
      <c r="B46" s="212">
        <f>L23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10" t="s">
        <v>194</v>
      </c>
      <c r="B47" s="212">
        <f>L24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10" t="s">
        <v>63</v>
      </c>
      <c r="B48" s="209">
        <f>SUM(B43:B47)</f>
        <v>11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1" t="s">
        <v>163</v>
      </c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0" t="s">
        <v>177</v>
      </c>
      <c r="B51" s="212">
        <f>L19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181</v>
      </c>
      <c r="B52" s="212">
        <f>L20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8" t="s">
        <v>231</v>
      </c>
      <c r="B53" s="212">
        <f>L25</f>
        <v>8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SUM(B51:B53)</f>
        <v>8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11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10" t="s">
        <v>176</v>
      </c>
      <c r="B57" s="212">
        <f>L18</f>
        <v>2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10" t="s">
        <v>63</v>
      </c>
      <c r="B58" s="213">
        <f>SUM(B57:B57)</f>
        <v>2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6">
      <selection activeCell="A3" sqref="A3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33">
        <v>18.487</v>
      </c>
      <c r="D7" s="3" t="s">
        <v>2</v>
      </c>
      <c r="F7" s="2" t="s">
        <v>7</v>
      </c>
      <c r="H7" s="47">
        <v>87</v>
      </c>
      <c r="I7" s="37" t="s">
        <v>262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SUM('Gajeo Clusters g'!L13:L14)</f>
        <v>304</v>
      </c>
      <c r="I9" t="s">
        <v>271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5193</v>
      </c>
      <c r="I11" t="s">
        <v>269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'Gajeo Clusters g'!B48</f>
        <v>11</v>
      </c>
      <c r="K17" s="111">
        <f>I17/I18</f>
        <v>0.033846153846153845</v>
      </c>
      <c r="L17" s="37" t="s">
        <v>99</v>
      </c>
    </row>
    <row r="18" spans="4:9" ht="13.5" thickTop="1">
      <c r="D18" s="38" t="s">
        <v>189</v>
      </c>
      <c r="I18" s="102">
        <f>'Gajeo Clusters g'!L27</f>
        <v>325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'Gajeo Clusters g'!B54</f>
        <v>8</v>
      </c>
      <c r="K20" s="111">
        <f>I20/I21</f>
        <v>0.024615384615384615</v>
      </c>
      <c r="L20" s="37" t="s">
        <v>99</v>
      </c>
    </row>
    <row r="21" spans="4:9" ht="13.5" thickTop="1">
      <c r="D21" s="38" t="s">
        <v>189</v>
      </c>
      <c r="I21" s="104">
        <f>I18</f>
        <v>325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'Gajeo Clusters g'!B40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325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'Gajeo Clusters g'!B58</f>
        <v>2</v>
      </c>
      <c r="K26" s="111">
        <f>I26/I27</f>
        <v>0.006153846153846154</v>
      </c>
      <c r="L26" s="37" t="s">
        <v>99</v>
      </c>
    </row>
    <row r="27" spans="4:9" ht="13.5" thickTop="1">
      <c r="D27" s="38" t="s">
        <v>189</v>
      </c>
      <c r="I27" s="106">
        <f>I18</f>
        <v>325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SUM('Gajeo Clusters g'!L13:L15)*H11</f>
        <v>1620216</v>
      </c>
      <c r="K29" s="47">
        <f>I29/I30</f>
        <v>4985.28</v>
      </c>
      <c r="L29" s="37" t="s">
        <v>2</v>
      </c>
    </row>
    <row r="30" spans="4:9" ht="13.5" thickTop="1">
      <c r="D30" s="38" t="s">
        <v>91</v>
      </c>
      <c r="I30" s="110">
        <f>I18</f>
        <v>325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'Pre-pesadas'!E14</f>
        <v>+ 0.08</v>
      </c>
      <c r="L35" s="58" t="str">
        <f>'Pre-pesadas'!H14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21.44492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5782.924800000001</v>
      </c>
      <c r="E40">
        <f>D40/D41-1</f>
        <v>0.0331957405296921</v>
      </c>
      <c r="F40" t="s">
        <v>99</v>
      </c>
    </row>
    <row r="41" spans="3:4" ht="12.75">
      <c r="C41" s="3" t="s">
        <v>97</v>
      </c>
      <c r="D41" s="3">
        <f>(H7*3)*E37</f>
        <v>5597.1241199999995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0.033846153846153845</v>
      </c>
      <c r="C47" s="66">
        <f>K20</f>
        <v>0.024615384615384615</v>
      </c>
      <c r="D47" s="3">
        <f>K23</f>
        <v>0</v>
      </c>
      <c r="E47" s="3">
        <f>K26</f>
        <v>0.006153846153846154</v>
      </c>
      <c r="F47">
        <f>E40</f>
        <v>0.0331957405296921</v>
      </c>
    </row>
    <row r="49" spans="1:3" ht="12.75">
      <c r="A49" s="2" t="s">
        <v>52</v>
      </c>
      <c r="B49">
        <f>B47+C47+D47+E47+F47</f>
        <v>0.09781112514507671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21.44492</v>
      </c>
      <c r="F54" s="66">
        <f>B49+1</f>
        <v>1.0978111251450766</v>
      </c>
    </row>
    <row r="56" spans="1:5" ht="12.75">
      <c r="A56" s="2" t="s">
        <v>104</v>
      </c>
      <c r="D56">
        <f>E54*F54</f>
        <v>23.542471753846158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2.4545734350233728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223526" r:id="rId1"/>
    <oleObject progId="Equation.3" shapeId="223527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327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6</v>
      </c>
      <c r="D5" s="9"/>
      <c r="E5" s="9"/>
      <c r="F5" s="9"/>
      <c r="G5" s="10" t="s">
        <v>235</v>
      </c>
      <c r="H5" s="183">
        <v>2236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173</v>
      </c>
      <c r="B13" s="190">
        <v>350</v>
      </c>
      <c r="C13" s="190"/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6">SUM(B13:D13)</f>
        <v>350</v>
      </c>
      <c r="M13" s="93"/>
      <c r="N13" s="95"/>
      <c r="Q13" s="93"/>
    </row>
    <row r="14" spans="1:17" ht="12.75">
      <c r="A14" s="194" t="s">
        <v>190</v>
      </c>
      <c r="B14" s="24">
        <v>15</v>
      </c>
      <c r="C14" s="24"/>
      <c r="D14" s="24"/>
      <c r="E14" s="24"/>
      <c r="F14" s="24"/>
      <c r="G14" s="24"/>
      <c r="H14" s="24"/>
      <c r="I14" s="131"/>
      <c r="J14" s="131"/>
      <c r="K14" s="137"/>
      <c r="L14" s="196">
        <f t="shared" si="0"/>
        <v>15</v>
      </c>
      <c r="M14" s="3"/>
      <c r="N14" s="3"/>
      <c r="Q14" s="3"/>
    </row>
    <row r="15" spans="1:17" ht="12.75">
      <c r="A15" s="194" t="s">
        <v>175</v>
      </c>
      <c r="B15" s="24">
        <v>0</v>
      </c>
      <c r="C15" s="24"/>
      <c r="D15" s="24"/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Q15" s="3"/>
    </row>
    <row r="16" spans="1:17" ht="12.75">
      <c r="A16" s="194" t="s">
        <v>191</v>
      </c>
      <c r="B16" s="24">
        <v>1</v>
      </c>
      <c r="C16" s="24"/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1</v>
      </c>
      <c r="M16" s="3"/>
      <c r="N16" s="3"/>
      <c r="Q16" s="3"/>
    </row>
    <row r="17" spans="1:17" ht="12.75">
      <c r="A17" s="194" t="s">
        <v>176</v>
      </c>
      <c r="B17" s="24">
        <v>0</v>
      </c>
      <c r="C17" s="24"/>
      <c r="D17" s="24"/>
      <c r="E17" s="24"/>
      <c r="F17" s="24"/>
      <c r="G17" s="24"/>
      <c r="H17" s="24"/>
      <c r="I17" s="131"/>
      <c r="J17" s="131"/>
      <c r="K17" s="137"/>
      <c r="L17" s="197">
        <f t="shared" si="0"/>
        <v>0</v>
      </c>
      <c r="M17" s="3"/>
      <c r="N17" s="3"/>
      <c r="Q17" s="3"/>
    </row>
    <row r="18" spans="1:17" ht="12.75">
      <c r="A18" s="194" t="s">
        <v>177</v>
      </c>
      <c r="B18" s="24">
        <v>1</v>
      </c>
      <c r="C18" s="24"/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1</v>
      </c>
      <c r="M18" s="3"/>
      <c r="N18" s="3"/>
      <c r="Q18" s="3"/>
    </row>
    <row r="19" spans="1:17" ht="12.75">
      <c r="A19" s="194" t="s">
        <v>192</v>
      </c>
      <c r="B19" s="24">
        <v>2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2</v>
      </c>
      <c r="M19" s="3"/>
      <c r="N19" s="3"/>
      <c r="Q19" s="3"/>
    </row>
    <row r="20" spans="1:17" ht="12.75">
      <c r="A20" s="194" t="s">
        <v>193</v>
      </c>
      <c r="B20" s="24">
        <v>4</v>
      </c>
      <c r="C20" s="24"/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4</v>
      </c>
      <c r="M20" s="3"/>
      <c r="N20" s="3"/>
      <c r="Q20" s="3"/>
    </row>
    <row r="21" spans="1:17" ht="12.75">
      <c r="A21" s="194" t="s">
        <v>178</v>
      </c>
      <c r="B21" s="24">
        <v>0</v>
      </c>
      <c r="C21" s="24"/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3"/>
      <c r="Q21" s="3"/>
    </row>
    <row r="22" spans="1:17" ht="12.75">
      <c r="A22" s="194" t="s">
        <v>179</v>
      </c>
      <c r="B22" s="24">
        <v>0</v>
      </c>
      <c r="C22" s="24"/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0</v>
      </c>
      <c r="M22" s="3"/>
      <c r="N22" s="3"/>
      <c r="Q22" s="3"/>
    </row>
    <row r="23" spans="1:17" ht="12.75">
      <c r="A23" s="194" t="s">
        <v>180</v>
      </c>
      <c r="B23" s="24">
        <v>0</v>
      </c>
      <c r="C23" s="24"/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0</v>
      </c>
      <c r="M23" s="3"/>
      <c r="N23" s="3"/>
      <c r="Q23" s="3"/>
    </row>
    <row r="24" spans="1:17" ht="12.75">
      <c r="A24" s="194" t="s">
        <v>194</v>
      </c>
      <c r="B24" s="24">
        <v>0</v>
      </c>
      <c r="C24" s="24"/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3"/>
      <c r="Q24" s="3"/>
    </row>
    <row r="25" spans="1:17" ht="12.75">
      <c r="A25" s="198" t="s">
        <v>182</v>
      </c>
      <c r="B25" s="21">
        <v>0</v>
      </c>
      <c r="C25" s="21"/>
      <c r="D25" s="21"/>
      <c r="E25" s="21"/>
      <c r="F25" s="21"/>
      <c r="G25" s="21"/>
      <c r="H25" s="21"/>
      <c r="I25" s="121"/>
      <c r="J25" s="121"/>
      <c r="K25" s="200"/>
      <c r="L25" s="201">
        <f t="shared" si="0"/>
        <v>0</v>
      </c>
      <c r="M25" s="3"/>
      <c r="N25" s="3"/>
      <c r="Q25" s="3"/>
    </row>
    <row r="26" spans="1:17" ht="13.5" thickBot="1">
      <c r="A26" s="202" t="s">
        <v>202</v>
      </c>
      <c r="B26" s="204">
        <v>0</v>
      </c>
      <c r="C26" s="204"/>
      <c r="D26" s="204"/>
      <c r="E26" s="204"/>
      <c r="F26" s="204"/>
      <c r="G26" s="204"/>
      <c r="H26" s="204"/>
      <c r="I26" s="205"/>
      <c r="J26" s="205"/>
      <c r="K26" s="206"/>
      <c r="L26" s="207">
        <f t="shared" si="0"/>
        <v>0</v>
      </c>
      <c r="M26" s="3"/>
      <c r="N26" s="3"/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SUM(L13:L26)</f>
        <v>373</v>
      </c>
      <c r="M27" s="3"/>
      <c r="N27" s="3"/>
      <c r="O27" s="3"/>
      <c r="P27" s="3"/>
      <c r="Q27" s="3"/>
    </row>
    <row r="28" spans="1:17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233</v>
      </c>
      <c r="B32" s="14">
        <f>L13</f>
        <v>350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63</v>
      </c>
      <c r="B33" s="209">
        <f>SUM(B32)</f>
        <v>350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1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175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178</v>
      </c>
      <c r="B37" s="14">
        <f>L21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202</v>
      </c>
      <c r="B38" s="212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63</v>
      </c>
      <c r="B39" s="209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0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1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190</v>
      </c>
      <c r="B42" s="14">
        <f>L14</f>
        <v>15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179</v>
      </c>
      <c r="B43" s="14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180</v>
      </c>
      <c r="B44" s="212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194</v>
      </c>
      <c r="B45" s="212">
        <f>L24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10" t="s">
        <v>195</v>
      </c>
      <c r="B46" s="212">
        <f>L19</f>
        <v>2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10" t="s">
        <v>63</v>
      </c>
      <c r="B47" s="209">
        <f>SUM(B42:B46)</f>
        <v>17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11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0" t="s">
        <v>177</v>
      </c>
      <c r="B50" s="212">
        <f>L18</f>
        <v>1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0" t="s">
        <v>193</v>
      </c>
      <c r="B51" s="212">
        <f>L20</f>
        <v>4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191</v>
      </c>
      <c r="B52" s="212">
        <f>L16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0" t="s">
        <v>182</v>
      </c>
      <c r="B53" s="212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SUM(B50:B53)</f>
        <v>6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11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10" t="s">
        <v>176</v>
      </c>
      <c r="B57" s="212">
        <f>L17</f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10" t="s">
        <v>63</v>
      </c>
      <c r="B58" s="213">
        <f>SUM(B57:B57)</f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Q92"/>
  <sheetViews>
    <sheetView zoomScale="200" zoomScaleNormal="200" workbookViewId="0" topLeftCell="A40">
      <selection activeCell="L35" sqref="L35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6.672400000000002</v>
      </c>
      <c r="D7" s="3" t="s">
        <v>2</v>
      </c>
      <c r="F7" s="2" t="s">
        <v>7</v>
      </c>
      <c r="H7" s="47">
        <v>280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'Llenado platos p'!L13</f>
        <v>350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2236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'Llenado platos p'!B47</f>
        <v>17</v>
      </c>
      <c r="K17" s="111">
        <f>I17/I18</f>
        <v>0.045576407506702415</v>
      </c>
      <c r="L17" s="37" t="s">
        <v>99</v>
      </c>
    </row>
    <row r="18" spans="4:9" ht="13.5" thickTop="1">
      <c r="D18" s="38" t="s">
        <v>189</v>
      </c>
      <c r="I18" s="102">
        <f>'Llenado platos p'!L27</f>
        <v>373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'Llenado platos p'!B54</f>
        <v>6</v>
      </c>
      <c r="K20" s="111">
        <f>I20/I21</f>
        <v>0.0160857908847185</v>
      </c>
      <c r="L20" s="37" t="s">
        <v>99</v>
      </c>
    </row>
    <row r="21" spans="4:9" ht="13.5" thickTop="1">
      <c r="D21" s="38" t="s">
        <v>189</v>
      </c>
      <c r="I21" s="104">
        <f>I18</f>
        <v>373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'Llenado platos p'!B39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373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'Llenado platos p'!B58</f>
        <v>0</v>
      </c>
      <c r="K26" s="111">
        <f>I26/I27</f>
        <v>0</v>
      </c>
      <c r="L26" s="37" t="s">
        <v>99</v>
      </c>
    </row>
    <row r="27" spans="4:9" ht="13.5" thickTop="1">
      <c r="D27" s="38" t="s">
        <v>189</v>
      </c>
      <c r="I27" s="106">
        <f>I18</f>
        <v>373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'Llenado platos p'!L13*H11</f>
        <v>782600</v>
      </c>
      <c r="K29" s="47">
        <f>I29/I30</f>
        <v>2098.1233243967827</v>
      </c>
      <c r="L29" s="37" t="s">
        <v>2</v>
      </c>
    </row>
    <row r="30" spans="4:9" ht="13.5" thickTop="1">
      <c r="D30" s="38" t="s">
        <v>91</v>
      </c>
      <c r="I30" s="110">
        <f>I18</f>
        <v>373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'Pre-pesadas'!E15</f>
        <v>+ 0.06</v>
      </c>
      <c r="L35" s="58" t="str">
        <f>'Pre-pesadas'!H15</f>
        <v>+ 0.05</v>
      </c>
      <c r="N35" s="56">
        <f>J35+K35+L35</f>
        <v>1.11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7.4063640000000035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2328.916890080429</v>
      </c>
      <c r="E40">
        <f>D40/D41-1</f>
        <v>0.12302883327308978</v>
      </c>
      <c r="F40" t="s">
        <v>99</v>
      </c>
    </row>
    <row r="41" spans="3:4" ht="12.75">
      <c r="C41" s="3" t="s">
        <v>97</v>
      </c>
      <c r="D41" s="3">
        <f>H7*E37</f>
        <v>2073.781920000001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0.045576407506702415</v>
      </c>
      <c r="C47" s="66">
        <f>K20</f>
        <v>0.0160857908847185</v>
      </c>
      <c r="D47" s="3">
        <f>K23</f>
        <v>0</v>
      </c>
      <c r="E47" s="3">
        <f>K26</f>
        <v>0</v>
      </c>
      <c r="F47">
        <f>E40</f>
        <v>0.12302883327308978</v>
      </c>
    </row>
    <row r="49" spans="1:3" ht="12.75">
      <c r="A49" s="2" t="s">
        <v>52</v>
      </c>
      <c r="B49">
        <f>B47+C47+D47+E47+F47</f>
        <v>0.18469103166451067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7.4063640000000035</v>
      </c>
      <c r="F54" s="66">
        <f>B49+1</f>
        <v>1.1846910316645107</v>
      </c>
    </row>
    <row r="56" spans="1:5" ht="12.75">
      <c r="A56" s="2" t="s">
        <v>104</v>
      </c>
      <c r="D56">
        <f>E54*F54</f>
        <v>8.774253008042896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3.82473154987006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  <row r="78" spans="1:12" ht="12.75">
      <c r="A78" t="s">
        <v>208</v>
      </c>
      <c r="B78">
        <v>212</v>
      </c>
      <c r="C78">
        <v>62</v>
      </c>
      <c r="D78">
        <v>57</v>
      </c>
      <c r="E78">
        <v>22</v>
      </c>
      <c r="F78">
        <v>27</v>
      </c>
      <c r="G78">
        <v>38</v>
      </c>
      <c r="H78">
        <v>58</v>
      </c>
      <c r="I78">
        <v>20</v>
      </c>
      <c r="J78">
        <v>26</v>
      </c>
      <c r="K78">
        <v>102</v>
      </c>
      <c r="L78">
        <f aca="true" t="shared" si="0" ref="L78:L83">SUM(B78:K78)</f>
        <v>624</v>
      </c>
    </row>
    <row r="79" spans="1:12" ht="12.75">
      <c r="A79" t="s">
        <v>209</v>
      </c>
      <c r="B79">
        <v>114</v>
      </c>
      <c r="C79">
        <v>33</v>
      </c>
      <c r="D79">
        <v>31</v>
      </c>
      <c r="E79">
        <v>12</v>
      </c>
      <c r="F79">
        <v>15</v>
      </c>
      <c r="G79">
        <v>20</v>
      </c>
      <c r="H79">
        <v>31</v>
      </c>
      <c r="I79">
        <v>11</v>
      </c>
      <c r="J79">
        <v>14</v>
      </c>
      <c r="K79">
        <v>55</v>
      </c>
      <c r="L79">
        <f t="shared" si="0"/>
        <v>336</v>
      </c>
    </row>
    <row r="80" spans="1:12" ht="12.75">
      <c r="A80" t="s">
        <v>210</v>
      </c>
      <c r="B80">
        <v>65</v>
      </c>
      <c r="C80">
        <v>19</v>
      </c>
      <c r="D80">
        <v>18</v>
      </c>
      <c r="E80">
        <v>7</v>
      </c>
      <c r="F80">
        <v>8</v>
      </c>
      <c r="G80">
        <v>12</v>
      </c>
      <c r="H80">
        <v>18</v>
      </c>
      <c r="I80">
        <v>6</v>
      </c>
      <c r="J80">
        <v>8</v>
      </c>
      <c r="K80">
        <v>31</v>
      </c>
      <c r="L80">
        <f t="shared" si="0"/>
        <v>192</v>
      </c>
    </row>
    <row r="81" spans="1:12" ht="12.75">
      <c r="A81" t="s">
        <v>211</v>
      </c>
      <c r="B81">
        <v>10</v>
      </c>
      <c r="C81">
        <v>3</v>
      </c>
      <c r="D81">
        <v>3</v>
      </c>
      <c r="E81">
        <v>1</v>
      </c>
      <c r="F81">
        <v>1</v>
      </c>
      <c r="G81">
        <v>2</v>
      </c>
      <c r="H81">
        <v>3</v>
      </c>
      <c r="I81">
        <v>1</v>
      </c>
      <c r="J81">
        <v>1</v>
      </c>
      <c r="K81">
        <v>5</v>
      </c>
      <c r="L81">
        <f t="shared" si="0"/>
        <v>30</v>
      </c>
    </row>
    <row r="82" spans="1:12" ht="12.75">
      <c r="A82" t="s">
        <v>212</v>
      </c>
      <c r="B82">
        <v>6</v>
      </c>
      <c r="C82">
        <v>2</v>
      </c>
      <c r="D82">
        <v>2</v>
      </c>
      <c r="E82">
        <v>1</v>
      </c>
      <c r="F82">
        <v>1</v>
      </c>
      <c r="G82">
        <v>1</v>
      </c>
      <c r="H82">
        <v>2</v>
      </c>
      <c r="I82">
        <v>1</v>
      </c>
      <c r="J82">
        <v>1</v>
      </c>
      <c r="K82">
        <v>3</v>
      </c>
      <c r="L82">
        <f t="shared" si="0"/>
        <v>20</v>
      </c>
    </row>
    <row r="83" spans="1:14" ht="12.75">
      <c r="A83" t="s">
        <v>213</v>
      </c>
      <c r="B83">
        <v>326</v>
      </c>
      <c r="C83">
        <v>95</v>
      </c>
      <c r="D83">
        <v>88</v>
      </c>
      <c r="E83">
        <v>34</v>
      </c>
      <c r="F83">
        <v>42</v>
      </c>
      <c r="G83">
        <v>58</v>
      </c>
      <c r="H83">
        <v>90</v>
      </c>
      <c r="I83">
        <v>30</v>
      </c>
      <c r="J83">
        <v>40</v>
      </c>
      <c r="K83">
        <v>157</v>
      </c>
      <c r="L83">
        <f t="shared" si="0"/>
        <v>960</v>
      </c>
      <c r="N83">
        <f>L78+L79+L80+L83</f>
        <v>2112</v>
      </c>
    </row>
    <row r="85" spans="15:16" ht="12.75">
      <c r="O85" s="112">
        <v>0.3055555555555555</v>
      </c>
      <c r="P85" s="112">
        <v>0.75</v>
      </c>
    </row>
    <row r="87" ht="12.75">
      <c r="P87" s="112">
        <f>P85-O85</f>
        <v>0.4444444444444445</v>
      </c>
    </row>
    <row r="89" spans="15:17" ht="12.75">
      <c r="O89">
        <f>N83/P89</f>
        <v>198</v>
      </c>
      <c r="P89">
        <f>40/60+10</f>
        <v>10.666666666666666</v>
      </c>
      <c r="Q89">
        <v>2112</v>
      </c>
    </row>
    <row r="90" ht="12.75">
      <c r="P90">
        <v>0.45</v>
      </c>
    </row>
    <row r="92" ht="12.75">
      <c r="P92">
        <f>P90*Q89/P89</f>
        <v>89.10000000000001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46668" r:id="rId1"/>
    <oleObject progId="Equation.3" shapeId="646670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328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6</v>
      </c>
      <c r="D5" s="9"/>
      <c r="E5" s="9"/>
      <c r="F5" s="9"/>
      <c r="G5" s="10" t="s">
        <v>235</v>
      </c>
      <c r="H5" s="183">
        <v>2236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173</v>
      </c>
      <c r="B13" s="189">
        <v>356</v>
      </c>
      <c r="C13" s="190"/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6">SUM(B13:D13)</f>
        <v>356</v>
      </c>
      <c r="M13" s="93"/>
      <c r="N13" s="95"/>
      <c r="O13" s="98">
        <v>45</v>
      </c>
      <c r="P13" s="96">
        <v>45</v>
      </c>
      <c r="Q13" s="93"/>
    </row>
    <row r="14" spans="1:17" ht="12.75">
      <c r="A14" s="194" t="s">
        <v>190</v>
      </c>
      <c r="B14" s="195">
        <v>15</v>
      </c>
      <c r="C14" s="24"/>
      <c r="D14" s="24"/>
      <c r="E14" s="24"/>
      <c r="F14" s="24"/>
      <c r="G14" s="24"/>
      <c r="H14" s="24"/>
      <c r="I14" s="131"/>
      <c r="J14" s="131"/>
      <c r="K14" s="137"/>
      <c r="L14" s="196">
        <f t="shared" si="0"/>
        <v>15</v>
      </c>
      <c r="M14" s="3"/>
      <c r="N14" s="3"/>
      <c r="O14" s="99">
        <v>6</v>
      </c>
      <c r="P14" s="94">
        <v>0</v>
      </c>
      <c r="Q14" s="3"/>
    </row>
    <row r="15" spans="1:17" ht="12.75">
      <c r="A15" s="194" t="s">
        <v>175</v>
      </c>
      <c r="B15" s="195">
        <v>0</v>
      </c>
      <c r="C15" s="24"/>
      <c r="D15" s="24"/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O15" s="99">
        <v>0</v>
      </c>
      <c r="P15" s="94">
        <v>0</v>
      </c>
      <c r="Q15" s="3"/>
    </row>
    <row r="16" spans="1:17" ht="12.75">
      <c r="A16" s="194" t="s">
        <v>191</v>
      </c>
      <c r="B16" s="195">
        <v>1</v>
      </c>
      <c r="C16" s="24"/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1</v>
      </c>
      <c r="M16" s="3"/>
      <c r="N16" s="3"/>
      <c r="O16" s="99">
        <v>1</v>
      </c>
      <c r="P16" s="94">
        <v>2</v>
      </c>
      <c r="Q16" s="3"/>
    </row>
    <row r="17" spans="1:17" ht="12.75">
      <c r="A17" s="194" t="s">
        <v>176</v>
      </c>
      <c r="B17" s="195">
        <v>0</v>
      </c>
      <c r="C17" s="24"/>
      <c r="D17" s="24"/>
      <c r="E17" s="24"/>
      <c r="F17" s="24"/>
      <c r="G17" s="24"/>
      <c r="H17" s="24"/>
      <c r="I17" s="131"/>
      <c r="J17" s="131"/>
      <c r="K17" s="137"/>
      <c r="L17" s="197">
        <f t="shared" si="0"/>
        <v>0</v>
      </c>
      <c r="M17" s="3"/>
      <c r="N17" s="3"/>
      <c r="O17" s="99">
        <v>0</v>
      </c>
      <c r="P17" s="94">
        <v>0</v>
      </c>
      <c r="Q17" s="3"/>
    </row>
    <row r="18" spans="1:17" ht="12.75">
      <c r="A18" s="194" t="s">
        <v>177</v>
      </c>
      <c r="B18" s="195">
        <v>1</v>
      </c>
      <c r="C18" s="24"/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1</v>
      </c>
      <c r="M18" s="3"/>
      <c r="N18" s="3"/>
      <c r="O18" s="99">
        <v>2</v>
      </c>
      <c r="P18" s="94">
        <v>1</v>
      </c>
      <c r="Q18" s="3"/>
    </row>
    <row r="19" spans="1:17" ht="12.75">
      <c r="A19" s="194" t="s">
        <v>192</v>
      </c>
      <c r="B19" s="195">
        <v>0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0</v>
      </c>
      <c r="M19" s="3"/>
      <c r="N19" s="3"/>
      <c r="O19" s="99">
        <v>0</v>
      </c>
      <c r="P19" s="94">
        <v>0</v>
      </c>
      <c r="Q19" s="3"/>
    </row>
    <row r="20" spans="1:17" ht="12.75">
      <c r="A20" s="194" t="s">
        <v>193</v>
      </c>
      <c r="B20" s="195">
        <v>0</v>
      </c>
      <c r="C20" s="24"/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99">
        <v>0</v>
      </c>
      <c r="P20" s="94">
        <v>0</v>
      </c>
      <c r="Q20" s="3"/>
    </row>
    <row r="21" spans="1:17" ht="12.75">
      <c r="A21" s="194" t="s">
        <v>178</v>
      </c>
      <c r="B21" s="195">
        <v>0</v>
      </c>
      <c r="C21" s="24"/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3"/>
      <c r="O21" s="99">
        <v>3</v>
      </c>
      <c r="P21" s="94">
        <v>0</v>
      </c>
      <c r="Q21" s="3"/>
    </row>
    <row r="22" spans="1:17" ht="12.75">
      <c r="A22" s="194" t="s">
        <v>179</v>
      </c>
      <c r="B22" s="195">
        <v>0</v>
      </c>
      <c r="C22" s="24"/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0</v>
      </c>
      <c r="M22" s="3"/>
      <c r="N22" s="3"/>
      <c r="O22" s="99">
        <v>0</v>
      </c>
      <c r="P22" s="94">
        <v>0</v>
      </c>
      <c r="Q22" s="3"/>
    </row>
    <row r="23" spans="1:17" ht="12.75">
      <c r="A23" s="194" t="s">
        <v>180</v>
      </c>
      <c r="B23" s="195">
        <v>0</v>
      </c>
      <c r="C23" s="24"/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0</v>
      </c>
      <c r="M23" s="3"/>
      <c r="N23" s="3"/>
      <c r="O23" s="99">
        <v>0</v>
      </c>
      <c r="P23" s="94">
        <v>0</v>
      </c>
      <c r="Q23" s="3"/>
    </row>
    <row r="24" spans="1:17" ht="12.75">
      <c r="A24" s="194" t="s">
        <v>194</v>
      </c>
      <c r="B24" s="195">
        <v>0</v>
      </c>
      <c r="C24" s="24"/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3"/>
      <c r="O24" s="99">
        <v>0</v>
      </c>
      <c r="P24" s="94">
        <v>0</v>
      </c>
      <c r="Q24" s="3"/>
    </row>
    <row r="25" spans="1:17" ht="12.75">
      <c r="A25" s="198" t="s">
        <v>182</v>
      </c>
      <c r="B25" s="199">
        <v>0</v>
      </c>
      <c r="C25" s="21"/>
      <c r="D25" s="21"/>
      <c r="E25" s="21"/>
      <c r="F25" s="21"/>
      <c r="G25" s="21"/>
      <c r="H25" s="21"/>
      <c r="I25" s="121"/>
      <c r="J25" s="121"/>
      <c r="K25" s="200"/>
      <c r="L25" s="201">
        <f t="shared" si="0"/>
        <v>0</v>
      </c>
      <c r="M25" s="3"/>
      <c r="N25" s="3"/>
      <c r="O25" s="113">
        <v>0</v>
      </c>
      <c r="P25" s="114">
        <v>0</v>
      </c>
      <c r="Q25" s="3"/>
    </row>
    <row r="26" spans="1:17" ht="13.5" thickBot="1">
      <c r="A26" s="202" t="s">
        <v>202</v>
      </c>
      <c r="B26" s="203">
        <v>0</v>
      </c>
      <c r="C26" s="204"/>
      <c r="D26" s="204"/>
      <c r="E26" s="204"/>
      <c r="F26" s="204"/>
      <c r="G26" s="204"/>
      <c r="H26" s="204"/>
      <c r="I26" s="205"/>
      <c r="J26" s="205"/>
      <c r="K26" s="206"/>
      <c r="L26" s="207">
        <f t="shared" si="0"/>
        <v>0</v>
      </c>
      <c r="M26" s="3"/>
      <c r="N26" s="3"/>
      <c r="O26" s="100">
        <v>0</v>
      </c>
      <c r="P26" s="97">
        <v>0</v>
      </c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SUM(L13:L26)</f>
        <v>373</v>
      </c>
      <c r="M27" s="3"/>
      <c r="N27" s="3"/>
      <c r="O27" s="3"/>
      <c r="P27" s="3"/>
      <c r="Q27" s="3"/>
    </row>
    <row r="28" spans="1:17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233</v>
      </c>
      <c r="B32" s="14">
        <f>L13</f>
        <v>356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63</v>
      </c>
      <c r="B33" s="209">
        <f>SUM(B32)</f>
        <v>356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1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175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178</v>
      </c>
      <c r="B37" s="14">
        <f>L21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202</v>
      </c>
      <c r="B38" s="212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63</v>
      </c>
      <c r="B39" s="209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0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1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190</v>
      </c>
      <c r="B42" s="14">
        <f>L14</f>
        <v>15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179</v>
      </c>
      <c r="B43" s="14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180</v>
      </c>
      <c r="B44" s="212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194</v>
      </c>
      <c r="B45" s="212">
        <f>L24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10" t="s">
        <v>195</v>
      </c>
      <c r="B46" s="212">
        <f>L19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10" t="s">
        <v>63</v>
      </c>
      <c r="B47" s="209">
        <f>SUM(B42:B46)</f>
        <v>15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11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0" t="s">
        <v>177</v>
      </c>
      <c r="B50" s="212">
        <f>L18</f>
        <v>1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0" t="s">
        <v>193</v>
      </c>
      <c r="B51" s="212">
        <f>L20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191</v>
      </c>
      <c r="B52" s="212">
        <f>L16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0" t="s">
        <v>182</v>
      </c>
      <c r="B53" s="212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SUM(B50:B53)</f>
        <v>2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11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10" t="s">
        <v>176</v>
      </c>
      <c r="B57" s="212">
        <f>L17</f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10" t="s">
        <v>63</v>
      </c>
      <c r="B58" s="213">
        <f>SUM(B57:B57)</f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92"/>
  <sheetViews>
    <sheetView zoomScale="200" zoomScaleNormal="200" workbookViewId="0" topLeftCell="A40">
      <selection activeCell="L38" sqref="L38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7.154400000000001</v>
      </c>
      <c r="D7" s="3" t="s">
        <v>2</v>
      </c>
      <c r="F7" s="2" t="s">
        <v>7</v>
      </c>
      <c r="H7" s="47">
        <v>265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'Llenado platos m'!L13</f>
        <v>356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2236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'Llenado platos m'!B47</f>
        <v>15</v>
      </c>
      <c r="K17" s="111">
        <f>I17/I18</f>
        <v>0.040214477211796246</v>
      </c>
      <c r="L17" s="37" t="s">
        <v>99</v>
      </c>
    </row>
    <row r="18" spans="4:9" ht="13.5" thickTop="1">
      <c r="D18" s="38" t="s">
        <v>189</v>
      </c>
      <c r="I18" s="102">
        <f>'Llenado platos m'!L27</f>
        <v>373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'Llenado platos m'!B54</f>
        <v>2</v>
      </c>
      <c r="K20" s="111">
        <f>I20/I21</f>
        <v>0.005361930294906166</v>
      </c>
      <c r="L20" s="37" t="s">
        <v>99</v>
      </c>
    </row>
    <row r="21" spans="4:9" ht="13.5" thickTop="1">
      <c r="D21" s="38" t="s">
        <v>189</v>
      </c>
      <c r="I21" s="104">
        <f>I18</f>
        <v>373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'Llenado platos m'!B39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373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'Llenado platos m'!B58</f>
        <v>0</v>
      </c>
      <c r="K26" s="111">
        <f>I26/I27</f>
        <v>0</v>
      </c>
      <c r="L26" s="37" t="s">
        <v>99</v>
      </c>
    </row>
    <row r="27" spans="4:9" ht="13.5" thickTop="1">
      <c r="D27" s="38" t="s">
        <v>189</v>
      </c>
      <c r="I27" s="106">
        <f>I18</f>
        <v>373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'Llenado platos m'!L13*H11</f>
        <v>796016</v>
      </c>
      <c r="K29" s="47">
        <f>I29/I30</f>
        <v>2134.0911528150136</v>
      </c>
      <c r="L29" s="37" t="s">
        <v>2</v>
      </c>
    </row>
    <row r="30" spans="4:9" ht="13.5" thickTop="1">
      <c r="D30" s="38" t="s">
        <v>91</v>
      </c>
      <c r="I30" s="110">
        <f>I18</f>
        <v>373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'Pre-pesadas'!E16</f>
        <v>+ 0.06</v>
      </c>
      <c r="L35" s="58" t="str">
        <f>'Pre-pesadas'!H16</f>
        <v>+ 0.05</v>
      </c>
      <c r="N35" s="56">
        <f>J35+K35+L35</f>
        <v>1.11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7.941384000000001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2368.8411796246655</v>
      </c>
      <c r="E40">
        <f>D40/D41-1</f>
        <v>0.12562537201807134</v>
      </c>
      <c r="F40" t="s">
        <v>99</v>
      </c>
    </row>
    <row r="41" spans="3:4" ht="12.75">
      <c r="C41" s="3" t="s">
        <v>97</v>
      </c>
      <c r="D41" s="3">
        <f>H7*E37</f>
        <v>2104.4667600000002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0.040214477211796246</v>
      </c>
      <c r="C47" s="66">
        <f>K20</f>
        <v>0.005361930294906166</v>
      </c>
      <c r="D47" s="3">
        <f>K23</f>
        <v>0</v>
      </c>
      <c r="E47" s="3">
        <f>K26</f>
        <v>0</v>
      </c>
      <c r="F47">
        <f>E40</f>
        <v>0.12562537201807134</v>
      </c>
    </row>
    <row r="49" spans="1:3" ht="12.75">
      <c r="A49" s="2" t="s">
        <v>52</v>
      </c>
      <c r="B49">
        <f>B47+C47+D47+E47+F47</f>
        <v>0.17120177952477375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7.941384000000001</v>
      </c>
      <c r="F54" s="66">
        <f>B49+1</f>
        <v>1.1712017795247738</v>
      </c>
    </row>
    <row r="56" spans="1:5" ht="12.75">
      <c r="A56" s="2" t="s">
        <v>104</v>
      </c>
      <c r="D56">
        <f>E54*F54</f>
        <v>9.300963072689568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3.658161931707799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  <row r="78" spans="1:12" ht="12.75">
      <c r="A78" t="s">
        <v>208</v>
      </c>
      <c r="B78">
        <v>212</v>
      </c>
      <c r="C78">
        <v>62</v>
      </c>
      <c r="D78">
        <v>57</v>
      </c>
      <c r="E78">
        <v>22</v>
      </c>
      <c r="F78">
        <v>27</v>
      </c>
      <c r="G78">
        <v>38</v>
      </c>
      <c r="H78">
        <v>58</v>
      </c>
      <c r="I78">
        <v>20</v>
      </c>
      <c r="J78">
        <v>26</v>
      </c>
      <c r="K78">
        <v>102</v>
      </c>
      <c r="L78">
        <f aca="true" t="shared" si="0" ref="L78:L83">SUM(B78:K78)</f>
        <v>624</v>
      </c>
    </row>
    <row r="79" spans="1:12" ht="12.75">
      <c r="A79" t="s">
        <v>209</v>
      </c>
      <c r="B79">
        <v>114</v>
      </c>
      <c r="C79">
        <v>33</v>
      </c>
      <c r="D79">
        <v>31</v>
      </c>
      <c r="E79">
        <v>12</v>
      </c>
      <c r="F79">
        <v>15</v>
      </c>
      <c r="G79">
        <v>20</v>
      </c>
      <c r="H79">
        <v>31</v>
      </c>
      <c r="I79">
        <v>11</v>
      </c>
      <c r="J79">
        <v>14</v>
      </c>
      <c r="K79">
        <v>55</v>
      </c>
      <c r="L79">
        <f t="shared" si="0"/>
        <v>336</v>
      </c>
    </row>
    <row r="80" spans="1:12" ht="12.75">
      <c r="A80" t="s">
        <v>210</v>
      </c>
      <c r="B80">
        <v>65</v>
      </c>
      <c r="C80">
        <v>19</v>
      </c>
      <c r="D80">
        <v>18</v>
      </c>
      <c r="E80">
        <v>7</v>
      </c>
      <c r="F80">
        <v>8</v>
      </c>
      <c r="G80">
        <v>12</v>
      </c>
      <c r="H80">
        <v>18</v>
      </c>
      <c r="I80">
        <v>6</v>
      </c>
      <c r="J80">
        <v>8</v>
      </c>
      <c r="K80">
        <v>31</v>
      </c>
      <c r="L80">
        <f t="shared" si="0"/>
        <v>192</v>
      </c>
    </row>
    <row r="81" spans="1:12" ht="12.75">
      <c r="A81" t="s">
        <v>211</v>
      </c>
      <c r="B81">
        <v>10</v>
      </c>
      <c r="C81">
        <v>3</v>
      </c>
      <c r="D81">
        <v>3</v>
      </c>
      <c r="E81">
        <v>1</v>
      </c>
      <c r="F81">
        <v>1</v>
      </c>
      <c r="G81">
        <v>2</v>
      </c>
      <c r="H81">
        <v>3</v>
      </c>
      <c r="I81">
        <v>1</v>
      </c>
      <c r="J81">
        <v>1</v>
      </c>
      <c r="K81">
        <v>5</v>
      </c>
      <c r="L81">
        <f t="shared" si="0"/>
        <v>30</v>
      </c>
    </row>
    <row r="82" spans="1:12" ht="12.75">
      <c r="A82" t="s">
        <v>212</v>
      </c>
      <c r="B82">
        <v>6</v>
      </c>
      <c r="C82">
        <v>2</v>
      </c>
      <c r="D82">
        <v>2</v>
      </c>
      <c r="E82">
        <v>1</v>
      </c>
      <c r="F82">
        <v>1</v>
      </c>
      <c r="G82">
        <v>1</v>
      </c>
      <c r="H82">
        <v>2</v>
      </c>
      <c r="I82">
        <v>1</v>
      </c>
      <c r="J82">
        <v>1</v>
      </c>
      <c r="K82">
        <v>3</v>
      </c>
      <c r="L82">
        <f t="shared" si="0"/>
        <v>20</v>
      </c>
    </row>
    <row r="83" spans="1:14" ht="12.75">
      <c r="A83" t="s">
        <v>213</v>
      </c>
      <c r="B83">
        <v>326</v>
      </c>
      <c r="C83">
        <v>95</v>
      </c>
      <c r="D83">
        <v>88</v>
      </c>
      <c r="E83">
        <v>34</v>
      </c>
      <c r="F83">
        <v>42</v>
      </c>
      <c r="G83">
        <v>58</v>
      </c>
      <c r="H83">
        <v>90</v>
      </c>
      <c r="I83">
        <v>30</v>
      </c>
      <c r="J83">
        <v>40</v>
      </c>
      <c r="K83">
        <v>157</v>
      </c>
      <c r="L83">
        <f t="shared" si="0"/>
        <v>960</v>
      </c>
      <c r="N83">
        <f>L78+L79+L80+L83</f>
        <v>2112</v>
      </c>
    </row>
    <row r="85" spans="15:16" ht="12.75">
      <c r="O85" s="112">
        <v>0.3055555555555555</v>
      </c>
      <c r="P85" s="112">
        <v>0.75</v>
      </c>
    </row>
    <row r="87" ht="12.75">
      <c r="P87" s="112">
        <f>P85-O85</f>
        <v>0.4444444444444445</v>
      </c>
    </row>
    <row r="89" spans="15:17" ht="12.75">
      <c r="O89">
        <f>N83/P89</f>
        <v>198</v>
      </c>
      <c r="P89">
        <f>40/60+10</f>
        <v>10.666666666666666</v>
      </c>
      <c r="Q89">
        <v>2112</v>
      </c>
    </row>
    <row r="90" ht="12.75">
      <c r="P90">
        <v>0.45</v>
      </c>
    </row>
    <row r="92" ht="12.75">
      <c r="P92">
        <f>P90*Q89/P89</f>
        <v>89.10000000000001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744244" r:id="rId1"/>
    <oleObject progId="Equation.3" shapeId="744245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329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6</v>
      </c>
      <c r="D5" s="9"/>
      <c r="E5" s="9"/>
      <c r="F5" s="9"/>
      <c r="G5" s="10" t="s">
        <v>235</v>
      </c>
      <c r="H5" s="183">
        <v>2236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173</v>
      </c>
      <c r="B13" s="190">
        <v>368</v>
      </c>
      <c r="C13" s="190"/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6">SUM(B13:D13)</f>
        <v>368</v>
      </c>
      <c r="M13" s="93"/>
      <c r="N13" s="95"/>
      <c r="O13" s="98">
        <v>45</v>
      </c>
      <c r="P13" s="96">
        <v>45</v>
      </c>
      <c r="Q13" s="93"/>
    </row>
    <row r="14" spans="1:17" ht="12.75">
      <c r="A14" s="194" t="s">
        <v>190</v>
      </c>
      <c r="B14" s="24">
        <v>0</v>
      </c>
      <c r="C14" s="24"/>
      <c r="D14" s="24"/>
      <c r="E14" s="24"/>
      <c r="F14" s="24"/>
      <c r="G14" s="24"/>
      <c r="H14" s="24"/>
      <c r="I14" s="131"/>
      <c r="J14" s="131"/>
      <c r="K14" s="137"/>
      <c r="L14" s="196">
        <f t="shared" si="0"/>
        <v>0</v>
      </c>
      <c r="M14" s="3"/>
      <c r="N14" s="3"/>
      <c r="O14" s="99">
        <v>6</v>
      </c>
      <c r="P14" s="94">
        <v>0</v>
      </c>
      <c r="Q14" s="3"/>
    </row>
    <row r="15" spans="1:17" ht="12.75">
      <c r="A15" s="194" t="s">
        <v>175</v>
      </c>
      <c r="B15" s="24">
        <v>0</v>
      </c>
      <c r="C15" s="24"/>
      <c r="D15" s="24"/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O15" s="99">
        <v>0</v>
      </c>
      <c r="P15" s="94">
        <v>0</v>
      </c>
      <c r="Q15" s="3"/>
    </row>
    <row r="16" spans="1:17" ht="12.75">
      <c r="A16" s="194" t="s">
        <v>191</v>
      </c>
      <c r="B16" s="24">
        <v>2</v>
      </c>
      <c r="C16" s="24"/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2</v>
      </c>
      <c r="M16" s="3"/>
      <c r="N16" s="3"/>
      <c r="O16" s="99">
        <v>1</v>
      </c>
      <c r="P16" s="94">
        <v>2</v>
      </c>
      <c r="Q16" s="3"/>
    </row>
    <row r="17" spans="1:17" ht="12.75">
      <c r="A17" s="194" t="s">
        <v>176</v>
      </c>
      <c r="B17" s="24">
        <v>0</v>
      </c>
      <c r="C17" s="24"/>
      <c r="D17" s="24"/>
      <c r="E17" s="24"/>
      <c r="F17" s="24"/>
      <c r="G17" s="24"/>
      <c r="H17" s="24"/>
      <c r="I17" s="131"/>
      <c r="J17" s="131"/>
      <c r="K17" s="137"/>
      <c r="L17" s="197">
        <f t="shared" si="0"/>
        <v>0</v>
      </c>
      <c r="M17" s="3"/>
      <c r="N17" s="3"/>
      <c r="O17" s="99">
        <v>0</v>
      </c>
      <c r="P17" s="94">
        <v>0</v>
      </c>
      <c r="Q17" s="3"/>
    </row>
    <row r="18" spans="1:17" ht="12.75">
      <c r="A18" s="194" t="s">
        <v>177</v>
      </c>
      <c r="B18" s="24">
        <v>1</v>
      </c>
      <c r="C18" s="24"/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1</v>
      </c>
      <c r="M18" s="3"/>
      <c r="N18" s="3"/>
      <c r="O18" s="99">
        <v>2</v>
      </c>
      <c r="P18" s="94">
        <v>1</v>
      </c>
      <c r="Q18" s="3"/>
    </row>
    <row r="19" spans="1:17" ht="12.75">
      <c r="A19" s="194" t="s">
        <v>192</v>
      </c>
      <c r="B19" s="24">
        <v>0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0</v>
      </c>
      <c r="M19" s="3"/>
      <c r="N19" s="3"/>
      <c r="O19" s="99">
        <v>0</v>
      </c>
      <c r="P19" s="94">
        <v>0</v>
      </c>
      <c r="Q19" s="3"/>
    </row>
    <row r="20" spans="1:17" ht="12.75">
      <c r="A20" s="194" t="s">
        <v>193</v>
      </c>
      <c r="B20" s="24">
        <v>0</v>
      </c>
      <c r="C20" s="24"/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99">
        <v>0</v>
      </c>
      <c r="P20" s="94">
        <v>0</v>
      </c>
      <c r="Q20" s="3"/>
    </row>
    <row r="21" spans="1:17" ht="12.75">
      <c r="A21" s="194" t="s">
        <v>178</v>
      </c>
      <c r="B21" s="24">
        <v>0</v>
      </c>
      <c r="C21" s="24"/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3"/>
      <c r="O21" s="99">
        <v>3</v>
      </c>
      <c r="P21" s="94">
        <v>0</v>
      </c>
      <c r="Q21" s="3"/>
    </row>
    <row r="22" spans="1:17" ht="12.75">
      <c r="A22" s="194" t="s">
        <v>179</v>
      </c>
      <c r="B22" s="24">
        <v>0</v>
      </c>
      <c r="C22" s="24"/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0</v>
      </c>
      <c r="M22" s="3"/>
      <c r="N22" s="3"/>
      <c r="O22" s="99">
        <v>0</v>
      </c>
      <c r="P22" s="94">
        <v>0</v>
      </c>
      <c r="Q22" s="3"/>
    </row>
    <row r="23" spans="1:17" ht="12.75">
      <c r="A23" s="194" t="s">
        <v>180</v>
      </c>
      <c r="B23" s="24">
        <v>1</v>
      </c>
      <c r="C23" s="24"/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1</v>
      </c>
      <c r="M23" s="3"/>
      <c r="N23" s="3"/>
      <c r="O23" s="99">
        <v>0</v>
      </c>
      <c r="P23" s="94">
        <v>0</v>
      </c>
      <c r="Q23" s="3"/>
    </row>
    <row r="24" spans="1:17" ht="12.75">
      <c r="A24" s="194" t="s">
        <v>194</v>
      </c>
      <c r="B24" s="24">
        <v>1</v>
      </c>
      <c r="C24" s="24"/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1</v>
      </c>
      <c r="M24" s="3"/>
      <c r="N24" s="3"/>
      <c r="O24" s="99">
        <v>0</v>
      </c>
      <c r="P24" s="94">
        <v>0</v>
      </c>
      <c r="Q24" s="3"/>
    </row>
    <row r="25" spans="1:17" ht="12.75">
      <c r="A25" s="198" t="s">
        <v>182</v>
      </c>
      <c r="B25" s="21">
        <v>0</v>
      </c>
      <c r="C25" s="21"/>
      <c r="D25" s="21"/>
      <c r="E25" s="21"/>
      <c r="F25" s="21"/>
      <c r="G25" s="21"/>
      <c r="H25" s="21"/>
      <c r="I25" s="121"/>
      <c r="J25" s="121"/>
      <c r="K25" s="200"/>
      <c r="L25" s="201">
        <f t="shared" si="0"/>
        <v>0</v>
      </c>
      <c r="M25" s="3"/>
      <c r="N25" s="3"/>
      <c r="O25" s="113">
        <v>0</v>
      </c>
      <c r="P25" s="114">
        <v>0</v>
      </c>
      <c r="Q25" s="3"/>
    </row>
    <row r="26" spans="1:17" ht="13.5" thickBot="1">
      <c r="A26" s="202" t="s">
        <v>202</v>
      </c>
      <c r="B26" s="204">
        <v>0</v>
      </c>
      <c r="C26" s="204"/>
      <c r="D26" s="204"/>
      <c r="E26" s="204"/>
      <c r="F26" s="204"/>
      <c r="G26" s="204"/>
      <c r="H26" s="204"/>
      <c r="I26" s="205"/>
      <c r="J26" s="205"/>
      <c r="K26" s="206"/>
      <c r="L26" s="207">
        <f t="shared" si="0"/>
        <v>0</v>
      </c>
      <c r="M26" s="3"/>
      <c r="N26" s="3"/>
      <c r="O26" s="100">
        <v>0</v>
      </c>
      <c r="P26" s="97">
        <v>0</v>
      </c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SUM(L13:L26)</f>
        <v>373</v>
      </c>
      <c r="M27" s="3"/>
      <c r="N27" s="3"/>
      <c r="O27" s="3"/>
      <c r="P27" s="3"/>
      <c r="Q27" s="3"/>
    </row>
    <row r="28" spans="1:17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233</v>
      </c>
      <c r="B32" s="14">
        <f>L13</f>
        <v>368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63</v>
      </c>
      <c r="B33" s="209">
        <f>SUM(B32)</f>
        <v>368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1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175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178</v>
      </c>
      <c r="B37" s="14">
        <f>L21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202</v>
      </c>
      <c r="B38" s="212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63</v>
      </c>
      <c r="B39" s="209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0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1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190</v>
      </c>
      <c r="B42" s="14">
        <f>L14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179</v>
      </c>
      <c r="B43" s="14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180</v>
      </c>
      <c r="B44" s="212">
        <f>L23</f>
        <v>1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194</v>
      </c>
      <c r="B45" s="212">
        <f>L24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10" t="s">
        <v>195</v>
      </c>
      <c r="B46" s="212">
        <f>L19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10" t="s">
        <v>63</v>
      </c>
      <c r="B47" s="209">
        <f>SUM(B42:B46)</f>
        <v>2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11" t="s">
        <v>163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0" t="s">
        <v>177</v>
      </c>
      <c r="B50" s="212">
        <f>L18</f>
        <v>1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0" t="s">
        <v>193</v>
      </c>
      <c r="B51" s="212">
        <f>L20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191</v>
      </c>
      <c r="B52" s="212">
        <f>L16</f>
        <v>2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0" t="s">
        <v>182</v>
      </c>
      <c r="B53" s="212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SUM(B50:B53)</f>
        <v>3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11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10" t="s">
        <v>176</v>
      </c>
      <c r="B57" s="212">
        <f>L17</f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10" t="s">
        <v>63</v>
      </c>
      <c r="B58" s="213">
        <f>SUM(B57:B57)</f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92"/>
  <sheetViews>
    <sheetView zoomScale="200" zoomScaleNormal="200" workbookViewId="0" topLeftCell="A37">
      <selection activeCell="A37" sqref="A37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6.745760000000001</v>
      </c>
      <c r="D7" s="3" t="s">
        <v>2</v>
      </c>
      <c r="F7" s="2" t="s">
        <v>7</v>
      </c>
      <c r="H7" s="47">
        <v>290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'Llenado platos g'!L13</f>
        <v>368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2236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'Llenado platos g'!B47</f>
        <v>2</v>
      </c>
      <c r="K17" s="111">
        <f>I17/I18</f>
        <v>0.005361930294906166</v>
      </c>
      <c r="L17" s="37" t="s">
        <v>99</v>
      </c>
    </row>
    <row r="18" spans="4:9" ht="13.5" thickTop="1">
      <c r="D18" s="38" t="s">
        <v>189</v>
      </c>
      <c r="I18" s="102">
        <f>'Llenado platos g'!L27</f>
        <v>373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'Llenado platos g'!B54</f>
        <v>3</v>
      </c>
      <c r="K20" s="111">
        <f>I20/I21</f>
        <v>0.00804289544235925</v>
      </c>
      <c r="L20" s="37" t="s">
        <v>99</v>
      </c>
    </row>
    <row r="21" spans="4:9" ht="13.5" thickTop="1">
      <c r="D21" s="38" t="s">
        <v>189</v>
      </c>
      <c r="I21" s="104">
        <f>I18</f>
        <v>373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'Llenado platos g'!B39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373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'Llenado platos g'!B58</f>
        <v>0</v>
      </c>
      <c r="K26" s="111">
        <f>I26/I27</f>
        <v>0</v>
      </c>
      <c r="L26" s="37" t="s">
        <v>99</v>
      </c>
    </row>
    <row r="27" spans="4:9" ht="13.5" thickTop="1">
      <c r="D27" s="38" t="s">
        <v>189</v>
      </c>
      <c r="I27" s="106">
        <f>I18</f>
        <v>373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'Llenado platos g'!L13*H11</f>
        <v>822848</v>
      </c>
      <c r="K29" s="47">
        <f>I29/I30</f>
        <v>2206.0268096514747</v>
      </c>
      <c r="L29" s="37" t="s">
        <v>2</v>
      </c>
    </row>
    <row r="30" spans="4:9" ht="13.5" thickTop="1">
      <c r="D30" s="38" t="s">
        <v>91</v>
      </c>
      <c r="I30" s="110">
        <f>I18</f>
        <v>373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'Pre-pesadas'!E17</f>
        <v>+ 0.06</v>
      </c>
      <c r="L35" s="58" t="str">
        <f>'Pre-pesadas'!H17</f>
        <v>+ 0.05</v>
      </c>
      <c r="N35" s="56">
        <f>J35+K35+L35</f>
        <v>1.11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7.487793600000002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2448.689758713137</v>
      </c>
      <c r="E40">
        <f>D40/D41-1</f>
        <v>0.1276696767744756</v>
      </c>
      <c r="F40" t="s">
        <v>99</v>
      </c>
    </row>
    <row r="41" spans="3:4" ht="12.75">
      <c r="C41" s="3" t="s">
        <v>97</v>
      </c>
      <c r="D41" s="3">
        <f>H7*E37</f>
        <v>2171.4601440000006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0.005361930294906166</v>
      </c>
      <c r="C47" s="66">
        <f>K20</f>
        <v>0.00804289544235925</v>
      </c>
      <c r="D47" s="3">
        <f>K23</f>
        <v>0</v>
      </c>
      <c r="E47" s="3">
        <f>K26</f>
        <v>0</v>
      </c>
      <c r="F47">
        <f>E40</f>
        <v>0.1276696767744756</v>
      </c>
    </row>
    <row r="49" spans="1:3" ht="12.75">
      <c r="A49" s="2" t="s">
        <v>52</v>
      </c>
      <c r="B49">
        <f>B47+C47+D47+E47+F47</f>
        <v>0.14107450251174103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7.487793600000002</v>
      </c>
      <c r="F54" s="66">
        <f>B49+1</f>
        <v>1.141074502511741</v>
      </c>
    </row>
    <row r="56" spans="1:5" ht="12.75">
      <c r="A56" s="2" t="s">
        <v>104</v>
      </c>
      <c r="D56">
        <f>E54*F54</f>
        <v>8.5441303570306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3.7020405143318267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  <row r="78" spans="1:12" ht="12.75">
      <c r="A78" t="s">
        <v>208</v>
      </c>
      <c r="B78">
        <v>212</v>
      </c>
      <c r="C78">
        <v>62</v>
      </c>
      <c r="D78">
        <v>57</v>
      </c>
      <c r="E78">
        <v>22</v>
      </c>
      <c r="F78">
        <v>27</v>
      </c>
      <c r="G78">
        <v>38</v>
      </c>
      <c r="H78">
        <v>58</v>
      </c>
      <c r="I78">
        <v>20</v>
      </c>
      <c r="J78">
        <v>26</v>
      </c>
      <c r="K78">
        <v>102</v>
      </c>
      <c r="L78">
        <f aca="true" t="shared" si="0" ref="L78:L83">SUM(B78:K78)</f>
        <v>624</v>
      </c>
    </row>
    <row r="79" spans="1:12" ht="12.75">
      <c r="A79" t="s">
        <v>209</v>
      </c>
      <c r="B79">
        <v>114</v>
      </c>
      <c r="C79">
        <v>33</v>
      </c>
      <c r="D79">
        <v>31</v>
      </c>
      <c r="E79">
        <v>12</v>
      </c>
      <c r="F79">
        <v>15</v>
      </c>
      <c r="G79">
        <v>20</v>
      </c>
      <c r="H79">
        <v>31</v>
      </c>
      <c r="I79">
        <v>11</v>
      </c>
      <c r="J79">
        <v>14</v>
      </c>
      <c r="K79">
        <v>55</v>
      </c>
      <c r="L79">
        <f t="shared" si="0"/>
        <v>336</v>
      </c>
    </row>
    <row r="80" spans="1:12" ht="12.75">
      <c r="A80" t="s">
        <v>210</v>
      </c>
      <c r="B80">
        <v>65</v>
      </c>
      <c r="C80">
        <v>19</v>
      </c>
      <c r="D80">
        <v>18</v>
      </c>
      <c r="E80">
        <v>7</v>
      </c>
      <c r="F80">
        <v>8</v>
      </c>
      <c r="G80">
        <v>12</v>
      </c>
      <c r="H80">
        <v>18</v>
      </c>
      <c r="I80">
        <v>6</v>
      </c>
      <c r="J80">
        <v>8</v>
      </c>
      <c r="K80">
        <v>31</v>
      </c>
      <c r="L80">
        <f t="shared" si="0"/>
        <v>192</v>
      </c>
    </row>
    <row r="81" spans="1:12" ht="12.75">
      <c r="A81" t="s">
        <v>211</v>
      </c>
      <c r="B81">
        <v>10</v>
      </c>
      <c r="C81">
        <v>3</v>
      </c>
      <c r="D81">
        <v>3</v>
      </c>
      <c r="E81">
        <v>1</v>
      </c>
      <c r="F81">
        <v>1</v>
      </c>
      <c r="G81">
        <v>2</v>
      </c>
      <c r="H81">
        <v>3</v>
      </c>
      <c r="I81">
        <v>1</v>
      </c>
      <c r="J81">
        <v>1</v>
      </c>
      <c r="K81">
        <v>5</v>
      </c>
      <c r="L81">
        <f t="shared" si="0"/>
        <v>30</v>
      </c>
    </row>
    <row r="82" spans="1:12" ht="12.75">
      <c r="A82" t="s">
        <v>212</v>
      </c>
      <c r="B82">
        <v>6</v>
      </c>
      <c r="C82">
        <v>2</v>
      </c>
      <c r="D82">
        <v>2</v>
      </c>
      <c r="E82">
        <v>1</v>
      </c>
      <c r="F82">
        <v>1</v>
      </c>
      <c r="G82">
        <v>1</v>
      </c>
      <c r="H82">
        <v>2</v>
      </c>
      <c r="I82">
        <v>1</v>
      </c>
      <c r="J82">
        <v>1</v>
      </c>
      <c r="K82">
        <v>3</v>
      </c>
      <c r="L82">
        <f t="shared" si="0"/>
        <v>20</v>
      </c>
    </row>
    <row r="83" spans="1:14" ht="12.75">
      <c r="A83" t="s">
        <v>213</v>
      </c>
      <c r="B83">
        <v>326</v>
      </c>
      <c r="C83">
        <v>95</v>
      </c>
      <c r="D83">
        <v>88</v>
      </c>
      <c r="E83">
        <v>34</v>
      </c>
      <c r="F83">
        <v>42</v>
      </c>
      <c r="G83">
        <v>58</v>
      </c>
      <c r="H83">
        <v>90</v>
      </c>
      <c r="I83">
        <v>30</v>
      </c>
      <c r="J83">
        <v>40</v>
      </c>
      <c r="K83">
        <v>157</v>
      </c>
      <c r="L83">
        <f t="shared" si="0"/>
        <v>960</v>
      </c>
      <c r="N83">
        <f>L78+L79+L80+L83</f>
        <v>2112</v>
      </c>
    </row>
    <row r="85" spans="15:16" ht="12.75">
      <c r="O85" s="112">
        <v>0.3055555555555555</v>
      </c>
      <c r="P85" s="112">
        <v>0.75</v>
      </c>
    </row>
    <row r="87" ht="12.75">
      <c r="P87" s="112">
        <f>P85-O85</f>
        <v>0.4444444444444445</v>
      </c>
    </row>
    <row r="89" spans="15:17" ht="12.75">
      <c r="O89">
        <f>N83/P89</f>
        <v>198</v>
      </c>
      <c r="P89">
        <f>40/60+10</f>
        <v>10.666666666666666</v>
      </c>
      <c r="Q89">
        <v>2112</v>
      </c>
    </row>
    <row r="90" ht="12.75">
      <c r="P90">
        <v>0.45</v>
      </c>
    </row>
    <row r="92" ht="12.75">
      <c r="P92">
        <f>P90*Q89/P89</f>
        <v>89.10000000000001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804028" r:id="rId1"/>
    <oleObject progId="Equation.3" shapeId="8040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9"/>
      <c r="C1" s="9"/>
      <c r="D1" s="10"/>
      <c r="E1" s="9"/>
      <c r="F1" s="10" t="s">
        <v>320</v>
      </c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9"/>
      <c r="D3" s="10" t="s">
        <v>321</v>
      </c>
      <c r="E3" s="9"/>
      <c r="F3" s="9"/>
      <c r="G3" s="9"/>
      <c r="H3" s="9"/>
      <c r="I3" s="9"/>
      <c r="J3" s="9"/>
      <c r="K3" s="9"/>
      <c r="L3" s="9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/>
      <c r="B5" s="10" t="s">
        <v>318</v>
      </c>
      <c r="C5" s="12" t="s">
        <v>319</v>
      </c>
      <c r="D5" s="177"/>
      <c r="E5" s="178"/>
      <c r="F5" s="12"/>
      <c r="G5" s="9"/>
      <c r="H5" s="9"/>
      <c r="I5" s="9"/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81"/>
      <c r="B7" s="179" t="s">
        <v>156</v>
      </c>
      <c r="C7" s="12"/>
      <c r="D7" s="177"/>
      <c r="E7" s="178"/>
      <c r="F7" s="12"/>
      <c r="G7" s="9"/>
      <c r="H7" s="9"/>
      <c r="I7" s="180" t="s">
        <v>157</v>
      </c>
      <c r="J7" s="12"/>
      <c r="K7" s="12"/>
      <c r="L7" s="12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10" t="s">
        <v>183</v>
      </c>
      <c r="C9" s="182">
        <v>20</v>
      </c>
      <c r="D9" s="9"/>
      <c r="E9" s="9"/>
      <c r="F9" s="9"/>
      <c r="G9" s="10" t="s">
        <v>235</v>
      </c>
      <c r="H9" s="183">
        <v>6491</v>
      </c>
      <c r="I9" s="9" t="s">
        <v>269</v>
      </c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9"/>
      <c r="B11" s="184" t="s">
        <v>237</v>
      </c>
      <c r="C11" s="15">
        <v>250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3.5" thickBot="1">
      <c r="A13" s="9"/>
      <c r="B13" s="9"/>
      <c r="C13" s="9"/>
      <c r="D13" s="9"/>
      <c r="E13" s="9"/>
      <c r="F13" s="10" t="s">
        <v>184</v>
      </c>
      <c r="G13" s="9"/>
      <c r="H13" s="9"/>
      <c r="I13" s="9"/>
      <c r="J13" s="9"/>
      <c r="K13" s="9"/>
      <c r="L13" s="9"/>
    </row>
    <row r="14" spans="1:12" ht="13.5" thickBot="1">
      <c r="A14" s="185" t="s">
        <v>59</v>
      </c>
      <c r="B14" s="186">
        <v>1</v>
      </c>
      <c r="C14" s="186">
        <v>2</v>
      </c>
      <c r="D14" s="186">
        <v>3</v>
      </c>
      <c r="E14" s="186">
        <v>4</v>
      </c>
      <c r="F14" s="186">
        <v>5</v>
      </c>
      <c r="G14" s="186">
        <v>6</v>
      </c>
      <c r="H14" s="186">
        <v>7</v>
      </c>
      <c r="I14" s="186">
        <v>8</v>
      </c>
      <c r="J14" s="186">
        <v>9</v>
      </c>
      <c r="K14" s="186">
        <v>10</v>
      </c>
      <c r="L14" s="187" t="s">
        <v>186</v>
      </c>
    </row>
    <row r="15" spans="1:18" ht="12.75">
      <c r="A15" s="188" t="s">
        <v>234</v>
      </c>
      <c r="B15" s="189">
        <v>155</v>
      </c>
      <c r="C15" s="190">
        <v>154</v>
      </c>
      <c r="D15" s="190"/>
      <c r="E15" s="190"/>
      <c r="F15" s="190"/>
      <c r="G15" s="190"/>
      <c r="H15" s="190"/>
      <c r="I15" s="191"/>
      <c r="J15" s="191"/>
      <c r="K15" s="192"/>
      <c r="L15" s="193">
        <f aca="true" t="shared" si="0" ref="L15:L26">SUM(B15:H15)</f>
        <v>309</v>
      </c>
      <c r="M15" s="93"/>
      <c r="N15" s="95"/>
      <c r="O15" s="134">
        <f>'T. estandar daipas'!H11</f>
        <v>6491</v>
      </c>
      <c r="P15" s="95"/>
      <c r="Q15" s="93">
        <f>O15*100</f>
        <v>649100</v>
      </c>
      <c r="R15">
        <f>Q15*2</f>
        <v>1298200</v>
      </c>
    </row>
    <row r="16" spans="1:17" ht="12.75" hidden="1">
      <c r="A16" s="194"/>
      <c r="B16" s="195"/>
      <c r="C16" s="24"/>
      <c r="D16" s="24"/>
      <c r="E16" s="24"/>
      <c r="F16" s="24"/>
      <c r="G16" s="24"/>
      <c r="H16" s="24"/>
      <c r="I16" s="131"/>
      <c r="J16" s="131"/>
      <c r="K16" s="137"/>
      <c r="L16" s="196"/>
      <c r="M16" s="3"/>
      <c r="N16" s="95"/>
      <c r="O16" s="3">
        <v>1</v>
      </c>
      <c r="P16" s="3">
        <f>L15/O15</f>
        <v>0.0476043752888615</v>
      </c>
      <c r="Q16" s="3">
        <f>P16/2</f>
        <v>0.02380218764443075</v>
      </c>
    </row>
    <row r="17" spans="1:17" ht="12.75">
      <c r="A17" s="194" t="s">
        <v>175</v>
      </c>
      <c r="B17" s="195">
        <v>0</v>
      </c>
      <c r="C17" s="24">
        <v>0</v>
      </c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95"/>
      <c r="O17" s="3"/>
      <c r="P17" s="3"/>
      <c r="Q17" s="3"/>
    </row>
    <row r="18" spans="1:17" ht="12.75">
      <c r="A18" s="194" t="s">
        <v>176</v>
      </c>
      <c r="B18" s="195">
        <v>3</v>
      </c>
      <c r="C18" s="24">
        <v>3</v>
      </c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6</v>
      </c>
      <c r="M18" s="3"/>
      <c r="N18" s="95"/>
      <c r="O18" s="3"/>
      <c r="P18" s="3"/>
      <c r="Q18" s="3"/>
    </row>
    <row r="19" spans="1:17" ht="12.75">
      <c r="A19" s="194" t="s">
        <v>177</v>
      </c>
      <c r="B19" s="195">
        <v>3</v>
      </c>
      <c r="C19" s="24">
        <v>3</v>
      </c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6</v>
      </c>
      <c r="M19" s="3"/>
      <c r="N19" s="95"/>
      <c r="O19" s="3"/>
      <c r="P19" s="3"/>
      <c r="Q19" s="3"/>
    </row>
    <row r="20" spans="1:17" ht="12.75">
      <c r="A20" s="194" t="s">
        <v>181</v>
      </c>
      <c r="B20" s="195">
        <v>0</v>
      </c>
      <c r="C20" s="24">
        <v>0</v>
      </c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95"/>
      <c r="O20" s="3">
        <f>B15/1.82</f>
        <v>85.16483516483517</v>
      </c>
      <c r="P20" s="3"/>
      <c r="Q20" s="3"/>
    </row>
    <row r="21" spans="1:17" ht="12.75">
      <c r="A21" s="194" t="s">
        <v>178</v>
      </c>
      <c r="B21" s="195">
        <v>0</v>
      </c>
      <c r="C21" s="24">
        <v>0</v>
      </c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95"/>
      <c r="O21" s="3">
        <f>C15/1.82</f>
        <v>84.61538461538461</v>
      </c>
      <c r="P21" s="3"/>
      <c r="Q21" s="3"/>
    </row>
    <row r="22" spans="1:17" ht="12.75">
      <c r="A22" s="194" t="s">
        <v>179</v>
      </c>
      <c r="B22" s="195">
        <v>0</v>
      </c>
      <c r="C22" s="24">
        <v>0</v>
      </c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0</v>
      </c>
      <c r="M22" s="3"/>
      <c r="N22" s="95"/>
      <c r="O22" s="3"/>
      <c r="P22" s="3"/>
      <c r="Q22" s="3"/>
    </row>
    <row r="23" spans="1:17" ht="12.75">
      <c r="A23" s="194" t="s">
        <v>180</v>
      </c>
      <c r="B23" s="195">
        <v>2</v>
      </c>
      <c r="C23" s="24">
        <v>2</v>
      </c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4</v>
      </c>
      <c r="M23" s="3"/>
      <c r="N23" s="95"/>
      <c r="O23" s="3"/>
      <c r="P23" s="3"/>
      <c r="Q23" s="3"/>
    </row>
    <row r="24" spans="1:17" ht="12.75">
      <c r="A24" s="194" t="s">
        <v>194</v>
      </c>
      <c r="B24" s="195">
        <v>0</v>
      </c>
      <c r="C24" s="24">
        <v>0</v>
      </c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95"/>
      <c r="O24" s="3"/>
      <c r="P24" s="3"/>
      <c r="Q24" s="3"/>
    </row>
    <row r="25" spans="1:17" ht="12.75">
      <c r="A25" s="198" t="s">
        <v>182</v>
      </c>
      <c r="B25" s="199">
        <v>0</v>
      </c>
      <c r="C25" s="21">
        <v>0</v>
      </c>
      <c r="D25" s="21"/>
      <c r="E25" s="21"/>
      <c r="F25" s="21"/>
      <c r="G25" s="21"/>
      <c r="H25" s="21"/>
      <c r="I25" s="121"/>
      <c r="J25" s="121"/>
      <c r="K25" s="200"/>
      <c r="L25" s="201">
        <f t="shared" si="0"/>
        <v>0</v>
      </c>
      <c r="M25" s="3"/>
      <c r="N25" s="95"/>
      <c r="O25" s="3"/>
      <c r="P25" s="3"/>
      <c r="Q25" s="3"/>
    </row>
    <row r="26" spans="1:17" ht="13.5" thickBot="1">
      <c r="A26" s="202" t="s">
        <v>202</v>
      </c>
      <c r="B26" s="203">
        <v>0</v>
      </c>
      <c r="C26" s="204">
        <v>0</v>
      </c>
      <c r="D26" s="204"/>
      <c r="E26" s="204"/>
      <c r="F26" s="204"/>
      <c r="G26" s="204"/>
      <c r="H26" s="204"/>
      <c r="I26" s="205"/>
      <c r="J26" s="205"/>
      <c r="K26" s="206"/>
      <c r="L26" s="207">
        <f t="shared" si="0"/>
        <v>0</v>
      </c>
      <c r="M26" s="3"/>
      <c r="N26" s="95"/>
      <c r="O26" s="3"/>
      <c r="P26" s="3"/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SUM(L15:L26)</f>
        <v>325</v>
      </c>
      <c r="M27" s="3"/>
      <c r="N27" s="3"/>
      <c r="O27" s="3"/>
      <c r="P27" s="3"/>
      <c r="Q27" s="3"/>
    </row>
    <row r="28" spans="1:17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234</v>
      </c>
      <c r="B32" s="14">
        <f>L15</f>
        <v>309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63</v>
      </c>
      <c r="B33" s="209">
        <f>SUM(B32)</f>
        <v>309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1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175</v>
      </c>
      <c r="B36" s="14">
        <f>L17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178</v>
      </c>
      <c r="B37" s="14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202</v>
      </c>
      <c r="B38" s="212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63</v>
      </c>
      <c r="B39" s="209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0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9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1" t="s">
        <v>162</v>
      </c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179</v>
      </c>
      <c r="B43" s="14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180</v>
      </c>
      <c r="B44" s="14">
        <v>4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thickBot="1">
      <c r="A45" s="210" t="s">
        <v>194</v>
      </c>
      <c r="B45" s="14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10" t="s">
        <v>63</v>
      </c>
      <c r="B46" s="209">
        <f>SUM(B42:B45)</f>
        <v>4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11" t="s">
        <v>163</v>
      </c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10" t="s">
        <v>177</v>
      </c>
      <c r="B49" s="212">
        <f>L19</f>
        <v>6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0" t="s">
        <v>181</v>
      </c>
      <c r="B50" s="212">
        <f>L20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thickBot="1">
      <c r="A51" s="210" t="s">
        <v>182</v>
      </c>
      <c r="B51" s="212">
        <f>L25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10" t="s">
        <v>63</v>
      </c>
      <c r="B52" s="213">
        <f>SUM(B49:B51)</f>
        <v>6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11" t="s">
        <v>165</v>
      </c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10" t="s">
        <v>176</v>
      </c>
      <c r="B55" s="212">
        <v>8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10" t="s">
        <v>63</v>
      </c>
      <c r="B56" s="213">
        <f>SUM(B55:B55)</f>
        <v>8</v>
      </c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330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18</v>
      </c>
      <c r="D5" s="9"/>
      <c r="E5" s="9"/>
      <c r="F5" s="9"/>
      <c r="G5" s="10" t="s">
        <v>235</v>
      </c>
      <c r="H5" s="183">
        <v>5486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15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196</v>
      </c>
      <c r="B13" s="189">
        <v>117</v>
      </c>
      <c r="C13" s="190">
        <v>118</v>
      </c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6">SUM(B13:C13)</f>
        <v>235</v>
      </c>
      <c r="M13" s="93"/>
      <c r="N13" s="95"/>
      <c r="O13" s="93"/>
      <c r="P13" s="95"/>
      <c r="Q13" s="93"/>
    </row>
    <row r="14" spans="1:17" ht="12.75">
      <c r="A14" s="194" t="s">
        <v>198</v>
      </c>
      <c r="B14" s="195">
        <v>18</v>
      </c>
      <c r="C14" s="24">
        <v>10</v>
      </c>
      <c r="D14" s="24"/>
      <c r="E14" s="24"/>
      <c r="F14" s="24"/>
      <c r="G14" s="24"/>
      <c r="H14" s="24"/>
      <c r="I14" s="131"/>
      <c r="J14" s="131"/>
      <c r="K14" s="137"/>
      <c r="L14" s="196">
        <f t="shared" si="0"/>
        <v>28</v>
      </c>
      <c r="M14" s="3"/>
      <c r="N14" s="3"/>
      <c r="O14" s="3"/>
      <c r="P14" s="3"/>
      <c r="Q14" s="3"/>
    </row>
    <row r="15" spans="1:17" ht="12.75">
      <c r="A15" s="194" t="s">
        <v>175</v>
      </c>
      <c r="B15" s="195">
        <v>0</v>
      </c>
      <c r="C15" s="24">
        <v>0</v>
      </c>
      <c r="D15" s="24"/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O15" s="3"/>
      <c r="P15" s="3"/>
      <c r="Q15" s="3"/>
    </row>
    <row r="16" spans="1:17" ht="12.75">
      <c r="A16" s="194" t="s">
        <v>199</v>
      </c>
      <c r="B16" s="195">
        <v>8</v>
      </c>
      <c r="C16" s="24">
        <v>6</v>
      </c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14</v>
      </c>
      <c r="M16" s="3"/>
      <c r="N16" s="3"/>
      <c r="O16" s="3"/>
      <c r="P16" s="3"/>
      <c r="Q16" s="3"/>
    </row>
    <row r="17" spans="1:17" ht="12.75">
      <c r="A17" s="194" t="s">
        <v>176</v>
      </c>
      <c r="B17" s="195">
        <v>1</v>
      </c>
      <c r="C17" s="24">
        <v>2</v>
      </c>
      <c r="D17" s="24"/>
      <c r="E17" s="24"/>
      <c r="F17" s="24"/>
      <c r="G17" s="24"/>
      <c r="H17" s="24"/>
      <c r="I17" s="131"/>
      <c r="J17" s="131"/>
      <c r="K17" s="137"/>
      <c r="L17" s="197">
        <f t="shared" si="0"/>
        <v>3</v>
      </c>
      <c r="M17" s="3"/>
      <c r="N17" s="3"/>
      <c r="O17" s="3"/>
      <c r="P17" s="3"/>
      <c r="Q17" s="3"/>
    </row>
    <row r="18" spans="1:17" ht="12.75">
      <c r="A18" s="194" t="s">
        <v>177</v>
      </c>
      <c r="B18" s="195">
        <v>0</v>
      </c>
      <c r="C18" s="24">
        <v>0</v>
      </c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0</v>
      </c>
      <c r="M18" s="3"/>
      <c r="N18" s="3"/>
      <c r="O18" s="3"/>
      <c r="P18" s="3"/>
      <c r="Q18" s="3"/>
    </row>
    <row r="19" spans="1:17" ht="12.75">
      <c r="A19" s="194" t="s">
        <v>197</v>
      </c>
      <c r="B19" s="195">
        <v>0</v>
      </c>
      <c r="C19" s="24">
        <v>0</v>
      </c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200</v>
      </c>
      <c r="B20" s="195">
        <v>1</v>
      </c>
      <c r="C20" s="24">
        <v>1</v>
      </c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2</v>
      </c>
      <c r="M20" s="3"/>
      <c r="N20" s="3"/>
      <c r="O20" s="3"/>
      <c r="P20" s="3"/>
      <c r="Q20" s="3"/>
    </row>
    <row r="21" spans="1:17" ht="12.75">
      <c r="A21" s="194" t="s">
        <v>178</v>
      </c>
      <c r="B21" s="195">
        <v>1</v>
      </c>
      <c r="C21" s="24">
        <v>1</v>
      </c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2</v>
      </c>
      <c r="M21" s="3"/>
      <c r="N21" s="3"/>
      <c r="O21" s="3"/>
      <c r="P21" s="3"/>
      <c r="Q21" s="3"/>
    </row>
    <row r="22" spans="1:17" ht="12.75">
      <c r="A22" s="194" t="s">
        <v>179</v>
      </c>
      <c r="B22" s="195">
        <v>0</v>
      </c>
      <c r="C22" s="24">
        <v>0</v>
      </c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0</v>
      </c>
      <c r="M22" s="3"/>
      <c r="N22" s="3"/>
      <c r="O22" s="3"/>
      <c r="P22" s="3"/>
      <c r="Q22" s="3"/>
    </row>
    <row r="23" spans="1:17" ht="12.75">
      <c r="A23" s="194" t="s">
        <v>180</v>
      </c>
      <c r="B23" s="195">
        <v>3</v>
      </c>
      <c r="C23" s="24">
        <v>3</v>
      </c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6</v>
      </c>
      <c r="M23" s="3"/>
      <c r="N23" s="3"/>
      <c r="O23" s="3"/>
      <c r="P23" s="3"/>
      <c r="Q23" s="3"/>
    </row>
    <row r="24" spans="1:17" ht="12.75">
      <c r="A24" s="194" t="s">
        <v>194</v>
      </c>
      <c r="B24" s="195">
        <v>0</v>
      </c>
      <c r="C24" s="24">
        <v>15</v>
      </c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15</v>
      </c>
      <c r="M24" s="3"/>
      <c r="N24" s="3"/>
      <c r="O24" s="3"/>
      <c r="P24" s="3"/>
      <c r="Q24" s="3"/>
    </row>
    <row r="25" spans="1:17" ht="12.75">
      <c r="A25" s="198" t="s">
        <v>182</v>
      </c>
      <c r="B25" s="199">
        <v>0</v>
      </c>
      <c r="C25" s="21">
        <v>0</v>
      </c>
      <c r="D25" s="21"/>
      <c r="E25" s="21"/>
      <c r="F25" s="21"/>
      <c r="G25" s="21"/>
      <c r="H25" s="21"/>
      <c r="I25" s="121"/>
      <c r="J25" s="121"/>
      <c r="K25" s="200"/>
      <c r="L25" s="201">
        <f t="shared" si="0"/>
        <v>0</v>
      </c>
      <c r="M25" s="3"/>
      <c r="N25" s="3"/>
      <c r="O25" s="3"/>
      <c r="P25" s="3"/>
      <c r="Q25" s="3"/>
    </row>
    <row r="26" spans="1:17" ht="13.5" thickBot="1">
      <c r="A26" s="202" t="s">
        <v>202</v>
      </c>
      <c r="B26" s="203">
        <v>0</v>
      </c>
      <c r="C26" s="204">
        <v>0</v>
      </c>
      <c r="D26" s="204"/>
      <c r="E26" s="204"/>
      <c r="F26" s="204"/>
      <c r="G26" s="204"/>
      <c r="H26" s="204"/>
      <c r="I26" s="205"/>
      <c r="J26" s="205"/>
      <c r="K26" s="206"/>
      <c r="L26" s="207">
        <f t="shared" si="0"/>
        <v>0</v>
      </c>
      <c r="M26" s="3"/>
      <c r="N26" s="3"/>
      <c r="O26" s="3"/>
      <c r="P26" s="3"/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SUM(L13:L26)</f>
        <v>305</v>
      </c>
      <c r="M27" s="3"/>
      <c r="N27" s="3"/>
      <c r="O27" s="3"/>
      <c r="P27" s="3"/>
      <c r="Q27" s="3"/>
    </row>
    <row r="28" spans="1:17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290</v>
      </c>
      <c r="B32" s="14">
        <f>L13</f>
        <v>235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63</v>
      </c>
      <c r="B33" s="209">
        <f>SUM(B32)</f>
        <v>235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1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175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178</v>
      </c>
      <c r="B37" s="14">
        <f>L21</f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202</v>
      </c>
      <c r="B38" s="212">
        <f>L26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63</v>
      </c>
      <c r="B39" s="209">
        <f>SUM(B36:B38)</f>
        <v>2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0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1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198</v>
      </c>
      <c r="B42" s="14">
        <f>L14</f>
        <v>28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199</v>
      </c>
      <c r="B43" s="14">
        <f>L16</f>
        <v>14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179</v>
      </c>
      <c r="B44" s="14">
        <f>L22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180</v>
      </c>
      <c r="B45" s="212">
        <f>L23</f>
        <v>6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0" t="s">
        <v>194</v>
      </c>
      <c r="B46" s="212">
        <f>L24</f>
        <v>15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10" t="s">
        <v>197</v>
      </c>
      <c r="B47" s="212">
        <f>L19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10" t="s">
        <v>63</v>
      </c>
      <c r="B48" s="209">
        <f>SUM(B42:B47)</f>
        <v>63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1" t="s">
        <v>163</v>
      </c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0" t="s">
        <v>177</v>
      </c>
      <c r="B51" s="212">
        <f>L18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201</v>
      </c>
      <c r="B52" s="212">
        <f>L20</f>
        <v>2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0" t="s">
        <v>182</v>
      </c>
      <c r="B53" s="212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SUM(B51:B53)</f>
        <v>2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11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10" t="s">
        <v>176</v>
      </c>
      <c r="B57" s="212">
        <f>L17</f>
        <v>3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10" t="s">
        <v>63</v>
      </c>
      <c r="B58" s="213">
        <f>SUM(B57:B57)</f>
        <v>3</v>
      </c>
      <c r="C58" s="9"/>
      <c r="D58" s="9"/>
      <c r="E58" s="21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1">
      <selection activeCell="A10" sqref="A10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33">
        <f>2.36914285714286*10</f>
        <v>23.6914285714286</v>
      </c>
      <c r="D7" s="3" t="s">
        <v>2</v>
      </c>
      <c r="F7" s="2" t="s">
        <v>7</v>
      </c>
      <c r="H7" s="47">
        <v>225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'Pesado Clusters 100%'!L13</f>
        <v>235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5486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'Pesado Clusters 100%'!B48</f>
        <v>63</v>
      </c>
      <c r="K17" s="111">
        <f>I17/I18</f>
        <v>0.2680851063829787</v>
      </c>
      <c r="L17" s="37" t="s">
        <v>99</v>
      </c>
    </row>
    <row r="18" spans="4:9" ht="13.5" thickTop="1">
      <c r="D18" s="38" t="s">
        <v>189</v>
      </c>
      <c r="I18" s="102">
        <f>'Pesado Clusters 100%'!L13</f>
        <v>235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'Pesado Clusters 100%'!B54</f>
        <v>2</v>
      </c>
      <c r="K20" s="111">
        <f>I20/I21</f>
        <v>0.00851063829787234</v>
      </c>
      <c r="L20" s="37" t="s">
        <v>99</v>
      </c>
    </row>
    <row r="21" spans="4:9" ht="13.5" thickTop="1">
      <c r="D21" s="38" t="s">
        <v>189</v>
      </c>
      <c r="I21" s="104">
        <f>I18</f>
        <v>235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'Pesado Clusters 100%'!B39</f>
        <v>2</v>
      </c>
      <c r="K23" s="111">
        <f>I23/I24</f>
        <v>0.00851063829787234</v>
      </c>
      <c r="L23" s="37" t="s">
        <v>99</v>
      </c>
    </row>
    <row r="24" spans="4:9" ht="13.5" thickTop="1">
      <c r="D24" s="38" t="s">
        <v>189</v>
      </c>
      <c r="I24" s="105">
        <f>I18</f>
        <v>235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'Pesado Clusters 100%'!B58</f>
        <v>3</v>
      </c>
      <c r="K26" s="111">
        <f>I26/I27</f>
        <v>0.01276595744680851</v>
      </c>
      <c r="L26" s="37" t="s">
        <v>99</v>
      </c>
    </row>
    <row r="27" spans="4:9" ht="13.5" thickTop="1">
      <c r="D27" s="38" t="s">
        <v>189</v>
      </c>
      <c r="I27" s="106">
        <f>I18</f>
        <v>235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H9*H11</f>
        <v>1289210</v>
      </c>
      <c r="K29" s="47">
        <f>I29/I30</f>
        <v>5486</v>
      </c>
      <c r="L29" s="37" t="s">
        <v>2</v>
      </c>
    </row>
    <row r="30" spans="4:9" ht="13.5" thickTop="1">
      <c r="D30" s="38" t="s">
        <v>91</v>
      </c>
      <c r="I30" s="110">
        <f>I18</f>
        <v>235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'Pre-pesadas'!E18</f>
        <v>+ 0.08</v>
      </c>
      <c r="L35" s="58" t="str">
        <f>'Pre-pesadas'!H18</f>
        <v>+ 0.05</v>
      </c>
      <c r="N35" s="56">
        <f>J35+K35+L35</f>
        <v>1.1300000000000001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26.77131428571432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6199.18</v>
      </c>
      <c r="E40">
        <f>D40/D41-1</f>
        <v>0.029157956799055418</v>
      </c>
      <c r="F40" t="s">
        <v>99</v>
      </c>
    </row>
    <row r="41" spans="3:4" ht="12.75">
      <c r="C41" s="3" t="s">
        <v>97</v>
      </c>
      <c r="D41" s="3">
        <f>H7*E37</f>
        <v>6023.545714285721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0.2680851063829787</v>
      </c>
      <c r="C47" s="66">
        <f>K20</f>
        <v>0.00851063829787234</v>
      </c>
      <c r="D47" s="3">
        <f>K23</f>
        <v>0.00851063829787234</v>
      </c>
      <c r="E47" s="3">
        <f>K26</f>
        <v>0.01276595744680851</v>
      </c>
      <c r="F47">
        <f>E40</f>
        <v>0.029157956799055418</v>
      </c>
    </row>
    <row r="49" spans="1:3" ht="12.75">
      <c r="A49" s="2" t="s">
        <v>52</v>
      </c>
      <c r="B49">
        <f>B47+C47+D47+E47+F47</f>
        <v>0.3270302972245874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26.77131428571432</v>
      </c>
      <c r="F54" s="66">
        <f>B49+1</f>
        <v>1.3270302972245873</v>
      </c>
    </row>
    <row r="56" spans="1:5" ht="12.75">
      <c r="A56" s="2" t="s">
        <v>104</v>
      </c>
      <c r="D56">
        <f>E54*F54</f>
        <v>35.52634515366431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5.1063829787234045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48164" r:id="rId1"/>
    <oleObject progId="Equation.3" shapeId="648165" r:id="rId2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331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7</v>
      </c>
      <c r="D5" s="9"/>
      <c r="E5" s="9"/>
      <c r="F5" s="9"/>
      <c r="G5" s="10" t="s">
        <v>235</v>
      </c>
      <c r="H5" s="183">
        <v>2243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203</v>
      </c>
      <c r="B13" s="189">
        <v>313</v>
      </c>
      <c r="C13" s="190"/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5">SUM(B13)</f>
        <v>313</v>
      </c>
      <c r="M13" s="93"/>
      <c r="N13" s="95"/>
      <c r="O13" s="93"/>
      <c r="P13" s="95"/>
      <c r="Q13" s="93"/>
    </row>
    <row r="14" spans="1:17" ht="12.75">
      <c r="A14" s="194"/>
      <c r="B14" s="195">
        <v>0</v>
      </c>
      <c r="C14" s="24"/>
      <c r="D14" s="24"/>
      <c r="E14" s="24"/>
      <c r="F14" s="24"/>
      <c r="G14" s="24"/>
      <c r="H14" s="24"/>
      <c r="I14" s="131"/>
      <c r="J14" s="131"/>
      <c r="K14" s="137"/>
      <c r="L14" s="196">
        <f t="shared" si="0"/>
        <v>0</v>
      </c>
      <c r="M14" s="3"/>
      <c r="N14" s="3"/>
      <c r="O14" s="3"/>
      <c r="P14" s="3"/>
      <c r="Q14" s="3"/>
    </row>
    <row r="15" spans="1:17" ht="12.75">
      <c r="A15" s="194" t="s">
        <v>175</v>
      </c>
      <c r="B15" s="195">
        <v>0</v>
      </c>
      <c r="C15" s="24"/>
      <c r="D15" s="24"/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O15" s="3"/>
      <c r="P15" s="3"/>
      <c r="Q15" s="3"/>
    </row>
    <row r="16" spans="1:17" ht="12.75">
      <c r="A16" s="194" t="s">
        <v>176</v>
      </c>
      <c r="B16" s="195">
        <v>1</v>
      </c>
      <c r="C16" s="24"/>
      <c r="D16" s="24"/>
      <c r="E16" s="24"/>
      <c r="F16" s="24"/>
      <c r="G16" s="24"/>
      <c r="H16" s="24"/>
      <c r="I16" s="131"/>
      <c r="J16" s="131"/>
      <c r="K16" s="137"/>
      <c r="L16" s="197">
        <f t="shared" si="0"/>
        <v>1</v>
      </c>
      <c r="M16" s="3"/>
      <c r="N16" s="3"/>
      <c r="O16" s="3"/>
      <c r="P16" s="3"/>
      <c r="Q16" s="3"/>
    </row>
    <row r="17" spans="1:17" ht="12.75">
      <c r="A17" s="194" t="s">
        <v>177</v>
      </c>
      <c r="B17" s="195">
        <v>2</v>
      </c>
      <c r="C17" s="24"/>
      <c r="D17" s="24"/>
      <c r="E17" s="24"/>
      <c r="F17" s="24"/>
      <c r="G17" s="24"/>
      <c r="H17" s="24"/>
      <c r="I17" s="131"/>
      <c r="J17" s="131"/>
      <c r="K17" s="137"/>
      <c r="L17" s="197">
        <f t="shared" si="0"/>
        <v>2</v>
      </c>
      <c r="M17" s="3"/>
      <c r="N17" s="3"/>
      <c r="O17" s="3"/>
      <c r="P17" s="3"/>
      <c r="Q17" s="3"/>
    </row>
    <row r="18" spans="1:17" ht="12.75">
      <c r="A18" s="194" t="s">
        <v>197</v>
      </c>
      <c r="B18" s="195">
        <v>2</v>
      </c>
      <c r="C18" s="24"/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2</v>
      </c>
      <c r="M18" s="3"/>
      <c r="N18" s="3"/>
      <c r="O18" s="3"/>
      <c r="P18" s="3"/>
      <c r="Q18" s="3"/>
    </row>
    <row r="19" spans="1:17" ht="12.75">
      <c r="A19" s="194" t="s">
        <v>200</v>
      </c>
      <c r="B19" s="195">
        <v>1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1</v>
      </c>
      <c r="M19" s="3"/>
      <c r="N19" s="3"/>
      <c r="O19" s="3"/>
      <c r="P19" s="3"/>
      <c r="Q19" s="3"/>
    </row>
    <row r="20" spans="1:17" ht="12.75">
      <c r="A20" s="194" t="s">
        <v>178</v>
      </c>
      <c r="B20" s="195">
        <v>0</v>
      </c>
      <c r="C20" s="24"/>
      <c r="D20" s="24"/>
      <c r="E20" s="24"/>
      <c r="F20" s="24"/>
      <c r="G20" s="24"/>
      <c r="H20" s="24"/>
      <c r="I20" s="131"/>
      <c r="J20" s="131"/>
      <c r="K20" s="137"/>
      <c r="L20" s="196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179</v>
      </c>
      <c r="B21" s="195">
        <v>0</v>
      </c>
      <c r="C21" s="24"/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3"/>
      <c r="O21" s="3"/>
      <c r="P21" s="3"/>
      <c r="Q21" s="3"/>
    </row>
    <row r="22" spans="1:17" ht="12.75">
      <c r="A22" s="194" t="s">
        <v>180</v>
      </c>
      <c r="B22" s="195">
        <v>0</v>
      </c>
      <c r="C22" s="24"/>
      <c r="D22" s="24"/>
      <c r="E22" s="24"/>
      <c r="F22" s="24"/>
      <c r="G22" s="24"/>
      <c r="H22" s="24"/>
      <c r="I22" s="131"/>
      <c r="J22" s="131"/>
      <c r="K22" s="137"/>
      <c r="L22" s="197">
        <f t="shared" si="0"/>
        <v>0</v>
      </c>
      <c r="M22" s="3"/>
      <c r="N22" s="3"/>
      <c r="O22" s="3"/>
      <c r="P22" s="3"/>
      <c r="Q22" s="3"/>
    </row>
    <row r="23" spans="1:17" ht="12.75">
      <c r="A23" s="194" t="s">
        <v>194</v>
      </c>
      <c r="B23" s="195">
        <v>0</v>
      </c>
      <c r="C23" s="24"/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0</v>
      </c>
      <c r="M23" s="3"/>
      <c r="N23" s="3"/>
      <c r="O23" s="3"/>
      <c r="P23" s="3"/>
      <c r="Q23" s="3"/>
    </row>
    <row r="24" spans="1:17" ht="12.75">
      <c r="A24" s="198" t="s">
        <v>182</v>
      </c>
      <c r="B24" s="199">
        <v>0</v>
      </c>
      <c r="C24" s="21"/>
      <c r="D24" s="21"/>
      <c r="E24" s="21"/>
      <c r="F24" s="21"/>
      <c r="G24" s="21"/>
      <c r="H24" s="21"/>
      <c r="I24" s="121"/>
      <c r="J24" s="121"/>
      <c r="K24" s="200"/>
      <c r="L24" s="201">
        <f t="shared" si="0"/>
        <v>0</v>
      </c>
      <c r="M24" s="3"/>
      <c r="N24" s="3"/>
      <c r="O24" s="3"/>
      <c r="P24" s="3"/>
      <c r="Q24" s="3"/>
    </row>
    <row r="25" spans="1:17" ht="13.5" thickBot="1">
      <c r="A25" s="202" t="s">
        <v>202</v>
      </c>
      <c r="B25" s="203">
        <v>1</v>
      </c>
      <c r="C25" s="204"/>
      <c r="D25" s="204"/>
      <c r="E25" s="204"/>
      <c r="F25" s="204"/>
      <c r="G25" s="204"/>
      <c r="H25" s="204"/>
      <c r="I25" s="205"/>
      <c r="J25" s="205"/>
      <c r="K25" s="206"/>
      <c r="L25" s="207">
        <f t="shared" si="0"/>
        <v>1</v>
      </c>
      <c r="M25" s="3"/>
      <c r="N25" s="3"/>
      <c r="O25" s="3"/>
      <c r="P25" s="3"/>
      <c r="Q25" s="3"/>
    </row>
    <row r="26" spans="1:17" ht="13.5" thickBot="1">
      <c r="A26" s="208" t="s">
        <v>185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09">
        <f>SUM(L13:L25)</f>
        <v>320</v>
      </c>
      <c r="M26" s="3"/>
      <c r="N26" s="3"/>
      <c r="O26" s="3"/>
      <c r="P26" s="3"/>
      <c r="Q26" s="3"/>
    </row>
    <row r="27" spans="1:17" ht="12.75">
      <c r="A27" s="210"/>
      <c r="B27" s="9"/>
      <c r="C27" s="9"/>
      <c r="D27" s="9"/>
      <c r="E27" s="9"/>
      <c r="F27" s="9"/>
      <c r="G27" s="9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10"/>
      <c r="B29" s="165" t="s">
        <v>188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1" t="s">
        <v>187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3.5" thickBot="1">
      <c r="A31" s="210" t="s">
        <v>203</v>
      </c>
      <c r="B31" s="14">
        <f>L13</f>
        <v>313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63</v>
      </c>
      <c r="B32" s="209">
        <f>SUM(B31:B31)</f>
        <v>313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11" t="s">
        <v>164</v>
      </c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0" t="s">
        <v>175</v>
      </c>
      <c r="B35" s="14">
        <f>L15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202</v>
      </c>
      <c r="B36" s="212">
        <f>L25</f>
        <v>1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10" t="s">
        <v>178</v>
      </c>
      <c r="B37" s="14">
        <f>L20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63</v>
      </c>
      <c r="B38" s="209">
        <f>SUM(B35:B37)</f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0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1" t="s">
        <v>162</v>
      </c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/>
      <c r="B41" s="14">
        <f>L14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179</v>
      </c>
      <c r="B42" s="14">
        <f>L21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180</v>
      </c>
      <c r="B43" s="212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194</v>
      </c>
      <c r="B44" s="212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thickBot="1">
      <c r="A45" s="210" t="s">
        <v>197</v>
      </c>
      <c r="B45" s="212">
        <f>L18</f>
        <v>2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10" t="s">
        <v>63</v>
      </c>
      <c r="B46" s="209">
        <f>SUM(B41:B45)</f>
        <v>2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11" t="s">
        <v>163</v>
      </c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10" t="s">
        <v>177</v>
      </c>
      <c r="B49" s="212">
        <f>L17</f>
        <v>2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0" t="s">
        <v>201</v>
      </c>
      <c r="B50" s="212">
        <f>L19</f>
        <v>1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thickBot="1">
      <c r="A51" s="210" t="s">
        <v>182</v>
      </c>
      <c r="B51" s="212">
        <f>L24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10" t="s">
        <v>63</v>
      </c>
      <c r="B52" s="213">
        <f>SUM(B49:B51)</f>
        <v>3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11" t="s">
        <v>165</v>
      </c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10" t="s">
        <v>176</v>
      </c>
      <c r="B55" s="212">
        <f>L16</f>
        <v>1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10" t="s">
        <v>63</v>
      </c>
      <c r="B56" s="213">
        <f>SUM(B55:B55)</f>
        <v>1</v>
      </c>
      <c r="C56" s="9"/>
      <c r="D56" s="9"/>
      <c r="E56" s="219"/>
      <c r="F56" s="9"/>
      <c r="G56" s="9"/>
      <c r="H56" s="9"/>
      <c r="I56" s="9"/>
      <c r="J56" s="9"/>
      <c r="K56" s="9"/>
      <c r="L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B41">
      <selection activeCell="A36" sqref="A36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8.518400000000002</v>
      </c>
      <c r="D7" s="3" t="s">
        <v>2</v>
      </c>
      <c r="F7" s="2" t="s">
        <v>7</v>
      </c>
      <c r="H7" s="47">
        <v>241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Fumigado!L13</f>
        <v>313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2243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Fumigado!B46</f>
        <v>2</v>
      </c>
      <c r="K17" s="111">
        <f>I17/I18</f>
        <v>0.00625</v>
      </c>
      <c r="L17" s="37" t="s">
        <v>99</v>
      </c>
    </row>
    <row r="18" spans="4:9" ht="13.5" thickTop="1">
      <c r="D18" s="38" t="s">
        <v>189</v>
      </c>
      <c r="I18" s="102">
        <f>Fumigado!L26</f>
        <v>320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Fumigado!B52</f>
        <v>3</v>
      </c>
      <c r="K20" s="111">
        <f>I20/I21</f>
        <v>0.009375</v>
      </c>
      <c r="L20" s="37" t="s">
        <v>99</v>
      </c>
    </row>
    <row r="21" spans="4:9" ht="13.5" thickTop="1">
      <c r="D21" s="38" t="s">
        <v>189</v>
      </c>
      <c r="I21" s="104">
        <f>I18</f>
        <v>320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Fumigado!B38</f>
        <v>1</v>
      </c>
      <c r="K23" s="111">
        <f>I23/I24</f>
        <v>0.003125</v>
      </c>
      <c r="L23" s="37" t="s">
        <v>99</v>
      </c>
    </row>
    <row r="24" spans="4:9" ht="13.5" thickTop="1">
      <c r="D24" s="38" t="s">
        <v>189</v>
      </c>
      <c r="I24" s="105">
        <f>I18</f>
        <v>320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Fumigado!B56</f>
        <v>1</v>
      </c>
      <c r="K26" s="111">
        <f>I26/I27</f>
        <v>0.003125</v>
      </c>
      <c r="L26" s="37" t="s">
        <v>99</v>
      </c>
    </row>
    <row r="27" spans="4:9" ht="13.5" thickTop="1">
      <c r="D27" s="38" t="s">
        <v>189</v>
      </c>
      <c r="I27" s="106">
        <f>I18</f>
        <v>320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Fumigado!L13*H11</f>
        <v>702059</v>
      </c>
      <c r="K29" s="47">
        <f>I29/I30</f>
        <v>2193.934375</v>
      </c>
      <c r="L29" s="37" t="s">
        <v>2</v>
      </c>
    </row>
    <row r="30" spans="4:9" ht="13.5" thickTop="1">
      <c r="D30" s="38" t="s">
        <v>91</v>
      </c>
      <c r="I30" s="110">
        <f>I18</f>
        <v>320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'Pre-pesadas'!E19</f>
        <v>+ 0.03</v>
      </c>
      <c r="L35" s="58" t="str">
        <f>'Pre-pesadas'!H19</f>
        <v>+ 0.02</v>
      </c>
      <c r="N35" s="56">
        <f>J35+K35+L35</f>
        <v>1.05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8.944320000000001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2303.6310937499998</v>
      </c>
      <c r="E40">
        <f>D40/D41-1</f>
        <v>0.06868216295659502</v>
      </c>
      <c r="F40" t="s">
        <v>99</v>
      </c>
    </row>
    <row r="41" spans="3:4" ht="12.75">
      <c r="C41" s="3" t="s">
        <v>97</v>
      </c>
      <c r="D41" s="3">
        <f>H7*E37</f>
        <v>2155.5811200000003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0.00625</v>
      </c>
      <c r="C47" s="66">
        <f>K20</f>
        <v>0.009375</v>
      </c>
      <c r="D47" s="3">
        <f>K23</f>
        <v>0.003125</v>
      </c>
      <c r="E47" s="3">
        <f>K26</f>
        <v>0.003125</v>
      </c>
      <c r="F47">
        <f>E40</f>
        <v>0.06868216295659502</v>
      </c>
    </row>
    <row r="49" spans="1:3" ht="12.75">
      <c r="A49" s="2" t="s">
        <v>52</v>
      </c>
      <c r="B49">
        <f>B47+C47+D47+E47+F47</f>
        <v>0.09055716295659502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8.944320000000001</v>
      </c>
      <c r="F54" s="66">
        <f>B49+1</f>
        <v>1.090557162956595</v>
      </c>
    </row>
    <row r="56" spans="1:5" ht="12.75">
      <c r="A56" s="2" t="s">
        <v>104</v>
      </c>
      <c r="D56">
        <f>E54*F54</f>
        <v>9.754292243775934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3.9678401779578336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52875" r:id="rId1"/>
    <oleObject progId="Equation.3" shapeId="652876" r:id="rId2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332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22</v>
      </c>
      <c r="D5" s="9"/>
      <c r="E5" s="9"/>
      <c r="F5" s="9"/>
      <c r="G5" s="10" t="s">
        <v>235</v>
      </c>
      <c r="H5" s="183">
        <v>8444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15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205</v>
      </c>
      <c r="B13" s="189">
        <v>108</v>
      </c>
      <c r="C13" s="190">
        <v>107</v>
      </c>
      <c r="D13" s="190">
        <v>107</v>
      </c>
      <c r="E13" s="190"/>
      <c r="F13" s="190"/>
      <c r="G13" s="190"/>
      <c r="H13" s="190"/>
      <c r="I13" s="191"/>
      <c r="J13" s="191"/>
      <c r="K13" s="192"/>
      <c r="L13" s="193">
        <f>SUM(B13:D13)</f>
        <v>322</v>
      </c>
      <c r="M13" s="93"/>
      <c r="N13" s="95"/>
      <c r="O13" s="93"/>
      <c r="P13" s="95"/>
      <c r="Q13" s="93"/>
    </row>
    <row r="14" spans="1:17" ht="12.75">
      <c r="A14" s="194" t="s">
        <v>198</v>
      </c>
      <c r="B14" s="195">
        <v>8</v>
      </c>
      <c r="C14" s="24">
        <v>8</v>
      </c>
      <c r="D14" s="24">
        <v>8</v>
      </c>
      <c r="E14" s="24"/>
      <c r="F14" s="24"/>
      <c r="G14" s="24"/>
      <c r="H14" s="24"/>
      <c r="I14" s="131"/>
      <c r="J14" s="131"/>
      <c r="K14" s="137"/>
      <c r="L14" s="196">
        <f>SUM(B14:D14)</f>
        <v>24</v>
      </c>
      <c r="M14" s="3"/>
      <c r="N14" s="3"/>
      <c r="O14" s="3"/>
      <c r="P14" s="3"/>
      <c r="Q14" s="3"/>
    </row>
    <row r="15" spans="1:17" ht="12.75">
      <c r="A15" s="194" t="s">
        <v>175</v>
      </c>
      <c r="B15" s="195">
        <v>0</v>
      </c>
      <c r="C15" s="24">
        <v>0</v>
      </c>
      <c r="D15" s="24">
        <v>0</v>
      </c>
      <c r="E15" s="24"/>
      <c r="F15" s="24"/>
      <c r="G15" s="24"/>
      <c r="H15" s="24"/>
      <c r="I15" s="131"/>
      <c r="J15" s="131"/>
      <c r="K15" s="137"/>
      <c r="L15" s="196">
        <f aca="true" t="shared" si="0" ref="L15:L24">SUM(B15:D15)</f>
        <v>0</v>
      </c>
      <c r="M15" s="3"/>
      <c r="N15" s="3"/>
      <c r="O15" s="3"/>
      <c r="P15" s="3"/>
      <c r="Q15" s="3"/>
    </row>
    <row r="16" spans="1:17" ht="12.75">
      <c r="A16" s="194" t="s">
        <v>176</v>
      </c>
      <c r="B16" s="195">
        <v>0</v>
      </c>
      <c r="C16" s="24">
        <v>0</v>
      </c>
      <c r="D16" s="24">
        <v>0</v>
      </c>
      <c r="E16" s="24"/>
      <c r="F16" s="24"/>
      <c r="G16" s="24"/>
      <c r="H16" s="24"/>
      <c r="I16" s="131"/>
      <c r="J16" s="131"/>
      <c r="K16" s="137"/>
      <c r="L16" s="196">
        <f t="shared" si="0"/>
        <v>0</v>
      </c>
      <c r="M16" s="3"/>
      <c r="N16" s="3"/>
      <c r="O16" s="3"/>
      <c r="P16" s="3"/>
      <c r="Q16" s="3"/>
    </row>
    <row r="17" spans="1:17" ht="12.75">
      <c r="A17" s="194" t="s">
        <v>177</v>
      </c>
      <c r="B17" s="195">
        <v>0</v>
      </c>
      <c r="C17" s="24">
        <v>0</v>
      </c>
      <c r="D17" s="24">
        <v>0</v>
      </c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204</v>
      </c>
      <c r="B18" s="195">
        <v>4</v>
      </c>
      <c r="C18" s="24">
        <v>4</v>
      </c>
      <c r="D18" s="24">
        <v>3</v>
      </c>
      <c r="E18" s="24"/>
      <c r="F18" s="24"/>
      <c r="G18" s="24"/>
      <c r="H18" s="24"/>
      <c r="I18" s="131"/>
      <c r="J18" s="131"/>
      <c r="K18" s="137"/>
      <c r="L18" s="196">
        <f t="shared" si="0"/>
        <v>11</v>
      </c>
      <c r="M18" s="3"/>
      <c r="N18" s="3"/>
      <c r="O18" s="3"/>
      <c r="P18" s="3"/>
      <c r="Q18" s="3"/>
    </row>
    <row r="19" spans="1:17" ht="12.75">
      <c r="A19" s="194" t="s">
        <v>200</v>
      </c>
      <c r="B19" s="195">
        <v>0</v>
      </c>
      <c r="C19" s="24">
        <v>0</v>
      </c>
      <c r="D19" s="24">
        <v>0</v>
      </c>
      <c r="E19" s="24"/>
      <c r="F19" s="24"/>
      <c r="G19" s="24"/>
      <c r="H19" s="24"/>
      <c r="I19" s="131"/>
      <c r="J19" s="131"/>
      <c r="K19" s="137"/>
      <c r="L19" s="196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178</v>
      </c>
      <c r="B20" s="195">
        <v>0</v>
      </c>
      <c r="C20" s="24">
        <v>0</v>
      </c>
      <c r="D20" s="24">
        <v>0</v>
      </c>
      <c r="E20" s="24"/>
      <c r="F20" s="24"/>
      <c r="G20" s="24"/>
      <c r="H20" s="24"/>
      <c r="I20" s="131"/>
      <c r="J20" s="131"/>
      <c r="K20" s="137"/>
      <c r="L20" s="196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179</v>
      </c>
      <c r="B21" s="195">
        <v>0</v>
      </c>
      <c r="C21" s="24">
        <v>0</v>
      </c>
      <c r="D21" s="24">
        <v>0</v>
      </c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3"/>
      <c r="O21" s="3"/>
      <c r="P21" s="3"/>
      <c r="Q21" s="3"/>
    </row>
    <row r="22" spans="1:17" ht="12.75">
      <c r="A22" s="194" t="s">
        <v>180</v>
      </c>
      <c r="B22" s="195">
        <v>0</v>
      </c>
      <c r="C22" s="24">
        <v>0</v>
      </c>
      <c r="D22" s="24">
        <v>0</v>
      </c>
      <c r="E22" s="24"/>
      <c r="F22" s="24"/>
      <c r="G22" s="24"/>
      <c r="H22" s="24"/>
      <c r="I22" s="131"/>
      <c r="J22" s="131"/>
      <c r="K22" s="137"/>
      <c r="L22" s="196">
        <f t="shared" si="0"/>
        <v>0</v>
      </c>
      <c r="M22" s="3"/>
      <c r="N22" s="3"/>
      <c r="O22" s="3"/>
      <c r="P22" s="3"/>
      <c r="Q22" s="3"/>
    </row>
    <row r="23" spans="1:17" ht="12.75">
      <c r="A23" s="194" t="s">
        <v>194</v>
      </c>
      <c r="B23" s="195">
        <v>10</v>
      </c>
      <c r="C23" s="24">
        <v>9</v>
      </c>
      <c r="D23" s="24">
        <v>8</v>
      </c>
      <c r="E23" s="24"/>
      <c r="F23" s="24"/>
      <c r="G23" s="24"/>
      <c r="H23" s="24"/>
      <c r="I23" s="131"/>
      <c r="J23" s="131"/>
      <c r="K23" s="137"/>
      <c r="L23" s="196">
        <f t="shared" si="0"/>
        <v>27</v>
      </c>
      <c r="M23" s="3"/>
      <c r="N23" s="3"/>
      <c r="O23" s="3"/>
      <c r="P23" s="3"/>
      <c r="Q23" s="3"/>
    </row>
    <row r="24" spans="1:17" ht="12.75">
      <c r="A24" s="198" t="s">
        <v>182</v>
      </c>
      <c r="B24" s="199">
        <v>0</v>
      </c>
      <c r="C24" s="21">
        <v>0</v>
      </c>
      <c r="D24" s="21">
        <v>0</v>
      </c>
      <c r="E24" s="21"/>
      <c r="F24" s="21"/>
      <c r="G24" s="21"/>
      <c r="H24" s="21"/>
      <c r="I24" s="121"/>
      <c r="J24" s="121"/>
      <c r="K24" s="200"/>
      <c r="L24" s="196">
        <f t="shared" si="0"/>
        <v>0</v>
      </c>
      <c r="M24" s="3"/>
      <c r="N24" s="3"/>
      <c r="O24" s="3"/>
      <c r="P24" s="3"/>
      <c r="Q24" s="3"/>
    </row>
    <row r="25" spans="1:17" ht="13.5" thickBot="1">
      <c r="A25" s="202" t="s">
        <v>202</v>
      </c>
      <c r="B25" s="203">
        <v>0</v>
      </c>
      <c r="C25" s="204">
        <v>0</v>
      </c>
      <c r="D25" s="204">
        <v>0</v>
      </c>
      <c r="E25" s="204"/>
      <c r="F25" s="204"/>
      <c r="G25" s="204"/>
      <c r="H25" s="204"/>
      <c r="I25" s="205"/>
      <c r="J25" s="205"/>
      <c r="K25" s="206"/>
      <c r="L25" s="207">
        <f>SUM(B25:D25)</f>
        <v>0</v>
      </c>
      <c r="M25" s="3"/>
      <c r="N25" s="3"/>
      <c r="O25" s="3"/>
      <c r="P25" s="3"/>
      <c r="Q25" s="3"/>
    </row>
    <row r="26" spans="1:17" ht="13.5" thickBot="1">
      <c r="A26" s="208" t="s">
        <v>185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09">
        <f>SUM(L13:L25)</f>
        <v>384</v>
      </c>
      <c r="M26" s="3"/>
      <c r="N26" s="3"/>
      <c r="O26" s="3"/>
      <c r="P26" s="3"/>
      <c r="Q26" s="3"/>
    </row>
    <row r="27" spans="1:17" ht="12.75">
      <c r="A27" s="210"/>
      <c r="B27" s="9"/>
      <c r="C27" s="9"/>
      <c r="D27" s="9"/>
      <c r="E27" s="9"/>
      <c r="F27" s="9"/>
      <c r="G27" s="9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10"/>
      <c r="B29" s="165" t="s">
        <v>188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1" t="s">
        <v>187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3.5" thickBot="1">
      <c r="A31" s="210" t="s">
        <v>291</v>
      </c>
      <c r="B31" s="14">
        <f>L13</f>
        <v>322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63</v>
      </c>
      <c r="B32" s="209">
        <f>SUM(B31:B31)</f>
        <v>322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11" t="s">
        <v>164</v>
      </c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0" t="s">
        <v>175</v>
      </c>
      <c r="B35" s="14">
        <f>L15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202</v>
      </c>
      <c r="B36" s="212">
        <f>L25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10" t="s">
        <v>178</v>
      </c>
      <c r="B37" s="14">
        <f>L20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63</v>
      </c>
      <c r="B38" s="209">
        <f>SUM(B35:B37)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0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1" t="s">
        <v>162</v>
      </c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 t="s">
        <v>198</v>
      </c>
      <c r="B41" s="14">
        <f>L14</f>
        <v>24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179</v>
      </c>
      <c r="B42" s="14">
        <f>L21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180</v>
      </c>
      <c r="B43" s="212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194</v>
      </c>
      <c r="B44" s="212">
        <f>L23</f>
        <v>27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thickBot="1">
      <c r="A45" s="210" t="s">
        <v>204</v>
      </c>
      <c r="B45" s="212">
        <f>L18</f>
        <v>11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10" t="s">
        <v>63</v>
      </c>
      <c r="B46" s="209">
        <f>SUM(B41:B45)</f>
        <v>62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11" t="s">
        <v>163</v>
      </c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10" t="s">
        <v>177</v>
      </c>
      <c r="B49" s="212">
        <f>L17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0" t="s">
        <v>201</v>
      </c>
      <c r="B50" s="212">
        <f>L19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thickBot="1">
      <c r="A51" s="210" t="s">
        <v>182</v>
      </c>
      <c r="B51" s="212">
        <f>L24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10" t="s">
        <v>63</v>
      </c>
      <c r="B52" s="213">
        <f>SUM(B49:B51)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11" t="s">
        <v>165</v>
      </c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10" t="s">
        <v>176</v>
      </c>
      <c r="B55" s="212">
        <f>L16</f>
        <v>0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10" t="s">
        <v>63</v>
      </c>
      <c r="B56" s="213">
        <f>SUM(B55:B55)</f>
        <v>0</v>
      </c>
      <c r="C56" s="9"/>
      <c r="D56" s="9"/>
      <c r="E56" s="219"/>
      <c r="F56" s="9"/>
      <c r="G56" s="9"/>
      <c r="H56" s="9"/>
      <c r="I56" s="9"/>
      <c r="J56" s="9"/>
      <c r="K56" s="9"/>
      <c r="L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41">
      <selection activeCell="A54" sqref="A54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f>3.08714285714286*10</f>
        <v>30.8714285714286</v>
      </c>
      <c r="D7" s="3" t="s">
        <v>2</v>
      </c>
      <c r="F7" s="2" t="s">
        <v>7</v>
      </c>
      <c r="H7" s="47">
        <v>225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'Enfundar Clusters'!L13</f>
        <v>322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8444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'Enfundar Clusters'!B46</f>
        <v>62</v>
      </c>
      <c r="K17" s="111">
        <f>I17/I18</f>
        <v>0.16145833333333334</v>
      </c>
      <c r="L17" s="37" t="s">
        <v>99</v>
      </c>
    </row>
    <row r="18" spans="4:9" ht="13.5" thickTop="1">
      <c r="D18" s="38" t="s">
        <v>189</v>
      </c>
      <c r="I18" s="102">
        <f>'Enfundar Clusters'!L26</f>
        <v>384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'Enfundar Clusters'!B52</f>
        <v>0</v>
      </c>
      <c r="K20" s="111">
        <f>I20/I21</f>
        <v>0</v>
      </c>
      <c r="L20" s="37" t="s">
        <v>99</v>
      </c>
    </row>
    <row r="21" spans="4:9" ht="13.5" thickTop="1">
      <c r="D21" s="38" t="s">
        <v>189</v>
      </c>
      <c r="I21" s="104">
        <f>I18</f>
        <v>384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'Enfundar Clusters'!B38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384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'Enfundar Clusters'!B56</f>
        <v>0</v>
      </c>
      <c r="K26" s="111">
        <f>I26/I27</f>
        <v>0</v>
      </c>
      <c r="L26" s="37" t="s">
        <v>99</v>
      </c>
    </row>
    <row r="27" spans="4:9" ht="13.5" thickTop="1">
      <c r="D27" s="38" t="s">
        <v>189</v>
      </c>
      <c r="I27" s="106">
        <f>I18</f>
        <v>384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H9*H11</f>
        <v>2718968</v>
      </c>
      <c r="K29" s="47">
        <f>I29/I30</f>
        <v>7080.645833333333</v>
      </c>
      <c r="L29" s="37" t="s">
        <v>2</v>
      </c>
    </row>
    <row r="30" spans="4:9" ht="13.5" thickTop="1">
      <c r="D30" s="38" t="s">
        <v>91</v>
      </c>
      <c r="I30" s="110">
        <f>I18</f>
        <v>384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35.81085714285718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8213.549166666668</v>
      </c>
      <c r="E40">
        <f>D40/D41-1</f>
        <v>0.019374175193239473</v>
      </c>
      <c r="F40" t="s">
        <v>99</v>
      </c>
    </row>
    <row r="41" spans="3:4" ht="12.75">
      <c r="C41" s="3" t="s">
        <v>97</v>
      </c>
      <c r="D41" s="3">
        <f>H7*E37</f>
        <v>8057.442857142865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0.16145833333333334</v>
      </c>
      <c r="C47" s="66">
        <f>K20</f>
        <v>0</v>
      </c>
      <c r="D47" s="3">
        <f>K23</f>
        <v>0</v>
      </c>
      <c r="E47" s="3">
        <f>K26</f>
        <v>0</v>
      </c>
      <c r="F47">
        <f>E40</f>
        <v>0.019374175193239473</v>
      </c>
    </row>
    <row r="49" spans="1:3" ht="12.75">
      <c r="A49" s="2" t="s">
        <v>52</v>
      </c>
      <c r="B49">
        <f>B47+C47+D47+E47+F47</f>
        <v>0.18083250852657282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35.81085714285718</v>
      </c>
      <c r="F54" s="66">
        <f>B49+1</f>
        <v>1.1808325085265727</v>
      </c>
    </row>
    <row r="56" spans="1:5" ht="12.75">
      <c r="A56" s="2" t="s">
        <v>104</v>
      </c>
      <c r="D56">
        <f>E54*F54</f>
        <v>42.28662427248678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3.7267080745341614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56802" r:id="rId1"/>
    <oleObject progId="Equation.3" shapeId="656803" r:id="rId2"/>
  </oleObjects>
</worksheet>
</file>

<file path=xl/worksheets/sheet26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333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30</v>
      </c>
      <c r="D5" s="9"/>
      <c r="E5" s="9"/>
      <c r="F5" s="9"/>
      <c r="G5" s="10" t="s">
        <v>235</v>
      </c>
      <c r="H5" s="183">
        <v>11514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15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172</v>
      </c>
      <c r="B13" s="189">
        <v>53</v>
      </c>
      <c r="C13" s="190">
        <v>57</v>
      </c>
      <c r="D13" s="190">
        <v>58</v>
      </c>
      <c r="E13" s="190"/>
      <c r="F13" s="190"/>
      <c r="G13" s="190"/>
      <c r="H13" s="190"/>
      <c r="I13" s="191"/>
      <c r="J13" s="191"/>
      <c r="K13" s="192"/>
      <c r="L13" s="193">
        <f aca="true" t="shared" si="0" ref="L13:L25">SUM(B13:D13)</f>
        <v>168</v>
      </c>
      <c r="M13" s="93"/>
      <c r="N13" s="95"/>
      <c r="O13" s="93"/>
      <c r="P13" s="95"/>
      <c r="Q13" s="93"/>
    </row>
    <row r="14" spans="1:17" ht="12.75">
      <c r="A14" s="194" t="s">
        <v>198</v>
      </c>
      <c r="B14" s="195">
        <v>7</v>
      </c>
      <c r="C14" s="24">
        <v>0</v>
      </c>
      <c r="D14" s="24">
        <v>0</v>
      </c>
      <c r="E14" s="24"/>
      <c r="F14" s="24"/>
      <c r="G14" s="24"/>
      <c r="H14" s="24"/>
      <c r="I14" s="131"/>
      <c r="J14" s="131"/>
      <c r="K14" s="137"/>
      <c r="L14" s="196">
        <f t="shared" si="0"/>
        <v>7</v>
      </c>
      <c r="M14" s="3"/>
      <c r="N14" s="3"/>
      <c r="O14" s="3"/>
      <c r="P14" s="3"/>
      <c r="Q14" s="3"/>
    </row>
    <row r="15" spans="1:17" ht="12.75">
      <c r="A15" s="194" t="s">
        <v>175</v>
      </c>
      <c r="B15" s="195">
        <v>0</v>
      </c>
      <c r="C15" s="24">
        <v>0</v>
      </c>
      <c r="D15" s="24">
        <v>0</v>
      </c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O15" s="3"/>
      <c r="P15" s="3"/>
      <c r="Q15" s="3"/>
    </row>
    <row r="16" spans="1:17" ht="12.75">
      <c r="A16" s="194" t="s">
        <v>176</v>
      </c>
      <c r="B16" s="195"/>
      <c r="C16" s="24">
        <v>1</v>
      </c>
      <c r="D16" s="24">
        <v>1</v>
      </c>
      <c r="E16" s="24"/>
      <c r="F16" s="24"/>
      <c r="G16" s="24"/>
      <c r="H16" s="24"/>
      <c r="I16" s="131"/>
      <c r="J16" s="131"/>
      <c r="K16" s="137"/>
      <c r="L16" s="196">
        <f t="shared" si="0"/>
        <v>2</v>
      </c>
      <c r="M16" s="3"/>
      <c r="N16" s="3"/>
      <c r="O16" s="3"/>
      <c r="P16" s="3"/>
      <c r="Q16" s="3"/>
    </row>
    <row r="17" spans="1:17" ht="12.75">
      <c r="A17" s="194" t="s">
        <v>177</v>
      </c>
      <c r="B17" s="195"/>
      <c r="C17" s="24"/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204</v>
      </c>
      <c r="B18" s="195"/>
      <c r="C18" s="24"/>
      <c r="D18" s="24"/>
      <c r="E18" s="24"/>
      <c r="F18" s="24"/>
      <c r="G18" s="24"/>
      <c r="H18" s="24"/>
      <c r="I18" s="131"/>
      <c r="J18" s="131"/>
      <c r="K18" s="137"/>
      <c r="L18" s="196">
        <f t="shared" si="0"/>
        <v>0</v>
      </c>
      <c r="M18" s="3"/>
      <c r="N18" s="3"/>
      <c r="O18" s="3"/>
      <c r="P18" s="3"/>
      <c r="Q18" s="3"/>
    </row>
    <row r="19" spans="1:17" ht="12.75">
      <c r="A19" s="194" t="s">
        <v>200</v>
      </c>
      <c r="B19" s="195"/>
      <c r="C19" s="24"/>
      <c r="D19" s="24"/>
      <c r="E19" s="24"/>
      <c r="F19" s="24"/>
      <c r="G19" s="24"/>
      <c r="H19" s="24"/>
      <c r="I19" s="131"/>
      <c r="J19" s="131"/>
      <c r="K19" s="137"/>
      <c r="L19" s="196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178</v>
      </c>
      <c r="B20" s="195"/>
      <c r="C20" s="24"/>
      <c r="D20" s="24">
        <v>1</v>
      </c>
      <c r="E20" s="24"/>
      <c r="F20" s="24"/>
      <c r="G20" s="24"/>
      <c r="H20" s="24"/>
      <c r="I20" s="131"/>
      <c r="J20" s="131"/>
      <c r="K20" s="137"/>
      <c r="L20" s="196">
        <f t="shared" si="0"/>
        <v>1</v>
      </c>
      <c r="M20" s="3"/>
      <c r="N20" s="3"/>
      <c r="O20" s="3"/>
      <c r="P20" s="3"/>
      <c r="Q20" s="3"/>
    </row>
    <row r="21" spans="1:17" ht="12.75">
      <c r="A21" s="194" t="s">
        <v>179</v>
      </c>
      <c r="B21" s="195"/>
      <c r="C21" s="24">
        <v>1</v>
      </c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1</v>
      </c>
      <c r="M21" s="3"/>
      <c r="N21" s="3"/>
      <c r="O21" s="3"/>
      <c r="P21" s="3"/>
      <c r="Q21" s="3"/>
    </row>
    <row r="22" spans="1:17" ht="12.75">
      <c r="A22" s="194" t="s">
        <v>180</v>
      </c>
      <c r="B22" s="195"/>
      <c r="C22" s="24">
        <v>1</v>
      </c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1</v>
      </c>
      <c r="M22" s="3"/>
      <c r="N22" s="3"/>
      <c r="O22" s="3"/>
      <c r="P22" s="3"/>
      <c r="Q22" s="3"/>
    </row>
    <row r="23" spans="1:17" ht="12.75">
      <c r="A23" s="194" t="s">
        <v>194</v>
      </c>
      <c r="B23" s="195"/>
      <c r="C23" s="24"/>
      <c r="D23" s="24"/>
      <c r="E23" s="24"/>
      <c r="F23" s="24"/>
      <c r="G23" s="24"/>
      <c r="H23" s="24"/>
      <c r="I23" s="131"/>
      <c r="J23" s="131"/>
      <c r="K23" s="137"/>
      <c r="L23" s="196">
        <f t="shared" si="0"/>
        <v>0</v>
      </c>
      <c r="M23" s="3"/>
      <c r="N23" s="3"/>
      <c r="O23" s="3"/>
      <c r="P23" s="3"/>
      <c r="Q23" s="3"/>
    </row>
    <row r="24" spans="1:17" ht="12.75">
      <c r="A24" s="198" t="s">
        <v>182</v>
      </c>
      <c r="B24" s="199"/>
      <c r="C24" s="21"/>
      <c r="D24" s="21"/>
      <c r="E24" s="21"/>
      <c r="F24" s="21"/>
      <c r="G24" s="21"/>
      <c r="H24" s="21"/>
      <c r="I24" s="121"/>
      <c r="J24" s="121"/>
      <c r="K24" s="200"/>
      <c r="L24" s="196">
        <f t="shared" si="0"/>
        <v>0</v>
      </c>
      <c r="M24" s="3"/>
      <c r="N24" s="3"/>
      <c r="O24" s="3"/>
      <c r="P24" s="3"/>
      <c r="Q24" s="3"/>
    </row>
    <row r="25" spans="1:17" ht="13.5" thickBot="1">
      <c r="A25" s="202" t="s">
        <v>202</v>
      </c>
      <c r="B25" s="203"/>
      <c r="C25" s="204"/>
      <c r="D25" s="204"/>
      <c r="E25" s="204"/>
      <c r="F25" s="204"/>
      <c r="G25" s="204"/>
      <c r="H25" s="204"/>
      <c r="I25" s="205"/>
      <c r="J25" s="205"/>
      <c r="K25" s="206"/>
      <c r="L25" s="207">
        <f t="shared" si="0"/>
        <v>0</v>
      </c>
      <c r="M25" s="3"/>
      <c r="N25" s="3"/>
      <c r="O25" s="3"/>
      <c r="P25" s="3"/>
      <c r="Q25" s="3"/>
    </row>
    <row r="26" spans="1:17" ht="13.5" thickBot="1">
      <c r="A26" s="208" t="s">
        <v>185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09">
        <f>SUM(L13:L25)</f>
        <v>180</v>
      </c>
      <c r="M26" s="3"/>
      <c r="N26" s="3"/>
      <c r="O26" s="3"/>
      <c r="P26" s="3"/>
      <c r="Q26" s="3"/>
    </row>
    <row r="27" spans="1:17" ht="12.75">
      <c r="A27" s="210"/>
      <c r="B27" s="9"/>
      <c r="C27" s="9"/>
      <c r="D27" s="9"/>
      <c r="E27" s="9"/>
      <c r="F27" s="9"/>
      <c r="G27" s="9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10"/>
      <c r="B29" s="165" t="s">
        <v>188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1" t="s">
        <v>187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3.5" thickBot="1">
      <c r="A31" s="210" t="s">
        <v>292</v>
      </c>
      <c r="B31" s="14">
        <f>L13</f>
        <v>168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63</v>
      </c>
      <c r="B32" s="209">
        <f>SUM(B31:B31)</f>
        <v>168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11" t="s">
        <v>164</v>
      </c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0" t="s">
        <v>175</v>
      </c>
      <c r="B35" s="14">
        <f>L15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202</v>
      </c>
      <c r="B36" s="212">
        <f>L25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10" t="s">
        <v>178</v>
      </c>
      <c r="B37" s="14">
        <f>L20</f>
        <v>1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63</v>
      </c>
      <c r="B38" s="209">
        <f>SUM(B35:B37)</f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0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1" t="s">
        <v>162</v>
      </c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 t="s">
        <v>198</v>
      </c>
      <c r="B41" s="14">
        <f>L14</f>
        <v>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179</v>
      </c>
      <c r="B42" s="14">
        <f>L21</f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180</v>
      </c>
      <c r="B43" s="212">
        <f>L22</f>
        <v>1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194</v>
      </c>
      <c r="B44" s="212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thickBot="1">
      <c r="A45" s="210" t="s">
        <v>204</v>
      </c>
      <c r="B45" s="212">
        <f>L18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10" t="s">
        <v>63</v>
      </c>
      <c r="B46" s="209">
        <f>SUM(B41:B45)</f>
        <v>9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11" t="s">
        <v>163</v>
      </c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10" t="s">
        <v>177</v>
      </c>
      <c r="B49" s="212">
        <f>L17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0" t="s">
        <v>201</v>
      </c>
      <c r="B50" s="212">
        <f>L19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thickBot="1">
      <c r="A51" s="210" t="s">
        <v>182</v>
      </c>
      <c r="B51" s="212">
        <f>L24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10" t="s">
        <v>63</v>
      </c>
      <c r="B52" s="213">
        <f>SUM(B49:B51)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11" t="s">
        <v>165</v>
      </c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10" t="s">
        <v>176</v>
      </c>
      <c r="B55" s="212">
        <f>L16</f>
        <v>2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10" t="s">
        <v>63</v>
      </c>
      <c r="B56" s="213">
        <f>SUM(B55:B55)</f>
        <v>2</v>
      </c>
      <c r="C56" s="9"/>
      <c r="D56" s="9"/>
      <c r="E56" s="219"/>
      <c r="F56" s="9"/>
      <c r="G56" s="9"/>
      <c r="H56" s="9"/>
      <c r="I56" s="9"/>
      <c r="J56" s="9"/>
      <c r="K56" s="9"/>
      <c r="L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47">
      <selection activeCell="A61" sqref="A61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f>3.98371428571429*10</f>
        <v>39.8371428571429</v>
      </c>
      <c r="D7" s="3" t="s">
        <v>2</v>
      </c>
      <c r="F7" s="2" t="s">
        <v>7</v>
      </c>
      <c r="H7" s="47">
        <v>279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'Ligar Clusters'!L13</f>
        <v>168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11514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'Ligar Clusters'!B46</f>
        <v>9</v>
      </c>
      <c r="K17" s="111">
        <f>I17/I18</f>
        <v>0.05357142857142857</v>
      </c>
      <c r="L17" s="37" t="s">
        <v>99</v>
      </c>
    </row>
    <row r="18" spans="4:9" ht="13.5" thickTop="1">
      <c r="D18" s="38" t="s">
        <v>189</v>
      </c>
      <c r="I18" s="102">
        <f>'Ligar Clusters'!L13</f>
        <v>168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'Ligar Clusters'!B52</f>
        <v>0</v>
      </c>
      <c r="K20" s="111">
        <f>I20/I21</f>
        <v>0</v>
      </c>
      <c r="L20" s="37" t="s">
        <v>99</v>
      </c>
    </row>
    <row r="21" spans="4:9" ht="13.5" thickTop="1">
      <c r="D21" s="38" t="s">
        <v>189</v>
      </c>
      <c r="I21" s="104">
        <f>I18</f>
        <v>168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'Ligar Clusters'!B38</f>
        <v>1</v>
      </c>
      <c r="K23" s="111">
        <f>I23/I24</f>
        <v>0.005952380952380952</v>
      </c>
      <c r="L23" s="37" t="s">
        <v>99</v>
      </c>
    </row>
    <row r="24" spans="4:9" ht="13.5" thickTop="1">
      <c r="D24" s="38" t="s">
        <v>189</v>
      </c>
      <c r="I24" s="105">
        <f>I18</f>
        <v>168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'Ligar Clusters'!B56</f>
        <v>2</v>
      </c>
      <c r="K26" s="111">
        <f>I26/I27</f>
        <v>0.011904761904761904</v>
      </c>
      <c r="L26" s="37" t="s">
        <v>99</v>
      </c>
    </row>
    <row r="27" spans="4:9" ht="13.5" thickTop="1">
      <c r="D27" s="38" t="s">
        <v>189</v>
      </c>
      <c r="I27" s="106">
        <f>I18</f>
        <v>168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'Ligar Clusters'!L13*H11</f>
        <v>1934352</v>
      </c>
      <c r="K29" s="47">
        <f>I29/I30</f>
        <v>11514</v>
      </c>
      <c r="L29" s="37" t="s">
        <v>2</v>
      </c>
    </row>
    <row r="30" spans="4:9" ht="13.5" thickTop="1">
      <c r="D30" s="38" t="s">
        <v>91</v>
      </c>
      <c r="I30" s="110">
        <f>I18</f>
        <v>168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46.21108571428577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13356.240000000002</v>
      </c>
      <c r="E40">
        <f>D40/D41-1</f>
        <v>0.035938178405318766</v>
      </c>
      <c r="F40" t="s">
        <v>99</v>
      </c>
    </row>
    <row r="41" spans="3:4" ht="12.75">
      <c r="C41" s="3" t="s">
        <v>97</v>
      </c>
      <c r="D41" s="3">
        <f>H7*E37</f>
        <v>12892.89291428573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0.05357142857142857</v>
      </c>
      <c r="C47" s="66">
        <f>K20</f>
        <v>0</v>
      </c>
      <c r="D47" s="3">
        <f>K23</f>
        <v>0.005952380952380952</v>
      </c>
      <c r="E47" s="3">
        <f>K26</f>
        <v>0.011904761904761904</v>
      </c>
      <c r="F47">
        <f>E40</f>
        <v>0.035938178405318766</v>
      </c>
    </row>
    <row r="49" spans="1:3" ht="12.75">
      <c r="A49" s="2" t="s">
        <v>52</v>
      </c>
      <c r="B49">
        <f>B47+C47+D47+E47+F47</f>
        <v>0.10736674983389019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46.21108571428577</v>
      </c>
      <c r="F54" s="66">
        <f>B49+1</f>
        <v>1.1073667498338902</v>
      </c>
    </row>
    <row r="56" spans="1:5" ht="12.75">
      <c r="A56" s="2" t="s">
        <v>104</v>
      </c>
      <c r="D56">
        <f>E54*F54</f>
        <v>51.172619793723946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7.953949089757176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58533" r:id="rId1"/>
    <oleObject progId="Equation.3" shapeId="658534" r:id="rId2"/>
  </oleObjects>
</worksheet>
</file>

<file path=xl/worksheets/sheet28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334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40</v>
      </c>
      <c r="D5" s="9"/>
      <c r="E5" s="9"/>
      <c r="F5" s="9"/>
      <c r="G5" s="10" t="s">
        <v>235</v>
      </c>
      <c r="H5" s="183">
        <v>13283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 hidden="1">
      <c r="A7" s="9"/>
      <c r="B7" s="184"/>
      <c r="C7" s="52"/>
      <c r="D7" s="9"/>
      <c r="E7" s="9"/>
      <c r="F7" s="9"/>
      <c r="G7" s="9"/>
      <c r="H7" s="9"/>
      <c r="I7" s="9"/>
      <c r="J7" s="9"/>
      <c r="K7" s="9"/>
      <c r="L7" s="9"/>
    </row>
    <row r="8" spans="1:12" ht="12.75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184" t="s">
        <v>273</v>
      </c>
      <c r="C9" s="15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170</v>
      </c>
      <c r="B13" s="189">
        <v>55</v>
      </c>
      <c r="C13" s="190">
        <v>55</v>
      </c>
      <c r="D13" s="190">
        <v>55</v>
      </c>
      <c r="E13" s="190">
        <v>55</v>
      </c>
      <c r="F13" s="190">
        <v>55</v>
      </c>
      <c r="G13" s="190">
        <v>53</v>
      </c>
      <c r="H13" s="190"/>
      <c r="I13" s="191"/>
      <c r="J13" s="191"/>
      <c r="K13" s="192"/>
      <c r="L13" s="193">
        <f aca="true" t="shared" si="0" ref="L13:L25">SUM(B13:G13)</f>
        <v>328</v>
      </c>
      <c r="M13" s="93"/>
      <c r="N13" s="95"/>
      <c r="O13" s="93"/>
      <c r="P13" s="95"/>
      <c r="Q13" s="93"/>
    </row>
    <row r="14" spans="1:17" ht="12.75">
      <c r="A14" s="194" t="s">
        <v>198</v>
      </c>
      <c r="B14" s="195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/>
      <c r="I14" s="131"/>
      <c r="J14" s="131"/>
      <c r="K14" s="137"/>
      <c r="L14" s="196">
        <f t="shared" si="0"/>
        <v>0</v>
      </c>
      <c r="M14" s="3"/>
      <c r="N14" s="3"/>
      <c r="O14" s="3"/>
      <c r="P14" s="3"/>
      <c r="Q14" s="3"/>
    </row>
    <row r="15" spans="1:17" ht="12.75">
      <c r="A15" s="194" t="s">
        <v>175</v>
      </c>
      <c r="B15" s="195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/>
      <c r="I15" s="131"/>
      <c r="J15" s="131"/>
      <c r="K15" s="137"/>
      <c r="L15" s="196">
        <f t="shared" si="0"/>
        <v>0</v>
      </c>
      <c r="M15" s="3"/>
      <c r="N15" s="3"/>
      <c r="O15" s="3"/>
      <c r="P15" s="3"/>
      <c r="Q15" s="3"/>
    </row>
    <row r="16" spans="1:17" ht="12.75">
      <c r="A16" s="194" t="s">
        <v>176</v>
      </c>
      <c r="B16" s="195">
        <v>0</v>
      </c>
      <c r="C16" s="24">
        <v>0</v>
      </c>
      <c r="D16" s="24">
        <v>0</v>
      </c>
      <c r="E16" s="24">
        <v>1</v>
      </c>
      <c r="F16" s="24">
        <v>0</v>
      </c>
      <c r="G16" s="24">
        <v>0</v>
      </c>
      <c r="H16" s="24"/>
      <c r="I16" s="131"/>
      <c r="J16" s="131"/>
      <c r="K16" s="137"/>
      <c r="L16" s="196">
        <f t="shared" si="0"/>
        <v>1</v>
      </c>
      <c r="M16" s="3"/>
      <c r="N16" s="3"/>
      <c r="O16" s="3"/>
      <c r="P16" s="3"/>
      <c r="Q16" s="3"/>
    </row>
    <row r="17" spans="1:17" ht="12.75">
      <c r="A17" s="194" t="s">
        <v>177</v>
      </c>
      <c r="B17" s="195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204</v>
      </c>
      <c r="B18" s="195">
        <v>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/>
      <c r="I18" s="131"/>
      <c r="J18" s="131"/>
      <c r="K18" s="137"/>
      <c r="L18" s="196">
        <f t="shared" si="0"/>
        <v>1</v>
      </c>
      <c r="M18" s="3"/>
      <c r="N18" s="3"/>
      <c r="O18" s="3"/>
      <c r="P18" s="3"/>
      <c r="Q18" s="3"/>
    </row>
    <row r="19" spans="1:17" ht="12.75">
      <c r="A19" s="194" t="s">
        <v>200</v>
      </c>
      <c r="B19" s="195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/>
      <c r="I19" s="131"/>
      <c r="J19" s="131"/>
      <c r="K19" s="137"/>
      <c r="L19" s="196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178</v>
      </c>
      <c r="B20" s="195">
        <v>1</v>
      </c>
      <c r="C20" s="24">
        <v>0</v>
      </c>
      <c r="D20" s="24">
        <v>1</v>
      </c>
      <c r="E20" s="24">
        <v>1</v>
      </c>
      <c r="F20" s="24">
        <v>0</v>
      </c>
      <c r="G20" s="24">
        <v>0</v>
      </c>
      <c r="H20" s="24"/>
      <c r="I20" s="131"/>
      <c r="J20" s="131"/>
      <c r="K20" s="137"/>
      <c r="L20" s="196">
        <f t="shared" si="0"/>
        <v>3</v>
      </c>
      <c r="M20" s="3"/>
      <c r="N20" s="3"/>
      <c r="O20" s="3"/>
      <c r="P20" s="3"/>
      <c r="Q20" s="3"/>
    </row>
    <row r="21" spans="1:17" ht="12.75">
      <c r="A21" s="194" t="s">
        <v>179</v>
      </c>
      <c r="B21" s="195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/>
      <c r="I21" s="131"/>
      <c r="J21" s="131"/>
      <c r="K21" s="137"/>
      <c r="L21" s="196">
        <f t="shared" si="0"/>
        <v>0</v>
      </c>
      <c r="M21" s="3"/>
      <c r="N21" s="3"/>
      <c r="O21" s="3"/>
      <c r="P21" s="3"/>
      <c r="Q21" s="3"/>
    </row>
    <row r="22" spans="1:17" ht="12.75">
      <c r="A22" s="194" t="s">
        <v>180</v>
      </c>
      <c r="B22" s="195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/>
      <c r="I22" s="131"/>
      <c r="J22" s="131"/>
      <c r="K22" s="137"/>
      <c r="L22" s="196">
        <f t="shared" si="0"/>
        <v>0</v>
      </c>
      <c r="M22" s="3"/>
      <c r="N22" s="3"/>
      <c r="O22" s="3"/>
      <c r="P22" s="3"/>
      <c r="Q22" s="3"/>
    </row>
    <row r="23" spans="1:17" ht="12.75">
      <c r="A23" s="194" t="s">
        <v>194</v>
      </c>
      <c r="B23" s="195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/>
      <c r="I23" s="131"/>
      <c r="J23" s="131"/>
      <c r="K23" s="137"/>
      <c r="L23" s="196">
        <f t="shared" si="0"/>
        <v>0</v>
      </c>
      <c r="M23" s="3"/>
      <c r="N23" s="3"/>
      <c r="O23" s="3"/>
      <c r="P23" s="3"/>
      <c r="Q23" s="3"/>
    </row>
    <row r="24" spans="1:17" ht="12.75">
      <c r="A24" s="198" t="s">
        <v>182</v>
      </c>
      <c r="B24" s="199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/>
      <c r="I24" s="121"/>
      <c r="J24" s="121"/>
      <c r="K24" s="200"/>
      <c r="L24" s="196">
        <f t="shared" si="0"/>
        <v>0</v>
      </c>
      <c r="M24" s="3"/>
      <c r="N24" s="3"/>
      <c r="O24" s="3"/>
      <c r="P24" s="3"/>
      <c r="Q24" s="3"/>
    </row>
    <row r="25" spans="1:17" ht="13.5" thickBot="1">
      <c r="A25" s="202" t="s">
        <v>202</v>
      </c>
      <c r="B25" s="203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/>
      <c r="I25" s="205"/>
      <c r="J25" s="205"/>
      <c r="K25" s="206"/>
      <c r="L25" s="207">
        <f t="shared" si="0"/>
        <v>0</v>
      </c>
      <c r="M25" s="3"/>
      <c r="N25" s="3"/>
      <c r="O25" s="3"/>
      <c r="P25" s="3"/>
      <c r="Q25" s="3"/>
    </row>
    <row r="26" spans="1:17" ht="13.5" thickBot="1">
      <c r="A26" s="208" t="s">
        <v>185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09">
        <f>SUM(L13:L25)</f>
        <v>333</v>
      </c>
      <c r="M26" s="3"/>
      <c r="N26" s="3"/>
      <c r="O26" s="3"/>
      <c r="P26" s="3"/>
      <c r="Q26" s="3"/>
    </row>
    <row r="27" spans="1:17" ht="12.75">
      <c r="A27" s="210"/>
      <c r="B27" s="52"/>
      <c r="C27" s="52"/>
      <c r="D27" s="52"/>
      <c r="E27" s="52"/>
      <c r="F27" s="52"/>
      <c r="G27" s="52"/>
      <c r="H27" s="9"/>
      <c r="I27" s="9"/>
      <c r="J27" s="9"/>
      <c r="K27" s="9"/>
      <c r="L27" s="14"/>
      <c r="M27" s="3"/>
      <c r="N27" s="3"/>
      <c r="O27" s="3"/>
      <c r="P27" s="3"/>
      <c r="Q27" s="3"/>
    </row>
    <row r="28" spans="1:12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10"/>
      <c r="B29" s="165" t="s">
        <v>188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1" t="s">
        <v>187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3.5" thickBot="1">
      <c r="A31" s="210" t="s">
        <v>170</v>
      </c>
      <c r="B31" s="14">
        <f>L13</f>
        <v>328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63</v>
      </c>
      <c r="B32" s="209">
        <f>SUM(B31:B31)</f>
        <v>328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11" t="s">
        <v>164</v>
      </c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0" t="s">
        <v>175</v>
      </c>
      <c r="B35" s="14">
        <f>L15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202</v>
      </c>
      <c r="B36" s="212">
        <f>L25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10" t="s">
        <v>178</v>
      </c>
      <c r="B37" s="14">
        <f>L20</f>
        <v>3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63</v>
      </c>
      <c r="B38" s="209">
        <f>SUM(B35:B37)</f>
        <v>3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0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1" t="s">
        <v>162</v>
      </c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 t="s">
        <v>198</v>
      </c>
      <c r="B41" s="14">
        <f>L14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179</v>
      </c>
      <c r="B42" s="14">
        <f>L21</f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180</v>
      </c>
      <c r="B43" s="212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194</v>
      </c>
      <c r="B44" s="212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thickBot="1">
      <c r="A45" s="210" t="s">
        <v>204</v>
      </c>
      <c r="B45" s="212">
        <f>L18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 thickBot="1">
      <c r="A46" s="210" t="s">
        <v>63</v>
      </c>
      <c r="B46" s="209">
        <f>SUM(B41:B45)</f>
        <v>1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11" t="s">
        <v>163</v>
      </c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10" t="s">
        <v>177</v>
      </c>
      <c r="B49" s="212">
        <f>L17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0" t="s">
        <v>201</v>
      </c>
      <c r="B50" s="212">
        <f>L19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thickBot="1">
      <c r="A51" s="210" t="s">
        <v>182</v>
      </c>
      <c r="B51" s="212">
        <f>L24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thickBot="1">
      <c r="A52" s="210" t="s">
        <v>63</v>
      </c>
      <c r="B52" s="213">
        <f>SUM(B49:B51)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11" t="s">
        <v>165</v>
      </c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10" t="s">
        <v>176</v>
      </c>
      <c r="B55" s="212">
        <f>L16</f>
        <v>1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10" t="s">
        <v>63</v>
      </c>
      <c r="B56" s="213">
        <f>SUM(B55:B55)</f>
        <v>1</v>
      </c>
      <c r="C56" s="9"/>
      <c r="D56" s="9"/>
      <c r="E56" s="219"/>
      <c r="F56" s="9"/>
      <c r="G56" s="9"/>
      <c r="H56" s="9"/>
      <c r="I56" s="9"/>
      <c r="J56" s="9"/>
      <c r="K56" s="9"/>
      <c r="L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6">
      <selection activeCell="A37" sqref="A37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42.71638461538461</v>
      </c>
      <c r="D7" s="3" t="s">
        <v>2</v>
      </c>
      <c r="F7" s="2" t="s">
        <v>7</v>
      </c>
      <c r="H7" s="47">
        <v>295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'Embalar Cajas'!L13</f>
        <v>328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13283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'Embalar Cajas'!B46</f>
        <v>1</v>
      </c>
      <c r="K17" s="111">
        <f>I17/I18</f>
        <v>0.003003003003003003</v>
      </c>
      <c r="L17" s="37" t="s">
        <v>99</v>
      </c>
    </row>
    <row r="18" spans="4:9" ht="13.5" thickTop="1">
      <c r="D18" s="38" t="s">
        <v>189</v>
      </c>
      <c r="I18" s="102">
        <f>'Embalar Cajas'!L26</f>
        <v>333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'Embalar Cajas'!B52</f>
        <v>0</v>
      </c>
      <c r="K20" s="111">
        <f>I20/I21</f>
        <v>0</v>
      </c>
      <c r="L20" s="37" t="s">
        <v>99</v>
      </c>
    </row>
    <row r="21" spans="4:9" ht="13.5" thickTop="1">
      <c r="D21" s="38" t="s">
        <v>189</v>
      </c>
      <c r="I21" s="104">
        <f>I18</f>
        <v>333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'Embalar Cajas'!B38</f>
        <v>3</v>
      </c>
      <c r="K23" s="111">
        <f>I23/I24</f>
        <v>0.009009009009009009</v>
      </c>
      <c r="L23" s="37" t="s">
        <v>99</v>
      </c>
    </row>
    <row r="24" spans="4:9" ht="13.5" thickTop="1">
      <c r="D24" s="38" t="s">
        <v>189</v>
      </c>
      <c r="I24" s="105">
        <f>I18</f>
        <v>333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'Embalar Cajas'!B56</f>
        <v>1</v>
      </c>
      <c r="K26" s="111">
        <f>I26/I27</f>
        <v>0.003003003003003003</v>
      </c>
      <c r="L26" s="37" t="s">
        <v>99</v>
      </c>
    </row>
    <row r="27" spans="4:9" ht="13.5" thickTop="1">
      <c r="D27" s="38" t="s">
        <v>189</v>
      </c>
      <c r="I27" s="106">
        <f>I18</f>
        <v>333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'Embalar Cajas'!L13*H11</f>
        <v>4356824</v>
      </c>
      <c r="K29" s="47">
        <f>I29/I30</f>
        <v>13083.555555555555</v>
      </c>
      <c r="L29" s="37" t="s">
        <v>2</v>
      </c>
    </row>
    <row r="30" spans="4:9" ht="13.5" thickTop="1">
      <c r="D30" s="38" t="s">
        <v>91</v>
      </c>
      <c r="I30" s="110">
        <f>I18</f>
        <v>333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'Pre-pesadas'!E22</f>
        <v>+ 0.08</v>
      </c>
      <c r="L35" s="58" t="str">
        <f>'Pre-pesadas'!H22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49.55100615384615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15176.924444444445</v>
      </c>
      <c r="E40">
        <f>D40/D41-1</f>
        <v>0.03826754489823814</v>
      </c>
      <c r="F40" t="s">
        <v>99</v>
      </c>
    </row>
    <row r="41" spans="3:4" ht="12.75">
      <c r="C41" s="3" t="s">
        <v>97</v>
      </c>
      <c r="D41" s="3">
        <f>H7*E37</f>
        <v>14617.546815384616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0.003003003003003003</v>
      </c>
      <c r="C47" s="66">
        <f>K20</f>
        <v>0</v>
      </c>
      <c r="D47" s="3">
        <f>K23</f>
        <v>0.009009009009009009</v>
      </c>
      <c r="E47" s="3">
        <f>K26</f>
        <v>0.003003003003003003</v>
      </c>
      <c r="F47">
        <f>E40</f>
        <v>0.03826754489823814</v>
      </c>
    </row>
    <row r="49" spans="1:3" ht="12.75">
      <c r="A49" s="2" t="s">
        <v>52</v>
      </c>
      <c r="B49">
        <f>B47+C47+D47+E47+F47</f>
        <v>0.053282559913253154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49.55100615384615</v>
      </c>
      <c r="F54" s="66">
        <f>B49+1</f>
        <v>1.0532825599132531</v>
      </c>
    </row>
    <row r="56" spans="1:5" ht="12.75">
      <c r="A56" s="2" t="s">
        <v>104</v>
      </c>
      <c r="D56">
        <f>E54*F54</f>
        <v>52.19121060800044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4.189161960321382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1681917" r:id="rId1"/>
    <oleObject progId="Equation.3" shapeId="168191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42">
      <selection activeCell="A36" sqref="A36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10" ht="13.5" thickBot="1">
      <c r="A7" s="2" t="s">
        <v>1</v>
      </c>
      <c r="B7" t="s">
        <v>3</v>
      </c>
      <c r="C7" s="133">
        <v>23.624666666666666</v>
      </c>
      <c r="D7" s="3" t="s">
        <v>2</v>
      </c>
      <c r="F7" s="2" t="s">
        <v>7</v>
      </c>
      <c r="H7" s="47">
        <v>250</v>
      </c>
      <c r="I7" s="37" t="s">
        <v>262</v>
      </c>
      <c r="J7" t="s">
        <v>263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'Retiro daipas'!L15</f>
        <v>309</v>
      </c>
      <c r="I9" t="s">
        <v>262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133">
        <v>6491</v>
      </c>
      <c r="I11" t="s">
        <v>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'Retiro daipas'!B46</f>
        <v>4</v>
      </c>
      <c r="K17" s="111">
        <f>I17/I18</f>
        <v>0.012307692307692308</v>
      </c>
      <c r="L17" s="37" t="s">
        <v>99</v>
      </c>
    </row>
    <row r="18" spans="4:9" ht="13.5" thickTop="1">
      <c r="D18" s="38" t="s">
        <v>236</v>
      </c>
      <c r="I18" s="102">
        <f>'Retiro daipas'!L27</f>
        <v>325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'Retiro daipas'!B52</f>
        <v>6</v>
      </c>
      <c r="K20" s="111">
        <f>I20/I21</f>
        <v>0.018461538461538463</v>
      </c>
      <c r="L20" s="37" t="s">
        <v>99</v>
      </c>
    </row>
    <row r="21" spans="4:9" ht="13.5" thickTop="1">
      <c r="D21" s="38" t="s">
        <v>236</v>
      </c>
      <c r="I21" s="104">
        <f>I18</f>
        <v>325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'Retiro daipas'!B39</f>
        <v>0</v>
      </c>
      <c r="K23" s="111">
        <f>I23/I24</f>
        <v>0</v>
      </c>
      <c r="L23" s="37" t="s">
        <v>99</v>
      </c>
    </row>
    <row r="24" spans="4:9" ht="13.5" thickTop="1">
      <c r="D24" s="38" t="s">
        <v>236</v>
      </c>
      <c r="I24" s="105">
        <f>I18</f>
        <v>325</v>
      </c>
    </row>
    <row r="25" ht="13.5" thickBot="1"/>
    <row r="26" spans="1:14" ht="13.5" thickBot="1">
      <c r="A26" s="2" t="s">
        <v>78</v>
      </c>
      <c r="D26" s="32" t="s">
        <v>86</v>
      </c>
      <c r="E26" s="31"/>
      <c r="F26" s="31"/>
      <c r="G26" s="31"/>
      <c r="I26" s="108">
        <f>'Retiro daipas'!B56</f>
        <v>8</v>
      </c>
      <c r="K26" s="111">
        <f>I26/I27</f>
        <v>0.024615384615384615</v>
      </c>
      <c r="L26" s="37" t="s">
        <v>99</v>
      </c>
      <c r="N26" s="132">
        <f>K17+K20+K23+K26</f>
        <v>0.055384615384615386</v>
      </c>
    </row>
    <row r="27" spans="4:9" ht="13.5" thickTop="1">
      <c r="D27" s="38" t="s">
        <v>236</v>
      </c>
      <c r="I27" s="106">
        <f>I18</f>
        <v>325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'Retiro daipas'!L15*H11</f>
        <v>2005719</v>
      </c>
      <c r="K29" s="133">
        <f>I29/I30</f>
        <v>6171.443076923077</v>
      </c>
      <c r="L29" s="37" t="s">
        <v>2</v>
      </c>
    </row>
    <row r="30" spans="4:9" ht="13.5" thickTop="1">
      <c r="D30" s="38" t="s">
        <v>236</v>
      </c>
      <c r="I30" s="110">
        <f>I18</f>
        <v>325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'Pre-pesadas'!E9</f>
        <v>+ 0.03</v>
      </c>
      <c r="L35" s="58" t="str">
        <f>'Pre-pesadas'!H9</f>
        <v>+ 0.02</v>
      </c>
      <c r="N35" s="56">
        <f>J35+K35+L35</f>
        <v>1.05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24.8059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6480.015230769231</v>
      </c>
      <c r="E40">
        <f>D40/D41-1</f>
        <v>0.04491515821143044</v>
      </c>
      <c r="F40" t="s">
        <v>99</v>
      </c>
    </row>
    <row r="41" spans="3:4" ht="12.75">
      <c r="C41" s="3" t="s">
        <v>97</v>
      </c>
      <c r="D41" s="3">
        <f>H7*E37</f>
        <v>6201.475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0.012307692307692308</v>
      </c>
      <c r="C47" s="66">
        <f>K20</f>
        <v>0.018461538461538463</v>
      </c>
      <c r="D47" s="3">
        <f>K23</f>
        <v>0</v>
      </c>
      <c r="E47" s="3">
        <f>K26</f>
        <v>0.024615384615384615</v>
      </c>
      <c r="F47">
        <f>E40</f>
        <v>0.04491515821143044</v>
      </c>
    </row>
    <row r="49" spans="1:3" ht="12.75">
      <c r="A49" s="2" t="s">
        <v>52</v>
      </c>
      <c r="B49">
        <f>B47+C47+D47+E47+F47</f>
        <v>0.10029977359604583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24.8059</v>
      </c>
      <c r="F54" s="66">
        <f>B49+1</f>
        <v>1.1002997735960458</v>
      </c>
    </row>
    <row r="56" spans="1:5" ht="12.75">
      <c r="A56" s="2" t="s">
        <v>104</v>
      </c>
      <c r="D56">
        <f>E54*F54</f>
        <v>27.293926153846154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4.093563314133824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09754" r:id="rId1"/>
    <oleObject progId="Equation.3" shapeId="609755" r:id="rId2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335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15</v>
      </c>
      <c r="D5" s="9"/>
      <c r="E5" s="9"/>
      <c r="F5" s="9"/>
      <c r="G5" s="10" t="s">
        <v>235</v>
      </c>
      <c r="H5" s="183">
        <v>2638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 hidden="1">
      <c r="A7" s="9"/>
      <c r="B7" s="184"/>
      <c r="C7" s="52"/>
      <c r="D7" s="9"/>
      <c r="E7" s="9"/>
      <c r="F7" s="9"/>
      <c r="G7" s="9"/>
      <c r="H7" s="9"/>
      <c r="I7" s="9"/>
      <c r="J7" s="9"/>
      <c r="K7" s="9"/>
      <c r="L7" s="9"/>
    </row>
    <row r="8" spans="1:12" ht="12.75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184" t="s">
        <v>273</v>
      </c>
      <c r="C9" s="15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171</v>
      </c>
      <c r="B13" s="189">
        <v>84</v>
      </c>
      <c r="C13" s="190">
        <v>86</v>
      </c>
      <c r="D13" s="190"/>
      <c r="E13" s="190"/>
      <c r="F13" s="190"/>
      <c r="G13" s="190"/>
      <c r="H13" s="190"/>
      <c r="I13" s="191"/>
      <c r="J13" s="191"/>
      <c r="K13" s="192"/>
      <c r="L13" s="193">
        <f>SUM(B13:C13)</f>
        <v>170</v>
      </c>
      <c r="M13" s="93"/>
      <c r="N13" s="95"/>
      <c r="O13" s="93"/>
      <c r="P13" s="95"/>
      <c r="Q13" s="93"/>
    </row>
    <row r="14" spans="1:17" ht="12.75" hidden="1">
      <c r="A14" s="194"/>
      <c r="B14" s="195"/>
      <c r="C14" s="24"/>
      <c r="D14" s="24"/>
      <c r="E14" s="24"/>
      <c r="F14" s="24"/>
      <c r="G14" s="24"/>
      <c r="H14" s="24"/>
      <c r="I14" s="131"/>
      <c r="J14" s="131"/>
      <c r="K14" s="137"/>
      <c r="L14" s="196">
        <f>SUM(B14:C14)</f>
        <v>0</v>
      </c>
      <c r="M14" s="3"/>
      <c r="N14" s="3"/>
      <c r="O14" s="3"/>
      <c r="P14" s="3"/>
      <c r="Q14" s="3"/>
    </row>
    <row r="15" spans="1:17" ht="12.75">
      <c r="A15" s="194" t="s">
        <v>206</v>
      </c>
      <c r="B15" s="195">
        <v>0</v>
      </c>
      <c r="C15" s="24">
        <v>0</v>
      </c>
      <c r="D15" s="24"/>
      <c r="E15" s="24"/>
      <c r="F15" s="24"/>
      <c r="G15" s="24"/>
      <c r="H15" s="24"/>
      <c r="I15" s="131"/>
      <c r="J15" s="131"/>
      <c r="K15" s="137"/>
      <c r="L15" s="196">
        <f aca="true" t="shared" si="0" ref="L15:L25">SUM(B15:C15)</f>
        <v>0</v>
      </c>
      <c r="M15" s="3"/>
      <c r="N15" s="3"/>
      <c r="O15" s="3"/>
      <c r="P15" s="3"/>
      <c r="Q15" s="3"/>
    </row>
    <row r="16" spans="1:17" ht="12.75">
      <c r="A16" s="194" t="s">
        <v>176</v>
      </c>
      <c r="B16" s="195">
        <v>1</v>
      </c>
      <c r="C16" s="24">
        <v>0</v>
      </c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1</v>
      </c>
      <c r="M16" s="3"/>
      <c r="N16" s="3"/>
      <c r="O16" s="3"/>
      <c r="P16" s="3"/>
      <c r="Q16" s="3"/>
    </row>
    <row r="17" spans="1:17" ht="12.75">
      <c r="A17" s="194" t="s">
        <v>177</v>
      </c>
      <c r="B17" s="195">
        <v>0</v>
      </c>
      <c r="C17" s="24">
        <v>0</v>
      </c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204</v>
      </c>
      <c r="B18" s="195">
        <v>0</v>
      </c>
      <c r="C18" s="24">
        <v>0</v>
      </c>
      <c r="D18" s="24"/>
      <c r="E18" s="24"/>
      <c r="F18" s="24"/>
      <c r="G18" s="24"/>
      <c r="H18" s="24"/>
      <c r="I18" s="131"/>
      <c r="J18" s="131"/>
      <c r="K18" s="137"/>
      <c r="L18" s="196">
        <f t="shared" si="0"/>
        <v>0</v>
      </c>
      <c r="M18" s="3"/>
      <c r="N18" s="3"/>
      <c r="O18" s="3"/>
      <c r="P18" s="3"/>
      <c r="Q18" s="3"/>
    </row>
    <row r="19" spans="1:17" ht="12.75">
      <c r="A19" s="194" t="s">
        <v>200</v>
      </c>
      <c r="B19" s="195">
        <v>0</v>
      </c>
      <c r="C19" s="24">
        <v>0</v>
      </c>
      <c r="D19" s="24"/>
      <c r="E19" s="24"/>
      <c r="F19" s="24"/>
      <c r="G19" s="24"/>
      <c r="H19" s="24"/>
      <c r="I19" s="131"/>
      <c r="J19" s="131"/>
      <c r="K19" s="137"/>
      <c r="L19" s="196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178</v>
      </c>
      <c r="B20" s="195">
        <v>0</v>
      </c>
      <c r="C20" s="24">
        <v>0</v>
      </c>
      <c r="D20" s="24"/>
      <c r="E20" s="24"/>
      <c r="F20" s="24"/>
      <c r="G20" s="24"/>
      <c r="H20" s="24"/>
      <c r="I20" s="131"/>
      <c r="J20" s="131"/>
      <c r="K20" s="137"/>
      <c r="L20" s="196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207</v>
      </c>
      <c r="B21" s="195">
        <v>1</v>
      </c>
      <c r="C21" s="24">
        <v>1</v>
      </c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2</v>
      </c>
      <c r="M21" s="3"/>
      <c r="N21" s="3"/>
      <c r="O21" s="3"/>
      <c r="P21" s="3"/>
      <c r="Q21" s="3"/>
    </row>
    <row r="22" spans="1:17" ht="12.75">
      <c r="A22" s="194" t="s">
        <v>179</v>
      </c>
      <c r="B22" s="195">
        <v>0</v>
      </c>
      <c r="C22" s="24">
        <v>0</v>
      </c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0</v>
      </c>
      <c r="M22" s="3"/>
      <c r="N22" s="3"/>
      <c r="O22" s="3"/>
      <c r="P22" s="3"/>
      <c r="Q22" s="3"/>
    </row>
    <row r="23" spans="1:17" ht="12.75">
      <c r="A23" s="194" t="s">
        <v>180</v>
      </c>
      <c r="B23" s="195">
        <v>0</v>
      </c>
      <c r="C23" s="24">
        <v>0</v>
      </c>
      <c r="D23" s="24"/>
      <c r="E23" s="24"/>
      <c r="F23" s="24"/>
      <c r="G23" s="24"/>
      <c r="H23" s="24"/>
      <c r="I23" s="131"/>
      <c r="J23" s="131"/>
      <c r="K23" s="137"/>
      <c r="L23" s="196">
        <f t="shared" si="0"/>
        <v>0</v>
      </c>
      <c r="M23" s="3"/>
      <c r="N23" s="3"/>
      <c r="O23" s="3"/>
      <c r="P23" s="3"/>
      <c r="Q23" s="3"/>
    </row>
    <row r="24" spans="1:17" ht="12.75">
      <c r="A24" s="194" t="s">
        <v>194</v>
      </c>
      <c r="B24" s="195">
        <v>0</v>
      </c>
      <c r="C24" s="24">
        <v>0</v>
      </c>
      <c r="D24" s="24"/>
      <c r="E24" s="24"/>
      <c r="F24" s="24"/>
      <c r="G24" s="24"/>
      <c r="H24" s="24"/>
      <c r="I24" s="131"/>
      <c r="J24" s="131"/>
      <c r="K24" s="137"/>
      <c r="L24" s="196">
        <f t="shared" si="0"/>
        <v>0</v>
      </c>
      <c r="M24" s="3"/>
      <c r="N24" s="3"/>
      <c r="O24" s="3"/>
      <c r="P24" s="3"/>
      <c r="Q24" s="3"/>
    </row>
    <row r="25" spans="1:17" ht="12.75">
      <c r="A25" s="198" t="s">
        <v>182</v>
      </c>
      <c r="B25" s="199">
        <v>0</v>
      </c>
      <c r="C25" s="21">
        <v>0</v>
      </c>
      <c r="D25" s="21"/>
      <c r="E25" s="21"/>
      <c r="F25" s="21"/>
      <c r="G25" s="21"/>
      <c r="H25" s="21"/>
      <c r="I25" s="121"/>
      <c r="J25" s="121"/>
      <c r="K25" s="200"/>
      <c r="L25" s="196">
        <f t="shared" si="0"/>
        <v>0</v>
      </c>
      <c r="M25" s="3"/>
      <c r="N25" s="3"/>
      <c r="O25" s="3"/>
      <c r="P25" s="3"/>
      <c r="Q25" s="3"/>
    </row>
    <row r="26" spans="1:17" ht="13.5" thickBot="1">
      <c r="A26" s="202" t="s">
        <v>202</v>
      </c>
      <c r="B26" s="203">
        <v>0</v>
      </c>
      <c r="C26" s="204">
        <v>0</v>
      </c>
      <c r="D26" s="204"/>
      <c r="E26" s="204"/>
      <c r="F26" s="204"/>
      <c r="G26" s="204"/>
      <c r="H26" s="204"/>
      <c r="I26" s="205"/>
      <c r="J26" s="205"/>
      <c r="K26" s="206"/>
      <c r="L26" s="207">
        <f>SUM(B26:C26)</f>
        <v>0</v>
      </c>
      <c r="M26" s="3"/>
      <c r="N26" s="3"/>
      <c r="O26" s="3"/>
      <c r="P26" s="3"/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SUM(L13:L26)</f>
        <v>173</v>
      </c>
      <c r="M27" s="3"/>
      <c r="N27" s="3"/>
      <c r="O27" s="3"/>
      <c r="P27" s="3"/>
      <c r="Q27" s="3"/>
    </row>
    <row r="28" spans="1:17" ht="12.75">
      <c r="A28" s="210"/>
      <c r="B28" s="52"/>
      <c r="C28" s="52"/>
      <c r="D28" s="52"/>
      <c r="E28" s="52"/>
      <c r="F28" s="52"/>
      <c r="G28" s="52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210" t="s">
        <v>171</v>
      </c>
      <c r="B32" s="14">
        <f>L13</f>
        <v>170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63</v>
      </c>
      <c r="B33" s="209">
        <f>SUM(B32:B32)</f>
        <v>170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1" t="s">
        <v>164</v>
      </c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0" t="s">
        <v>277</v>
      </c>
      <c r="B36" s="14">
        <f>L15</f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202</v>
      </c>
      <c r="B37" s="212">
        <f>L26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 thickBot="1">
      <c r="A38" s="210" t="s">
        <v>178</v>
      </c>
      <c r="B38" s="14">
        <f>L20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63</v>
      </c>
      <c r="B39" s="209">
        <f>SUM(B36:B38)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0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1" t="s">
        <v>162</v>
      </c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179</v>
      </c>
      <c r="B43" s="14">
        <f>L22</f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180</v>
      </c>
      <c r="B44" s="212">
        <f>L23</f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194</v>
      </c>
      <c r="B45" s="212">
        <f>L24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0" t="s">
        <v>204</v>
      </c>
      <c r="B46" s="212">
        <f>L18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10" t="s">
        <v>207</v>
      </c>
      <c r="B47" s="212">
        <f>L21</f>
        <v>2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10" t="s">
        <v>63</v>
      </c>
      <c r="B48" s="209">
        <f>SUM(B42:B47)</f>
        <v>2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1" t="s">
        <v>163</v>
      </c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0" t="s">
        <v>177</v>
      </c>
      <c r="B51" s="212">
        <f>L17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201</v>
      </c>
      <c r="B52" s="212">
        <f>L19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0" t="s">
        <v>182</v>
      </c>
      <c r="B53" s="212">
        <f>L25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SUM(B51:B53)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11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10" t="s">
        <v>176</v>
      </c>
      <c r="B57" s="212">
        <f>L16</f>
        <v>1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10" t="s">
        <v>63</v>
      </c>
      <c r="B58" s="213">
        <f>SUM(B57:B57)</f>
        <v>1</v>
      </c>
      <c r="C58" s="9"/>
      <c r="D58" s="9"/>
      <c r="E58" s="21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41">
      <selection activeCell="A36" sqref="A36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500.04</v>
      </c>
      <c r="D7" s="3" t="s">
        <v>2</v>
      </c>
      <c r="F7" s="2" t="s">
        <v>7</v>
      </c>
      <c r="H7" s="47">
        <v>5</v>
      </c>
      <c r="I7" s="3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'Paletizar Cajas'!L13</f>
        <v>170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2638</v>
      </c>
      <c r="I11" t="s">
        <v>272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'Gajeo Clusters p'!B48</f>
        <v>13</v>
      </c>
      <c r="K17" s="111">
        <f>I17/I18</f>
        <v>0.07514450867052024</v>
      </c>
      <c r="L17" s="37" t="s">
        <v>99</v>
      </c>
    </row>
    <row r="18" spans="4:9" ht="13.5" thickTop="1">
      <c r="D18" s="38" t="s">
        <v>189</v>
      </c>
      <c r="I18" s="102">
        <f>'Paletizar Cajas'!L27</f>
        <v>173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'Gajeo Clusters p'!B54</f>
        <v>9</v>
      </c>
      <c r="K20" s="111">
        <f>I20/I21</f>
        <v>0.05202312138728324</v>
      </c>
      <c r="L20" s="37" t="s">
        <v>99</v>
      </c>
    </row>
    <row r="21" spans="4:9" ht="13.5" thickTop="1">
      <c r="D21" s="38" t="s">
        <v>189</v>
      </c>
      <c r="I21" s="104">
        <f>I18</f>
        <v>173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'Gajeo Clusters p'!B40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173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'Gajeo Clusters p'!B58</f>
        <v>1</v>
      </c>
      <c r="K26" s="111">
        <f>I26/I27</f>
        <v>0.005780346820809248</v>
      </c>
      <c r="L26" s="37" t="s">
        <v>99</v>
      </c>
    </row>
    <row r="27" spans="4:9" ht="13.5" thickTop="1">
      <c r="D27" s="38" t="s">
        <v>189</v>
      </c>
      <c r="I27" s="106">
        <f>I18</f>
        <v>173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'Paletizar Cajas'!L13*H11</f>
        <v>448460</v>
      </c>
      <c r="K29" s="47">
        <f>I29/I30</f>
        <v>2592.2543352601156</v>
      </c>
      <c r="L29" s="37" t="s">
        <v>2</v>
      </c>
    </row>
    <row r="30" spans="4:9" ht="13.5" thickTop="1">
      <c r="D30" s="38" t="s">
        <v>91</v>
      </c>
      <c r="I30" s="110">
        <f>I18</f>
        <v>173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'Pre-pesadas'!E23</f>
        <v>+ 0.11</v>
      </c>
      <c r="L35" s="144" t="str">
        <f>'Pre-pesadas'!H23</f>
        <v>+ 0.10</v>
      </c>
      <c r="N35" s="56">
        <f>J35+K35+L35</f>
        <v>1.2100000000000002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605.0484000000001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3136.6277456647404</v>
      </c>
      <c r="E40">
        <f>D40/D41-1</f>
        <v>0.03681878860095811</v>
      </c>
      <c r="F40" t="s">
        <v>99</v>
      </c>
    </row>
    <row r="41" spans="3:4" ht="12.75">
      <c r="C41" s="3" t="s">
        <v>97</v>
      </c>
      <c r="D41" s="3">
        <f>H7*E37</f>
        <v>3025.2420000000006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0.07514450867052024</v>
      </c>
      <c r="C47" s="66">
        <f>K20</f>
        <v>0.05202312138728324</v>
      </c>
      <c r="D47" s="3">
        <f>K23</f>
        <v>0</v>
      </c>
      <c r="E47" s="3">
        <f>K26</f>
        <v>0.005780346820809248</v>
      </c>
      <c r="F47">
        <f>E40</f>
        <v>0.03681878860095811</v>
      </c>
    </row>
    <row r="49" spans="1:3" ht="12.75">
      <c r="A49" s="2" t="s">
        <v>52</v>
      </c>
      <c r="B49">
        <f>B47+C47+D47+E47+F47</f>
        <v>0.1697667654795708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605.0484000000001</v>
      </c>
      <c r="F54" s="66">
        <f>B49+1</f>
        <v>1.169766765479571</v>
      </c>
    </row>
    <row r="56" spans="1:5" ht="12.75">
      <c r="A56" s="2" t="s">
        <v>104</v>
      </c>
      <c r="D56">
        <f>E54*F54</f>
        <v>707.7655098265898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80*SQRT(H7)/H9*100</f>
        <v>105.22672835293127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62969" r:id="rId1"/>
    <oleObject progId="Equation.3" shapeId="662970" r:id="rId2"/>
  </oleObjects>
</worksheet>
</file>

<file path=xl/worksheets/sheet3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336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10</v>
      </c>
      <c r="D5" s="9"/>
      <c r="E5" s="9"/>
      <c r="F5" s="9"/>
      <c r="G5" s="10" t="s">
        <v>235</v>
      </c>
      <c r="H5" s="183">
        <v>3659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293</v>
      </c>
      <c r="B13" s="189">
        <v>361</v>
      </c>
      <c r="C13" s="190"/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7">SUM(B13)</f>
        <v>361</v>
      </c>
      <c r="M13" s="93"/>
      <c r="N13" s="95"/>
      <c r="O13" s="93"/>
      <c r="P13" s="95"/>
      <c r="Q13" s="93"/>
    </row>
    <row r="14" spans="1:17" ht="12.75" hidden="1">
      <c r="A14" s="214"/>
      <c r="B14" s="215"/>
      <c r="C14" s="22"/>
      <c r="D14" s="22"/>
      <c r="E14" s="22"/>
      <c r="F14" s="22"/>
      <c r="G14" s="22"/>
      <c r="H14" s="22"/>
      <c r="I14" s="123"/>
      <c r="J14" s="123"/>
      <c r="K14" s="216"/>
      <c r="L14" s="220">
        <f t="shared" si="0"/>
        <v>0</v>
      </c>
      <c r="M14" s="93"/>
      <c r="N14" s="95"/>
      <c r="O14" s="93"/>
      <c r="P14" s="95"/>
      <c r="Q14" s="93"/>
    </row>
    <row r="15" spans="1:17" ht="12.75" hidden="1">
      <c r="A15" s="194"/>
      <c r="B15" s="195"/>
      <c r="C15" s="24"/>
      <c r="D15" s="24"/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O15" s="3"/>
      <c r="P15" s="3"/>
      <c r="Q15" s="3"/>
    </row>
    <row r="16" spans="1:17" ht="12.75" hidden="1">
      <c r="A16" s="194"/>
      <c r="B16" s="195"/>
      <c r="C16" s="24"/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0</v>
      </c>
      <c r="M16" s="3"/>
      <c r="N16" s="3"/>
      <c r="O16" s="3"/>
      <c r="P16" s="3"/>
      <c r="Q16" s="3"/>
    </row>
    <row r="17" spans="1:17" ht="12.75">
      <c r="A17" s="194" t="s">
        <v>278</v>
      </c>
      <c r="B17" s="195">
        <v>0</v>
      </c>
      <c r="C17" s="24"/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176</v>
      </c>
      <c r="B18" s="195">
        <v>2</v>
      </c>
      <c r="C18" s="24"/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2</v>
      </c>
      <c r="M18" s="3"/>
      <c r="N18" s="3"/>
      <c r="O18" s="3"/>
      <c r="P18" s="3"/>
      <c r="Q18" s="3"/>
    </row>
    <row r="19" spans="1:17" ht="12.75">
      <c r="A19" s="194" t="s">
        <v>177</v>
      </c>
      <c r="B19" s="195">
        <v>1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1</v>
      </c>
      <c r="M19" s="3"/>
      <c r="N19" s="3"/>
      <c r="O19" s="3"/>
      <c r="P19" s="3"/>
      <c r="Q19" s="3"/>
    </row>
    <row r="20" spans="1:17" ht="12.75">
      <c r="A20" s="194" t="s">
        <v>197</v>
      </c>
      <c r="B20" s="195">
        <v>0</v>
      </c>
      <c r="C20" s="24"/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200</v>
      </c>
      <c r="B21" s="195">
        <v>0</v>
      </c>
      <c r="C21" s="24"/>
      <c r="D21" s="24"/>
      <c r="E21" s="24"/>
      <c r="F21" s="24"/>
      <c r="G21" s="24"/>
      <c r="H21" s="24"/>
      <c r="I21" s="131"/>
      <c r="J21" s="131"/>
      <c r="K21" s="137"/>
      <c r="L21" s="197">
        <f t="shared" si="0"/>
        <v>0</v>
      </c>
      <c r="M21" s="3"/>
      <c r="N21" s="3"/>
      <c r="O21" s="3"/>
      <c r="P21" s="3"/>
      <c r="Q21" s="3"/>
    </row>
    <row r="22" spans="1:17" ht="12.75">
      <c r="A22" s="194" t="s">
        <v>178</v>
      </c>
      <c r="B22" s="195">
        <v>1</v>
      </c>
      <c r="C22" s="24"/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1</v>
      </c>
      <c r="M22" s="3"/>
      <c r="N22" s="3"/>
      <c r="O22" s="3"/>
      <c r="P22" s="3"/>
      <c r="Q22" s="3"/>
    </row>
    <row r="23" spans="1:17" ht="12.75">
      <c r="A23" s="194" t="s">
        <v>179</v>
      </c>
      <c r="B23" s="195">
        <v>1</v>
      </c>
      <c r="C23" s="24"/>
      <c r="D23" s="24"/>
      <c r="E23" s="24"/>
      <c r="F23" s="24"/>
      <c r="G23" s="24"/>
      <c r="H23" s="24"/>
      <c r="I23" s="131"/>
      <c r="J23" s="131"/>
      <c r="K23" s="137"/>
      <c r="L23" s="196">
        <f t="shared" si="0"/>
        <v>1</v>
      </c>
      <c r="M23" s="3"/>
      <c r="N23" s="3"/>
      <c r="O23" s="3"/>
      <c r="P23" s="3"/>
      <c r="Q23" s="3"/>
    </row>
    <row r="24" spans="1:17" ht="12.75">
      <c r="A24" s="194" t="s">
        <v>180</v>
      </c>
      <c r="B24" s="195">
        <v>0</v>
      </c>
      <c r="C24" s="24"/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3"/>
      <c r="O24" s="3"/>
      <c r="P24" s="3"/>
      <c r="Q24" s="3"/>
    </row>
    <row r="25" spans="1:17" ht="12.75">
      <c r="A25" s="194" t="s">
        <v>194</v>
      </c>
      <c r="B25" s="195">
        <v>0</v>
      </c>
      <c r="C25" s="24"/>
      <c r="D25" s="24"/>
      <c r="E25" s="24"/>
      <c r="F25" s="24"/>
      <c r="G25" s="24"/>
      <c r="H25" s="24"/>
      <c r="I25" s="131"/>
      <c r="J25" s="131"/>
      <c r="K25" s="137"/>
      <c r="L25" s="197">
        <f t="shared" si="0"/>
        <v>0</v>
      </c>
      <c r="M25" s="3"/>
      <c r="N25" s="3"/>
      <c r="O25" s="3"/>
      <c r="P25" s="3"/>
      <c r="Q25" s="3"/>
    </row>
    <row r="26" spans="1:17" ht="12.75">
      <c r="A26" s="198" t="s">
        <v>182</v>
      </c>
      <c r="B26" s="199">
        <v>0</v>
      </c>
      <c r="C26" s="21"/>
      <c r="D26" s="21"/>
      <c r="E26" s="21"/>
      <c r="F26" s="21"/>
      <c r="G26" s="21"/>
      <c r="H26" s="21"/>
      <c r="I26" s="121"/>
      <c r="J26" s="121"/>
      <c r="K26" s="200"/>
      <c r="L26" s="201">
        <f t="shared" si="0"/>
        <v>0</v>
      </c>
      <c r="M26" s="3"/>
      <c r="N26" s="3"/>
      <c r="O26" s="3"/>
      <c r="P26" s="3"/>
      <c r="Q26" s="3"/>
    </row>
    <row r="27" spans="1:17" ht="13.5" thickBot="1">
      <c r="A27" s="202" t="s">
        <v>202</v>
      </c>
      <c r="B27" s="203">
        <v>0</v>
      </c>
      <c r="C27" s="204"/>
      <c r="D27" s="204"/>
      <c r="E27" s="204"/>
      <c r="F27" s="204"/>
      <c r="G27" s="204"/>
      <c r="H27" s="204"/>
      <c r="I27" s="205"/>
      <c r="J27" s="205"/>
      <c r="K27" s="206"/>
      <c r="L27" s="207">
        <f t="shared" si="0"/>
        <v>0</v>
      </c>
      <c r="M27" s="3"/>
      <c r="N27" s="3"/>
      <c r="O27" s="3"/>
      <c r="P27" s="3"/>
      <c r="Q27" s="3"/>
    </row>
    <row r="28" spans="1:17" ht="13.5" thickBot="1">
      <c r="A28" s="208" t="s">
        <v>185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09">
        <f>SUM(L13:L27)</f>
        <v>366</v>
      </c>
      <c r="M28" s="3"/>
      <c r="N28" s="3"/>
      <c r="O28" s="3"/>
      <c r="P28" s="3"/>
      <c r="Q28" s="3"/>
    </row>
    <row r="29" spans="1:17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0"/>
      <c r="B31" s="165" t="s">
        <v>188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11" t="s">
        <v>187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10" t="s">
        <v>293</v>
      </c>
      <c r="B33" s="14">
        <f>L13</f>
        <v>361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10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10" t="s">
        <v>63</v>
      </c>
      <c r="B35" s="209">
        <f>SUM(B33:B34)</f>
        <v>361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1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0" t="s">
        <v>131</v>
      </c>
      <c r="B38" s="14">
        <f>L17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0" t="s">
        <v>202</v>
      </c>
      <c r="B39" s="212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10" t="s">
        <v>178</v>
      </c>
      <c r="B40" s="14">
        <f>L22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10" t="s">
        <v>63</v>
      </c>
      <c r="B41" s="209">
        <f>SUM(B38:B40)</f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1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179</v>
      </c>
      <c r="B45" s="14">
        <f>L23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0" t="s">
        <v>180</v>
      </c>
      <c r="B46" s="212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10" t="s">
        <v>194</v>
      </c>
      <c r="B47" s="212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10" t="s">
        <v>197</v>
      </c>
      <c r="B48" s="212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10" t="s">
        <v>63</v>
      </c>
      <c r="B49" s="209">
        <f>SUM(B44:B48)</f>
        <v>1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1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177</v>
      </c>
      <c r="B52" s="212">
        <f>L19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10" t="s">
        <v>201</v>
      </c>
      <c r="B53" s="212">
        <f>L21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10" t="s">
        <v>182</v>
      </c>
      <c r="B54" s="212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10"/>
      <c r="B55" s="212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10" t="s">
        <v>63</v>
      </c>
      <c r="B56" s="213">
        <f>SUM(B52:B55)</f>
        <v>1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11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10" t="s">
        <v>176</v>
      </c>
      <c r="B59" s="212">
        <f>L18</f>
        <v>2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10" t="s">
        <v>63</v>
      </c>
      <c r="B60" s="213">
        <f>SUM(B59:B59)</f>
        <v>2</v>
      </c>
      <c r="C60" s="9"/>
      <c r="D60" s="9"/>
      <c r="E60" s="219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A39">
      <selection activeCell="A55" sqref="A55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46"/>
    </row>
    <row r="3" ht="12.75">
      <c r="A3" s="4" t="s">
        <v>5</v>
      </c>
    </row>
    <row r="5" ht="12.75">
      <c r="A5" s="145"/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11.948033333333337</v>
      </c>
      <c r="D7" s="3" t="s">
        <v>2</v>
      </c>
      <c r="F7" s="2" t="s">
        <v>7</v>
      </c>
      <c r="H7" s="47">
        <v>280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+'Engomar fondo'!L13</f>
        <v>361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69">
        <v>3659</v>
      </c>
      <c r="I11" t="s">
        <v>272</v>
      </c>
    </row>
    <row r="12" ht="12.75">
      <c r="A12" s="2" t="s">
        <v>10</v>
      </c>
    </row>
    <row r="13" ht="12.75">
      <c r="D13" s="145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+'Engomar fondo'!B49</f>
        <v>1</v>
      </c>
      <c r="K17" s="111">
        <f>I17/I18</f>
        <v>0.00273224043715847</v>
      </c>
      <c r="L17" s="37" t="s">
        <v>99</v>
      </c>
    </row>
    <row r="18" spans="4:9" ht="13.5" thickTop="1">
      <c r="D18" s="38" t="s">
        <v>189</v>
      </c>
      <c r="I18" s="102">
        <f>+'Engomar fondo'!L28</f>
        <v>366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+'Engomar fondo'!B56</f>
        <v>1</v>
      </c>
      <c r="K20" s="111">
        <f>I20/I21</f>
        <v>0.00273224043715847</v>
      </c>
      <c r="L20" s="37" t="s">
        <v>99</v>
      </c>
    </row>
    <row r="21" spans="4:9" ht="13.5" thickTop="1">
      <c r="D21" s="38" t="s">
        <v>189</v>
      </c>
      <c r="I21" s="104">
        <f>I18</f>
        <v>366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+'Engomar fondo'!B41</f>
        <v>1</v>
      </c>
      <c r="K23" s="111">
        <f>I23/I24</f>
        <v>0.00273224043715847</v>
      </c>
      <c r="L23" s="37" t="s">
        <v>99</v>
      </c>
    </row>
    <row r="24" spans="4:9" ht="13.5" thickTop="1">
      <c r="D24" s="38" t="s">
        <v>189</v>
      </c>
      <c r="I24" s="105">
        <f>I18</f>
        <v>366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+'Engomar fondo'!B60</f>
        <v>2</v>
      </c>
      <c r="K26" s="111">
        <f>I26/I27</f>
        <v>0.00546448087431694</v>
      </c>
      <c r="L26" s="37" t="s">
        <v>99</v>
      </c>
    </row>
    <row r="27" spans="4:9" ht="13.5" thickTop="1">
      <c r="D27" s="38" t="s">
        <v>189</v>
      </c>
      <c r="I27" s="106">
        <f>I18</f>
        <v>366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'Engomar fondo'!L13*H11</f>
        <v>1320899</v>
      </c>
      <c r="K29" s="47">
        <f>I29/I30</f>
        <v>3609.0136612021856</v>
      </c>
      <c r="L29" s="37" t="s">
        <v>2</v>
      </c>
    </row>
    <row r="30" spans="4:9" ht="13.5" thickTop="1">
      <c r="D30" s="38" t="s">
        <v>91</v>
      </c>
      <c r="I30" s="110">
        <f>I18</f>
        <v>366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'Pre-pesadas'!E24</f>
        <v>+ 0.06</v>
      </c>
      <c r="L35" s="58" t="str">
        <f>'Pre-pesadas'!H24</f>
        <v>+ 0.02</v>
      </c>
      <c r="N35" s="56">
        <f>J35+K35+L35</f>
        <v>1.08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12.903876000000004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3897.7347540983606</v>
      </c>
      <c r="E40">
        <f>D40/D41-1</f>
        <v>0.07878293813711457</v>
      </c>
      <c r="F40" t="s">
        <v>99</v>
      </c>
    </row>
    <row r="41" spans="3:4" ht="12.75">
      <c r="C41" s="3" t="s">
        <v>97</v>
      </c>
      <c r="D41" s="3">
        <f>H7*E37</f>
        <v>3613.085280000001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0.00273224043715847</v>
      </c>
      <c r="C47" s="66">
        <f>K20</f>
        <v>0.00273224043715847</v>
      </c>
      <c r="D47" s="3">
        <f>K23</f>
        <v>0.00273224043715847</v>
      </c>
      <c r="E47" s="3">
        <f>K26</f>
        <v>0.00546448087431694</v>
      </c>
      <c r="F47">
        <f>E40</f>
        <v>0.07878293813711457</v>
      </c>
    </row>
    <row r="49" spans="1:3" ht="12.75">
      <c r="A49" s="2" t="s">
        <v>52</v>
      </c>
      <c r="B49">
        <f>B47+C47+D47+E47+F47</f>
        <v>0.09244414032290692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12.903876000000004</v>
      </c>
      <c r="F54" s="66">
        <f>B49+1</f>
        <v>1.0924441403229068</v>
      </c>
    </row>
    <row r="56" spans="1:5" ht="12.75">
      <c r="A56" s="2" t="s">
        <v>104</v>
      </c>
      <c r="D56">
        <f>E54*F54</f>
        <v>14.096763723653394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3.7081884832535206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2440295" r:id="rId1"/>
    <oleObject progId="Equation.3" shapeId="2440296" r:id="rId2"/>
  </oleObjects>
</worksheet>
</file>

<file path=xl/worksheets/sheet34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B1" sqref="B1:L3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337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10</v>
      </c>
      <c r="D5" s="9"/>
      <c r="E5" s="9"/>
      <c r="F5" s="9"/>
      <c r="G5" s="10" t="s">
        <v>235</v>
      </c>
      <c r="H5" s="183">
        <v>3659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276</v>
      </c>
      <c r="B13" s="189">
        <v>361</v>
      </c>
      <c r="C13" s="190"/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7">SUM(B13)</f>
        <v>361</v>
      </c>
      <c r="M13" s="93"/>
      <c r="N13" s="95"/>
      <c r="O13" s="93"/>
      <c r="P13" s="95"/>
      <c r="Q13" s="93"/>
    </row>
    <row r="14" spans="1:17" ht="12.75" hidden="1">
      <c r="A14" s="214"/>
      <c r="B14" s="215"/>
      <c r="C14" s="22"/>
      <c r="D14" s="22"/>
      <c r="E14" s="22"/>
      <c r="F14" s="22"/>
      <c r="G14" s="22"/>
      <c r="H14" s="22"/>
      <c r="I14" s="123"/>
      <c r="J14" s="123"/>
      <c r="K14" s="216"/>
      <c r="L14" s="220">
        <f t="shared" si="0"/>
        <v>0</v>
      </c>
      <c r="M14" s="93"/>
      <c r="N14" s="95"/>
      <c r="O14" s="93"/>
      <c r="P14" s="95"/>
      <c r="Q14" s="93"/>
    </row>
    <row r="15" spans="1:17" ht="12.75" hidden="1">
      <c r="A15" s="194"/>
      <c r="B15" s="195"/>
      <c r="C15" s="24"/>
      <c r="D15" s="24"/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O15" s="3"/>
      <c r="P15" s="3"/>
      <c r="Q15" s="3"/>
    </row>
    <row r="16" spans="1:17" ht="12.75" hidden="1">
      <c r="A16" s="194"/>
      <c r="B16" s="195"/>
      <c r="C16" s="24"/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0</v>
      </c>
      <c r="M16" s="3"/>
      <c r="N16" s="3"/>
      <c r="O16" s="3"/>
      <c r="P16" s="3"/>
      <c r="Q16" s="3"/>
    </row>
    <row r="17" spans="1:17" ht="12.75">
      <c r="A17" s="194" t="s">
        <v>278</v>
      </c>
      <c r="B17" s="195">
        <v>0</v>
      </c>
      <c r="C17" s="24"/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176</v>
      </c>
      <c r="B18" s="195">
        <v>2</v>
      </c>
      <c r="C18" s="24"/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2</v>
      </c>
      <c r="M18" s="3"/>
      <c r="N18" s="3"/>
      <c r="O18" s="3"/>
      <c r="P18" s="3"/>
      <c r="Q18" s="3"/>
    </row>
    <row r="19" spans="1:17" ht="12.75">
      <c r="A19" s="194" t="s">
        <v>177</v>
      </c>
      <c r="B19" s="195">
        <v>1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1</v>
      </c>
      <c r="M19" s="3"/>
      <c r="N19" s="3"/>
      <c r="O19" s="3"/>
      <c r="P19" s="3"/>
      <c r="Q19" s="3"/>
    </row>
    <row r="20" spans="1:17" ht="12.75">
      <c r="A20" s="194" t="s">
        <v>197</v>
      </c>
      <c r="B20" s="195">
        <v>0</v>
      </c>
      <c r="C20" s="24"/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200</v>
      </c>
      <c r="B21" s="195">
        <v>0</v>
      </c>
      <c r="C21" s="24"/>
      <c r="D21" s="24"/>
      <c r="E21" s="24"/>
      <c r="F21" s="24"/>
      <c r="G21" s="24"/>
      <c r="H21" s="24"/>
      <c r="I21" s="131"/>
      <c r="J21" s="131"/>
      <c r="K21" s="137"/>
      <c r="L21" s="197">
        <f t="shared" si="0"/>
        <v>0</v>
      </c>
      <c r="M21" s="3"/>
      <c r="N21" s="3"/>
      <c r="O21" s="3"/>
      <c r="P21" s="3"/>
      <c r="Q21" s="3"/>
    </row>
    <row r="22" spans="1:17" ht="12.75">
      <c r="A22" s="194" t="s">
        <v>178</v>
      </c>
      <c r="B22" s="195">
        <v>1</v>
      </c>
      <c r="C22" s="24"/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1</v>
      </c>
      <c r="M22" s="3"/>
      <c r="N22" s="3"/>
      <c r="O22" s="3"/>
      <c r="P22" s="3"/>
      <c r="Q22" s="3"/>
    </row>
    <row r="23" spans="1:17" ht="12.75">
      <c r="A23" s="194" t="s">
        <v>179</v>
      </c>
      <c r="B23" s="195">
        <v>1</v>
      </c>
      <c r="C23" s="24"/>
      <c r="D23" s="24"/>
      <c r="E23" s="24"/>
      <c r="F23" s="24"/>
      <c r="G23" s="24"/>
      <c r="H23" s="24"/>
      <c r="I23" s="131"/>
      <c r="J23" s="131"/>
      <c r="K23" s="137"/>
      <c r="L23" s="196">
        <f t="shared" si="0"/>
        <v>1</v>
      </c>
      <c r="M23" s="3"/>
      <c r="N23" s="3"/>
      <c r="O23" s="3"/>
      <c r="P23" s="3"/>
      <c r="Q23" s="3"/>
    </row>
    <row r="24" spans="1:17" ht="12.75">
      <c r="A24" s="194" t="s">
        <v>180</v>
      </c>
      <c r="B24" s="195">
        <v>0</v>
      </c>
      <c r="C24" s="24"/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3"/>
      <c r="O24" s="3"/>
      <c r="P24" s="3"/>
      <c r="Q24" s="3"/>
    </row>
    <row r="25" spans="1:17" ht="12.75">
      <c r="A25" s="194" t="s">
        <v>194</v>
      </c>
      <c r="B25" s="195">
        <v>0</v>
      </c>
      <c r="C25" s="24"/>
      <c r="D25" s="24"/>
      <c r="E25" s="24"/>
      <c r="F25" s="24"/>
      <c r="G25" s="24"/>
      <c r="H25" s="24"/>
      <c r="I25" s="131"/>
      <c r="J25" s="131"/>
      <c r="K25" s="137"/>
      <c r="L25" s="197">
        <f t="shared" si="0"/>
        <v>0</v>
      </c>
      <c r="M25" s="3"/>
      <c r="N25" s="3"/>
      <c r="O25" s="3"/>
      <c r="P25" s="3"/>
      <c r="Q25" s="3"/>
    </row>
    <row r="26" spans="1:17" ht="12.75">
      <c r="A26" s="198" t="s">
        <v>182</v>
      </c>
      <c r="B26" s="199">
        <v>0</v>
      </c>
      <c r="C26" s="21"/>
      <c r="D26" s="21"/>
      <c r="E26" s="21"/>
      <c r="F26" s="21"/>
      <c r="G26" s="21"/>
      <c r="H26" s="21"/>
      <c r="I26" s="121"/>
      <c r="J26" s="121"/>
      <c r="K26" s="200"/>
      <c r="L26" s="201">
        <f t="shared" si="0"/>
        <v>0</v>
      </c>
      <c r="M26" s="3"/>
      <c r="N26" s="3"/>
      <c r="O26" s="3"/>
      <c r="P26" s="3"/>
      <c r="Q26" s="3"/>
    </row>
    <row r="27" spans="1:17" ht="13.5" thickBot="1">
      <c r="A27" s="202" t="s">
        <v>202</v>
      </c>
      <c r="B27" s="203">
        <v>0</v>
      </c>
      <c r="C27" s="204"/>
      <c r="D27" s="204"/>
      <c r="E27" s="204"/>
      <c r="F27" s="204"/>
      <c r="G27" s="204"/>
      <c r="H27" s="204"/>
      <c r="I27" s="205"/>
      <c r="J27" s="205"/>
      <c r="K27" s="206"/>
      <c r="L27" s="207">
        <f t="shared" si="0"/>
        <v>0</v>
      </c>
      <c r="M27" s="3"/>
      <c r="N27" s="3"/>
      <c r="O27" s="3"/>
      <c r="P27" s="3"/>
      <c r="Q27" s="3"/>
    </row>
    <row r="28" spans="1:17" ht="13.5" thickBot="1">
      <c r="A28" s="208" t="s">
        <v>185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09">
        <f>SUM(L13:L27)</f>
        <v>366</v>
      </c>
      <c r="M28" s="3"/>
      <c r="N28" s="3"/>
      <c r="O28" s="3"/>
      <c r="P28" s="3"/>
      <c r="Q28" s="3"/>
    </row>
    <row r="29" spans="1:17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0"/>
      <c r="B31" s="165" t="s">
        <v>188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11" t="s">
        <v>187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10" t="s">
        <v>276</v>
      </c>
      <c r="B33" s="14">
        <f>L13</f>
        <v>361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10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10" t="s">
        <v>63</v>
      </c>
      <c r="B35" s="209">
        <f>SUM(B33:B34)</f>
        <v>361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1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0" t="s">
        <v>131</v>
      </c>
      <c r="B38" s="14">
        <f>L17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0" t="s">
        <v>202</v>
      </c>
      <c r="B39" s="212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10" t="s">
        <v>178</v>
      </c>
      <c r="B40" s="14">
        <f>L22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10" t="s">
        <v>63</v>
      </c>
      <c r="B41" s="209">
        <f>SUM(B38:B40)</f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1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179</v>
      </c>
      <c r="B45" s="14">
        <f>L23</f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0" t="s">
        <v>180</v>
      </c>
      <c r="B46" s="212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10" t="s">
        <v>194</v>
      </c>
      <c r="B47" s="212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10" t="s">
        <v>197</v>
      </c>
      <c r="B48" s="212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10" t="s">
        <v>63</v>
      </c>
      <c r="B49" s="209">
        <f>SUM(B44:B48)</f>
        <v>1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1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177</v>
      </c>
      <c r="B52" s="212">
        <f>L19</f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10" t="s">
        <v>201</v>
      </c>
      <c r="B53" s="212">
        <f>L21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10" t="s">
        <v>182</v>
      </c>
      <c r="B54" s="212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10"/>
      <c r="B55" s="212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10" t="s">
        <v>63</v>
      </c>
      <c r="B56" s="213">
        <f>SUM(B52:B55)</f>
        <v>1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11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10" t="s">
        <v>176</v>
      </c>
      <c r="B59" s="212">
        <f>L18</f>
        <v>2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10" t="s">
        <v>63</v>
      </c>
      <c r="B60" s="213">
        <f>SUM(B59:B59)</f>
        <v>2</v>
      </c>
      <c r="C60" s="9"/>
      <c r="D60" s="9"/>
      <c r="E60" s="219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A38">
      <selection activeCell="A52" sqref="A52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46"/>
    </row>
    <row r="3" ht="12.75">
      <c r="A3" s="4" t="s">
        <v>5</v>
      </c>
    </row>
    <row r="5" ht="12.75">
      <c r="A5" s="145"/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10.898</v>
      </c>
      <c r="D7" s="3" t="s">
        <v>2</v>
      </c>
      <c r="F7" s="2" t="s">
        <v>7</v>
      </c>
      <c r="H7" s="47">
        <v>305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+'Engomar fondo'!L13</f>
        <v>361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69">
        <v>3659</v>
      </c>
      <c r="I11" t="s">
        <v>272</v>
      </c>
    </row>
    <row r="12" ht="12.75">
      <c r="A12" s="2" t="s">
        <v>10</v>
      </c>
    </row>
    <row r="13" ht="12.75">
      <c r="D13" s="145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+'Engomar fondo'!B49</f>
        <v>1</v>
      </c>
      <c r="K17" s="111">
        <f>I17/I18</f>
        <v>0.00273224043715847</v>
      </c>
      <c r="L17" s="37" t="s">
        <v>99</v>
      </c>
    </row>
    <row r="18" spans="4:9" ht="13.5" thickTop="1">
      <c r="D18" s="38" t="s">
        <v>189</v>
      </c>
      <c r="I18" s="102">
        <f>+'Engomar fondo'!L28</f>
        <v>366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+'Engomar fondo'!B56</f>
        <v>1</v>
      </c>
      <c r="K20" s="111">
        <f>I20/I21</f>
        <v>0.00273224043715847</v>
      </c>
      <c r="L20" s="37" t="s">
        <v>99</v>
      </c>
    </row>
    <row r="21" spans="4:9" ht="13.5" thickTop="1">
      <c r="D21" s="38" t="s">
        <v>189</v>
      </c>
      <c r="I21" s="104">
        <f>I18</f>
        <v>366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+'Engomar fondo'!B41</f>
        <v>1</v>
      </c>
      <c r="K23" s="111">
        <f>I23/I24</f>
        <v>0.00273224043715847</v>
      </c>
      <c r="L23" s="37" t="s">
        <v>99</v>
      </c>
    </row>
    <row r="24" spans="4:9" ht="13.5" thickTop="1">
      <c r="D24" s="38" t="s">
        <v>189</v>
      </c>
      <c r="I24" s="105">
        <f>I18</f>
        <v>366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+'Engomar fondo'!B60</f>
        <v>2</v>
      </c>
      <c r="K26" s="111">
        <f>I26/I27</f>
        <v>0.00546448087431694</v>
      </c>
      <c r="L26" s="37" t="s">
        <v>99</v>
      </c>
    </row>
    <row r="27" spans="4:9" ht="13.5" thickTop="1">
      <c r="D27" s="38" t="s">
        <v>189</v>
      </c>
      <c r="I27" s="106">
        <f>I18</f>
        <v>366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'Engomar fondo'!L13*H11</f>
        <v>1320899</v>
      </c>
      <c r="K29" s="47">
        <f>I29/I30</f>
        <v>3609.0136612021856</v>
      </c>
      <c r="L29" s="37" t="s">
        <v>2</v>
      </c>
    </row>
    <row r="30" spans="4:9" ht="13.5" thickTop="1">
      <c r="D30" s="38" t="s">
        <v>91</v>
      </c>
      <c r="I30" s="110">
        <f>I18</f>
        <v>366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'Pre-pesadas'!E24</f>
        <v>+ 0.06</v>
      </c>
      <c r="L35" s="58" t="str">
        <f>'Pre-pesadas'!H24</f>
        <v>+ 0.02</v>
      </c>
      <c r="N35" s="56">
        <f>J35+K35+L35</f>
        <v>1.08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11.76984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3897.7347540983606</v>
      </c>
      <c r="E40">
        <f>D40/D41-1</f>
        <v>0.08578011342198022</v>
      </c>
      <c r="F40" t="s">
        <v>99</v>
      </c>
    </row>
    <row r="41" spans="3:4" ht="12.75">
      <c r="C41" s="3" t="s">
        <v>97</v>
      </c>
      <c r="D41" s="3">
        <f>H7*E37</f>
        <v>3589.8012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0.00273224043715847</v>
      </c>
      <c r="C47" s="66">
        <f>K20</f>
        <v>0.00273224043715847</v>
      </c>
      <c r="D47" s="3">
        <f>K23</f>
        <v>0.00273224043715847</v>
      </c>
      <c r="E47" s="3">
        <f>K26</f>
        <v>0.00546448087431694</v>
      </c>
      <c r="F47">
        <f>E40</f>
        <v>0.08578011342198022</v>
      </c>
    </row>
    <row r="49" spans="1:3" ht="12.75">
      <c r="A49" s="2" t="s">
        <v>52</v>
      </c>
      <c r="B49">
        <f>B47+C47+D47+E47+F47</f>
        <v>0.09944131560777257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11.76984</v>
      </c>
      <c r="F54" s="66">
        <f>B49+1</f>
        <v>1.0994413156077725</v>
      </c>
    </row>
    <row r="56" spans="1:5" ht="12.75">
      <c r="A56" s="2" t="s">
        <v>104</v>
      </c>
      <c r="D56">
        <f>E54*F54</f>
        <v>12.940248374092985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3.8701937277724054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43079" r:id="rId1"/>
    <oleObject progId="Equation.3" shapeId="43080" r:id="rId2"/>
  </oleObjects>
</worksheet>
</file>

<file path=xl/worksheets/sheet36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338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5</v>
      </c>
      <c r="D5" s="9"/>
      <c r="E5" s="9"/>
      <c r="F5" s="9"/>
      <c r="G5" s="10" t="s">
        <v>235</v>
      </c>
      <c r="H5" s="183">
        <v>1208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273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hidden="1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279</v>
      </c>
      <c r="B13" s="189">
        <v>236</v>
      </c>
      <c r="C13" s="190"/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7">SUM(B13)</f>
        <v>236</v>
      </c>
      <c r="M13" s="93"/>
      <c r="N13" s="95"/>
      <c r="O13" s="93"/>
      <c r="P13" s="95"/>
      <c r="Q13" s="93"/>
    </row>
    <row r="14" spans="1:17" ht="12.75" hidden="1">
      <c r="A14" s="214"/>
      <c r="B14" s="215"/>
      <c r="C14" s="22"/>
      <c r="D14" s="22"/>
      <c r="E14" s="22"/>
      <c r="F14" s="22"/>
      <c r="G14" s="22"/>
      <c r="H14" s="22"/>
      <c r="I14" s="123"/>
      <c r="J14" s="123"/>
      <c r="K14" s="216"/>
      <c r="L14" s="220">
        <f t="shared" si="0"/>
        <v>0</v>
      </c>
      <c r="M14" s="93"/>
      <c r="N14" s="95"/>
      <c r="O14" s="93"/>
      <c r="P14" s="95"/>
      <c r="Q14" s="93"/>
    </row>
    <row r="15" spans="1:17" ht="12.75" hidden="1">
      <c r="A15" s="194"/>
      <c r="B15" s="195"/>
      <c r="C15" s="24"/>
      <c r="D15" s="24"/>
      <c r="E15" s="24"/>
      <c r="F15" s="24"/>
      <c r="G15" s="24"/>
      <c r="H15" s="24"/>
      <c r="I15" s="131"/>
      <c r="J15" s="131"/>
      <c r="K15" s="137"/>
      <c r="L15" s="196">
        <f t="shared" si="0"/>
        <v>0</v>
      </c>
      <c r="M15" s="3"/>
      <c r="N15" s="3"/>
      <c r="O15" s="3"/>
      <c r="P15" s="3"/>
      <c r="Q15" s="3"/>
    </row>
    <row r="16" spans="1:17" ht="12.75" hidden="1">
      <c r="A16" s="194"/>
      <c r="B16" s="195"/>
      <c r="C16" s="24"/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0</v>
      </c>
      <c r="M16" s="3"/>
      <c r="N16" s="3"/>
      <c r="O16" s="3"/>
      <c r="P16" s="3"/>
      <c r="Q16" s="3"/>
    </row>
    <row r="17" spans="1:17" ht="12.75">
      <c r="A17" s="194" t="s">
        <v>281</v>
      </c>
      <c r="B17" s="195">
        <v>0</v>
      </c>
      <c r="C17" s="24"/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176</v>
      </c>
      <c r="B18" s="195">
        <v>1</v>
      </c>
      <c r="C18" s="24"/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1</v>
      </c>
      <c r="M18" s="3"/>
      <c r="N18" s="3"/>
      <c r="O18" s="3"/>
      <c r="P18" s="3"/>
      <c r="Q18" s="3"/>
    </row>
    <row r="19" spans="1:17" ht="12.75">
      <c r="A19" s="194" t="s">
        <v>177</v>
      </c>
      <c r="B19" s="195">
        <v>0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197</v>
      </c>
      <c r="B20" s="195">
        <v>0</v>
      </c>
      <c r="C20" s="24"/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200</v>
      </c>
      <c r="B21" s="195">
        <v>4</v>
      </c>
      <c r="C21" s="24"/>
      <c r="D21" s="24"/>
      <c r="E21" s="24"/>
      <c r="F21" s="24"/>
      <c r="G21" s="24"/>
      <c r="H21" s="24"/>
      <c r="I21" s="131"/>
      <c r="J21" s="131"/>
      <c r="K21" s="137"/>
      <c r="L21" s="197">
        <f t="shared" si="0"/>
        <v>4</v>
      </c>
      <c r="M21" s="3"/>
      <c r="N21" s="3"/>
      <c r="O21" s="3"/>
      <c r="P21" s="3"/>
      <c r="Q21" s="3"/>
    </row>
    <row r="22" spans="1:17" ht="12.75">
      <c r="A22" s="194" t="s">
        <v>178</v>
      </c>
      <c r="B22" s="195">
        <v>0</v>
      </c>
      <c r="C22" s="24"/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0</v>
      </c>
      <c r="M22" s="3"/>
      <c r="N22" s="3"/>
      <c r="O22" s="3"/>
      <c r="P22" s="3"/>
      <c r="Q22" s="3"/>
    </row>
    <row r="23" spans="1:17" ht="12.75">
      <c r="A23" s="194" t="s">
        <v>179</v>
      </c>
      <c r="B23" s="195">
        <v>0</v>
      </c>
      <c r="C23" s="24"/>
      <c r="D23" s="24"/>
      <c r="E23" s="24"/>
      <c r="F23" s="24"/>
      <c r="G23" s="24"/>
      <c r="H23" s="24"/>
      <c r="I23" s="131"/>
      <c r="J23" s="131"/>
      <c r="K23" s="137"/>
      <c r="L23" s="196">
        <f t="shared" si="0"/>
        <v>0</v>
      </c>
      <c r="M23" s="3"/>
      <c r="N23" s="3"/>
      <c r="O23" s="3"/>
      <c r="P23" s="3"/>
      <c r="Q23" s="3"/>
    </row>
    <row r="24" spans="1:17" ht="12.75">
      <c r="A24" s="194" t="s">
        <v>180</v>
      </c>
      <c r="B24" s="195">
        <v>0</v>
      </c>
      <c r="C24" s="24"/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3"/>
      <c r="O24" s="3"/>
      <c r="P24" s="3"/>
      <c r="Q24" s="3"/>
    </row>
    <row r="25" spans="1:17" ht="12.75">
      <c r="A25" s="194" t="s">
        <v>194</v>
      </c>
      <c r="B25" s="195">
        <v>0</v>
      </c>
      <c r="C25" s="24"/>
      <c r="D25" s="24"/>
      <c r="E25" s="24"/>
      <c r="F25" s="24"/>
      <c r="G25" s="24"/>
      <c r="H25" s="24"/>
      <c r="I25" s="131"/>
      <c r="J25" s="131"/>
      <c r="K25" s="137"/>
      <c r="L25" s="197">
        <f t="shared" si="0"/>
        <v>0</v>
      </c>
      <c r="M25" s="3"/>
      <c r="N25" s="3"/>
      <c r="O25" s="3"/>
      <c r="P25" s="3"/>
      <c r="Q25" s="3"/>
    </row>
    <row r="26" spans="1:17" ht="12.75">
      <c r="A26" s="198" t="s">
        <v>182</v>
      </c>
      <c r="B26" s="199">
        <v>0</v>
      </c>
      <c r="C26" s="21"/>
      <c r="D26" s="21"/>
      <c r="E26" s="21"/>
      <c r="F26" s="21"/>
      <c r="G26" s="21"/>
      <c r="H26" s="21"/>
      <c r="I26" s="121"/>
      <c r="J26" s="121"/>
      <c r="K26" s="200"/>
      <c r="L26" s="201">
        <f t="shared" si="0"/>
        <v>0</v>
      </c>
      <c r="M26" s="3"/>
      <c r="N26" s="3"/>
      <c r="O26" s="3"/>
      <c r="P26" s="3"/>
      <c r="Q26" s="3"/>
    </row>
    <row r="27" spans="1:17" ht="13.5" thickBot="1">
      <c r="A27" s="202" t="s">
        <v>202</v>
      </c>
      <c r="B27" s="203">
        <v>0</v>
      </c>
      <c r="C27" s="204"/>
      <c r="D27" s="204"/>
      <c r="E27" s="204"/>
      <c r="F27" s="204"/>
      <c r="G27" s="204"/>
      <c r="H27" s="204"/>
      <c r="I27" s="205"/>
      <c r="J27" s="205"/>
      <c r="K27" s="206"/>
      <c r="L27" s="207">
        <f t="shared" si="0"/>
        <v>0</v>
      </c>
      <c r="M27" s="3"/>
      <c r="N27" s="3"/>
      <c r="O27" s="3"/>
      <c r="P27" s="3"/>
      <c r="Q27" s="3"/>
    </row>
    <row r="28" spans="1:17" ht="13.5" thickBot="1">
      <c r="A28" s="208" t="s">
        <v>185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09">
        <f>SUM(L13:L27)</f>
        <v>241</v>
      </c>
      <c r="M28" s="3"/>
      <c r="N28" s="3"/>
      <c r="O28" s="3"/>
      <c r="P28" s="3"/>
      <c r="Q28" s="3"/>
    </row>
    <row r="29" spans="1:17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3"/>
      <c r="N29" s="3"/>
      <c r="O29" s="3"/>
      <c r="P29" s="3"/>
      <c r="Q29" s="3"/>
    </row>
    <row r="30" spans="1:12" ht="12.75">
      <c r="A30" s="2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0"/>
      <c r="B31" s="165" t="s">
        <v>188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11" t="s">
        <v>187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10" t="s">
        <v>279</v>
      </c>
      <c r="B33" s="14">
        <f>L13</f>
        <v>236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10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 thickBot="1">
      <c r="A35" s="210" t="s">
        <v>63</v>
      </c>
      <c r="B35" s="209">
        <f>SUM(B33:B34)</f>
        <v>236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1" t="s">
        <v>164</v>
      </c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0" t="s">
        <v>280</v>
      </c>
      <c r="B38" s="14">
        <f>L17</f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0" t="s">
        <v>202</v>
      </c>
      <c r="B39" s="212">
        <f>L27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10" t="s">
        <v>178</v>
      </c>
      <c r="B40" s="14">
        <f>L22</f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 thickBot="1">
      <c r="A41" s="210" t="s">
        <v>63</v>
      </c>
      <c r="B41" s="209">
        <f>SUM(B38:B40)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1" t="s">
        <v>162</v>
      </c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179</v>
      </c>
      <c r="B45" s="14">
        <f>L23</f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0" t="s">
        <v>180</v>
      </c>
      <c r="B46" s="212">
        <f>L24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10" t="s">
        <v>194</v>
      </c>
      <c r="B47" s="212">
        <f>L25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10" t="s">
        <v>197</v>
      </c>
      <c r="B48" s="212">
        <f>L20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10" t="s">
        <v>63</v>
      </c>
      <c r="B49" s="209">
        <f>SUM(B44:B48)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1" t="s">
        <v>163</v>
      </c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177</v>
      </c>
      <c r="B52" s="212">
        <f>L19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210" t="s">
        <v>201</v>
      </c>
      <c r="B53" s="212">
        <f>L21</f>
        <v>4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210" t="s">
        <v>182</v>
      </c>
      <c r="B54" s="212">
        <f>L26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thickBot="1">
      <c r="A55" s="210"/>
      <c r="B55" s="212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thickBot="1">
      <c r="A56" s="210" t="s">
        <v>63</v>
      </c>
      <c r="B56" s="213">
        <f>SUM(B52:B55)</f>
        <v>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211" t="s">
        <v>165</v>
      </c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thickBot="1">
      <c r="A59" s="210" t="s">
        <v>176</v>
      </c>
      <c r="B59" s="212">
        <f>L18</f>
        <v>1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3.5" thickBot="1">
      <c r="A60" s="210" t="s">
        <v>63</v>
      </c>
      <c r="B60" s="213">
        <f>SUM(B59:B59)</f>
        <v>1</v>
      </c>
      <c r="C60" s="9"/>
      <c r="D60" s="9"/>
      <c r="E60" s="219"/>
      <c r="F60" s="9"/>
      <c r="G60" s="9"/>
      <c r="H60" s="9"/>
      <c r="I60" s="9"/>
      <c r="J60" s="9"/>
      <c r="K60" s="9"/>
      <c r="L6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74"/>
  <sheetViews>
    <sheetView zoomScale="200" zoomScaleNormal="200" workbookViewId="0" topLeftCell="A38">
      <selection activeCell="A50" sqref="A50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1" ht="12.75">
      <c r="A1" s="146"/>
    </row>
    <row r="3" ht="12.75">
      <c r="A3" s="4" t="s">
        <v>5</v>
      </c>
    </row>
    <row r="5" ht="12.75">
      <c r="A5" s="145"/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5.912285714285714</v>
      </c>
      <c r="D7" s="3" t="s">
        <v>2</v>
      </c>
      <c r="F7" s="2" t="s">
        <v>7</v>
      </c>
      <c r="H7" s="47">
        <v>190</v>
      </c>
      <c r="I7" s="37"/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47">
        <f>+'Arma fondo tapa'!L13</f>
        <v>236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1208</v>
      </c>
      <c r="I11" t="s">
        <v>272</v>
      </c>
    </row>
    <row r="12" ht="12.75">
      <c r="A12" s="2" t="s">
        <v>10</v>
      </c>
    </row>
    <row r="13" ht="12.75">
      <c r="D13" s="145"/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+'Arma fondo tapa'!B49</f>
        <v>0</v>
      </c>
      <c r="K17" s="111">
        <f>I17/I18</f>
        <v>0</v>
      </c>
      <c r="L17" s="37" t="s">
        <v>99</v>
      </c>
    </row>
    <row r="18" spans="4:9" ht="13.5" thickTop="1">
      <c r="D18" s="38" t="s">
        <v>189</v>
      </c>
      <c r="I18" s="102">
        <f>+'Arma fondo tapa'!L28</f>
        <v>241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+'Arma fondo tapa'!B56</f>
        <v>4</v>
      </c>
      <c r="K20" s="111">
        <f>I20/I21</f>
        <v>0.016597510373443983</v>
      </c>
      <c r="L20" s="37" t="s">
        <v>99</v>
      </c>
    </row>
    <row r="21" spans="4:9" ht="13.5" thickTop="1">
      <c r="D21" s="38" t="s">
        <v>189</v>
      </c>
      <c r="I21" s="104">
        <f>I18</f>
        <v>241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+'Arma fondo tapa'!B41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241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+'Arma fondo tapa'!B60</f>
        <v>1</v>
      </c>
      <c r="K26" s="111">
        <f>I26/I27</f>
        <v>0.004149377593360996</v>
      </c>
      <c r="L26" s="37" t="s">
        <v>99</v>
      </c>
    </row>
    <row r="27" spans="4:9" ht="13.5" thickTop="1">
      <c r="D27" s="38" t="s">
        <v>189</v>
      </c>
      <c r="I27" s="106">
        <f>I18</f>
        <v>241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'Arma fondo tapa'!L13*H11</f>
        <v>285088</v>
      </c>
      <c r="K29" s="47">
        <f>I29/I30</f>
        <v>1182.9377593360996</v>
      </c>
      <c r="L29" s="37" t="s">
        <v>2</v>
      </c>
    </row>
    <row r="30" spans="4:9" ht="13.5" thickTop="1">
      <c r="D30" s="38" t="s">
        <v>91</v>
      </c>
      <c r="I30" s="110">
        <f>I18</f>
        <v>241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'Pre-pesadas'!E26</f>
        <v>+ 0.03</v>
      </c>
      <c r="L35" s="58" t="str">
        <f>'Pre-pesadas'!H26</f>
        <v>+ 0.02</v>
      </c>
      <c r="N35" s="56">
        <f>J35+K35+L35</f>
        <v>1.05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6.2078999999999995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1242.0846473029046</v>
      </c>
      <c r="E40">
        <f>D40/D41-1</f>
        <v>0.05305942708221911</v>
      </c>
      <c r="F40" t="s">
        <v>99</v>
      </c>
    </row>
    <row r="41" spans="3:4" ht="12.75">
      <c r="C41" s="3" t="s">
        <v>97</v>
      </c>
      <c r="D41" s="3">
        <f>H7*E37</f>
        <v>1179.501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</v>
      </c>
      <c r="C47" s="66">
        <f>K20</f>
        <v>0.016597510373443983</v>
      </c>
      <c r="D47" s="3">
        <f>K23</f>
        <v>0</v>
      </c>
      <c r="E47" s="3">
        <f>K26</f>
        <v>0.004149377593360996</v>
      </c>
      <c r="F47">
        <f>E40</f>
        <v>0.05305942708221911</v>
      </c>
    </row>
    <row r="49" spans="1:3" ht="12.75">
      <c r="A49" s="2" t="s">
        <v>52</v>
      </c>
      <c r="B49">
        <f>B47+C47+D47+E47+F47</f>
        <v>0.07380631504902409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6.2078999999999995</v>
      </c>
      <c r="F54" s="66">
        <f>B49+1</f>
        <v>1.073806315049024</v>
      </c>
    </row>
    <row r="56" spans="1:5" ht="12.75">
      <c r="A56" s="2" t="s">
        <v>104</v>
      </c>
      <c r="D56">
        <f>E54*F54</f>
        <v>6.666082223192836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>
        <f>80*SQRT(H7)/H9</f>
        <v>4.672558899013635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0120" r:id="rId1"/>
    <oleObject progId="Equation.3" shapeId="60121" r:id="rId2"/>
  </oleObjects>
</worksheet>
</file>

<file path=xl/worksheets/sheet38.xml><?xml version="1.0" encoding="utf-8"?>
<worksheet xmlns="http://schemas.openxmlformats.org/spreadsheetml/2006/main" xmlns:r="http://schemas.openxmlformats.org/officeDocument/2006/relationships">
  <dimension ref="A6:K20"/>
  <sheetViews>
    <sheetView workbookViewId="0" topLeftCell="A1">
      <selection activeCell="A13" sqref="A13"/>
    </sheetView>
  </sheetViews>
  <sheetFormatPr defaultColWidth="9.140625" defaultRowHeight="12.75"/>
  <sheetData>
    <row r="6" spans="1:10" ht="12.75">
      <c r="A6" s="166" t="s">
        <v>59</v>
      </c>
      <c r="B6" s="166"/>
      <c r="C6" s="166" t="s">
        <v>54</v>
      </c>
      <c r="D6" s="166"/>
      <c r="E6" s="166" t="s">
        <v>54</v>
      </c>
      <c r="F6" s="166"/>
      <c r="G6" s="166" t="s">
        <v>54</v>
      </c>
      <c r="H6" s="166"/>
      <c r="I6" s="166" t="s">
        <v>54</v>
      </c>
      <c r="J6" s="166"/>
    </row>
    <row r="7" spans="1:10" ht="12.75">
      <c r="A7" s="166" t="s">
        <v>60</v>
      </c>
      <c r="B7" s="166"/>
      <c r="C7" s="166" t="s">
        <v>55</v>
      </c>
      <c r="D7" s="166"/>
      <c r="E7" s="166" t="s">
        <v>56</v>
      </c>
      <c r="F7" s="166"/>
      <c r="G7" s="166" t="s">
        <v>57</v>
      </c>
      <c r="H7" s="166"/>
      <c r="I7" s="166" t="s">
        <v>58</v>
      </c>
      <c r="J7" s="166"/>
    </row>
    <row r="8" spans="1:10" ht="12.75">
      <c r="A8" s="8" t="s">
        <v>61</v>
      </c>
      <c r="B8" s="29" t="s">
        <v>62</v>
      </c>
      <c r="C8" s="8" t="s">
        <v>61</v>
      </c>
      <c r="D8" s="29" t="s">
        <v>62</v>
      </c>
      <c r="E8" s="8" t="s">
        <v>61</v>
      </c>
      <c r="F8" s="29" t="s">
        <v>62</v>
      </c>
      <c r="G8" s="8" t="s">
        <v>61</v>
      </c>
      <c r="H8" s="29" t="s">
        <v>62</v>
      </c>
      <c r="I8" s="8" t="s">
        <v>61</v>
      </c>
      <c r="J8" s="29" t="s">
        <v>62</v>
      </c>
    </row>
    <row r="9" spans="1:10" ht="12.7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1" ht="12.75">
      <c r="A20" s="8" t="s">
        <v>63</v>
      </c>
      <c r="B20" s="7">
        <f>SUM(B9:B19)</f>
        <v>0</v>
      </c>
      <c r="C20" s="3" t="s">
        <v>2</v>
      </c>
      <c r="D20" s="7">
        <f>SUM(D9:D19)</f>
        <v>0</v>
      </c>
      <c r="E20" s="3" t="s">
        <v>2</v>
      </c>
      <c r="F20" s="7">
        <f>SUM(F9:F19)</f>
        <v>0</v>
      </c>
      <c r="G20" s="3" t="s">
        <v>2</v>
      </c>
      <c r="H20" s="7">
        <f>SUM(H9:H19)</f>
        <v>0</v>
      </c>
      <c r="I20" s="3" t="s">
        <v>2</v>
      </c>
      <c r="J20" s="7">
        <f>SUM(J9:J19)</f>
        <v>0</v>
      </c>
      <c r="K20" s="3" t="s">
        <v>2</v>
      </c>
    </row>
  </sheetData>
  <mergeCells count="10">
    <mergeCell ref="A6:B6"/>
    <mergeCell ref="A7:B7"/>
    <mergeCell ref="C6:D6"/>
    <mergeCell ref="C7:D7"/>
    <mergeCell ref="I6:J6"/>
    <mergeCell ref="I7:J7"/>
    <mergeCell ref="E6:F6"/>
    <mergeCell ref="E7:F7"/>
    <mergeCell ref="G6:H6"/>
    <mergeCell ref="G7:H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1">
      <selection activeCell="A1" sqref="A1"/>
    </sheetView>
  </sheetViews>
  <sheetFormatPr defaultColWidth="9.140625" defaultRowHeight="12.75"/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"/>
      <c r="D7" s="3" t="s">
        <v>2</v>
      </c>
      <c r="F7" s="2" t="s">
        <v>7</v>
      </c>
      <c r="H7" s="1"/>
      <c r="I7" s="3" t="s">
        <v>4</v>
      </c>
    </row>
    <row r="8" ht="13.5" thickBot="1">
      <c r="A8" s="2" t="s">
        <v>6</v>
      </c>
    </row>
    <row r="9" spans="1:8" ht="13.5" thickBot="1">
      <c r="A9" s="2"/>
      <c r="F9" s="72" t="s">
        <v>113</v>
      </c>
      <c r="G9" s="71" t="s">
        <v>112</v>
      </c>
      <c r="H9" s="1"/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1"/>
      <c r="I11" t="s">
        <v>89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39"/>
      <c r="K17" s="47"/>
      <c r="L17" s="37" t="s">
        <v>99</v>
      </c>
    </row>
    <row r="18" spans="4:9" ht="13.5" thickTop="1">
      <c r="D18" s="38" t="s">
        <v>87</v>
      </c>
      <c r="I18" s="40"/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42"/>
      <c r="K20" s="47"/>
      <c r="L20" s="37" t="s">
        <v>99</v>
      </c>
    </row>
    <row r="21" spans="4:9" ht="13.5" thickTop="1">
      <c r="D21" s="38" t="s">
        <v>87</v>
      </c>
      <c r="I21" s="41"/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44"/>
      <c r="K23" s="47"/>
      <c r="L23" s="37" t="s">
        <v>99</v>
      </c>
    </row>
    <row r="24" spans="4:9" ht="13.5" thickTop="1">
      <c r="D24" s="38" t="s">
        <v>87</v>
      </c>
      <c r="I24" s="43"/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46"/>
      <c r="K26" s="47"/>
      <c r="L26" s="37" t="s">
        <v>99</v>
      </c>
    </row>
    <row r="27" spans="4:9" ht="13.5" thickTop="1">
      <c r="D27" s="38" t="s">
        <v>87</v>
      </c>
      <c r="I27" s="45"/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61">
        <f>(H11*3600)</f>
        <v>0</v>
      </c>
      <c r="K29" s="47" t="e">
        <f>I29/I30</f>
        <v>#DIV/0!</v>
      </c>
      <c r="L29" s="37" t="s">
        <v>2</v>
      </c>
    </row>
    <row r="30" spans="4:9" ht="13.5" thickTop="1">
      <c r="D30" s="38" t="s">
        <v>91</v>
      </c>
      <c r="I30" s="60"/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'Tab Tolerancias'!B8</f>
        <v>+ 0.08</v>
      </c>
      <c r="L35" s="58" t="str">
        <f>'Tab Tolerancias'!E8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0</v>
      </c>
      <c r="F37" t="s">
        <v>2</v>
      </c>
    </row>
    <row r="40" spans="2:6" ht="12.75">
      <c r="B40" s="65" t="s">
        <v>94</v>
      </c>
      <c r="C40" s="64" t="s">
        <v>96</v>
      </c>
      <c r="D40" s="66" t="e">
        <f>K29*N35</f>
        <v>#DIV/0!</v>
      </c>
      <c r="E40" t="e">
        <f>D40/D41</f>
        <v>#DIV/0!</v>
      </c>
      <c r="F40" t="s">
        <v>99</v>
      </c>
    </row>
    <row r="41" spans="3:4" ht="12.75">
      <c r="C41" s="3" t="s">
        <v>97</v>
      </c>
      <c r="D41" s="3">
        <f>H7*E37</f>
        <v>0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</v>
      </c>
      <c r="C47" s="66">
        <f>K20</f>
        <v>0</v>
      </c>
      <c r="D47" s="3">
        <f>K23</f>
        <v>0</v>
      </c>
      <c r="E47" s="3">
        <f>K26</f>
        <v>0</v>
      </c>
      <c r="F47" t="e">
        <f>E40</f>
        <v>#DIV/0!</v>
      </c>
    </row>
    <row r="49" spans="1:3" ht="12.75">
      <c r="A49" s="2" t="s">
        <v>52</v>
      </c>
      <c r="B49" t="e">
        <f>B47+C47+D47+E47+F47</f>
        <v>#DIV/0!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0</v>
      </c>
      <c r="F54" s="66" t="e">
        <f>B49</f>
        <v>#DIV/0!</v>
      </c>
    </row>
    <row r="56" spans="1:5" ht="12.75">
      <c r="A56" s="2" t="s">
        <v>104</v>
      </c>
      <c r="D56" t="e">
        <f>E54*F54</f>
        <v>#DIV/0!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 t="s">
        <v>111</v>
      </c>
    </row>
    <row r="61" ht="12.75">
      <c r="B61" s="3" t="s">
        <v>110</v>
      </c>
    </row>
    <row r="63" spans="1:3" ht="12.75">
      <c r="A63" s="3" t="s">
        <v>108</v>
      </c>
      <c r="B63" t="e">
        <f>80*SQRT(H7)/H9*100</f>
        <v>#DIV/0!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890239" r:id="rId1"/>
    <oleObject progId="Equation.3" shapeId="22573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322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81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/>
      <c r="B5" s="10" t="s">
        <v>183</v>
      </c>
      <c r="C5" s="182">
        <v>12</v>
      </c>
      <c r="D5" s="9"/>
      <c r="E5" s="9"/>
      <c r="F5" s="9"/>
      <c r="G5" s="10" t="s">
        <v>235</v>
      </c>
      <c r="H5" s="183">
        <v>4549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237</v>
      </c>
      <c r="C7" s="15">
        <v>130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.5" thickBot="1">
      <c r="A9" s="9"/>
      <c r="B9" s="9"/>
      <c r="C9" s="9"/>
      <c r="D9" s="9"/>
      <c r="E9" s="9"/>
      <c r="F9" s="10" t="s">
        <v>184</v>
      </c>
      <c r="G9" s="9"/>
      <c r="H9" s="9"/>
      <c r="I9" s="9"/>
      <c r="J9" s="9"/>
      <c r="K9" s="9"/>
      <c r="L9" s="9"/>
    </row>
    <row r="10" spans="1:12" ht="13.5" thickBot="1">
      <c r="A10" s="185" t="s">
        <v>59</v>
      </c>
      <c r="B10" s="186">
        <v>1</v>
      </c>
      <c r="C10" s="186">
        <v>2</v>
      </c>
      <c r="D10" s="186">
        <v>3</v>
      </c>
      <c r="E10" s="186">
        <v>4</v>
      </c>
      <c r="F10" s="186">
        <v>5</v>
      </c>
      <c r="G10" s="186">
        <v>6</v>
      </c>
      <c r="H10" s="186">
        <v>7</v>
      </c>
      <c r="I10" s="186">
        <v>8</v>
      </c>
      <c r="J10" s="186">
        <v>9</v>
      </c>
      <c r="K10" s="186">
        <v>10</v>
      </c>
      <c r="L10" s="187" t="s">
        <v>186</v>
      </c>
    </row>
    <row r="11" spans="1:17" ht="12.75">
      <c r="A11" s="188" t="s">
        <v>232</v>
      </c>
      <c r="B11" s="189">
        <v>373</v>
      </c>
      <c r="C11" s="190"/>
      <c r="D11" s="190"/>
      <c r="E11" s="190"/>
      <c r="F11" s="190"/>
      <c r="G11" s="190"/>
      <c r="H11" s="190"/>
      <c r="I11" s="191"/>
      <c r="J11" s="191"/>
      <c r="K11" s="192"/>
      <c r="L11" s="193">
        <f aca="true" t="shared" si="0" ref="L11:L23">SUM(B11:H11)</f>
        <v>373</v>
      </c>
      <c r="M11" s="93"/>
      <c r="N11" s="95"/>
      <c r="O11" s="93"/>
      <c r="P11" s="95"/>
      <c r="Q11" s="93"/>
    </row>
    <row r="12" spans="1:17" ht="12.75">
      <c r="A12" s="194" t="s">
        <v>174</v>
      </c>
      <c r="B12" s="195">
        <v>1</v>
      </c>
      <c r="C12" s="24"/>
      <c r="D12" s="24"/>
      <c r="E12" s="24"/>
      <c r="F12" s="24"/>
      <c r="G12" s="24"/>
      <c r="H12" s="24"/>
      <c r="I12" s="131"/>
      <c r="J12" s="131"/>
      <c r="K12" s="137"/>
      <c r="L12" s="196">
        <f t="shared" si="0"/>
        <v>1</v>
      </c>
      <c r="M12" s="3"/>
      <c r="N12" s="3"/>
      <c r="O12" s="3"/>
      <c r="P12" s="3"/>
      <c r="Q12" s="3"/>
    </row>
    <row r="13" spans="1:17" ht="12.75">
      <c r="A13" s="194" t="s">
        <v>175</v>
      </c>
      <c r="B13" s="195">
        <v>0</v>
      </c>
      <c r="C13" s="24"/>
      <c r="D13" s="24"/>
      <c r="E13" s="24"/>
      <c r="F13" s="24"/>
      <c r="G13" s="24"/>
      <c r="H13" s="24"/>
      <c r="I13" s="131"/>
      <c r="J13" s="131"/>
      <c r="K13" s="137"/>
      <c r="L13" s="196">
        <f t="shared" si="0"/>
        <v>0</v>
      </c>
      <c r="M13" s="3"/>
      <c r="N13" s="3"/>
      <c r="O13" s="3"/>
      <c r="P13" s="3"/>
      <c r="Q13" s="3"/>
    </row>
    <row r="14" spans="1:17" ht="12.75">
      <c r="A14" s="194" t="s">
        <v>176</v>
      </c>
      <c r="B14" s="195">
        <v>1</v>
      </c>
      <c r="C14" s="24"/>
      <c r="D14" s="24"/>
      <c r="E14" s="24"/>
      <c r="F14" s="24"/>
      <c r="G14" s="24"/>
      <c r="H14" s="24"/>
      <c r="I14" s="131"/>
      <c r="J14" s="131"/>
      <c r="K14" s="137"/>
      <c r="L14" s="197">
        <f t="shared" si="0"/>
        <v>1</v>
      </c>
      <c r="M14" s="3"/>
      <c r="N14" s="3"/>
      <c r="O14" s="3"/>
      <c r="P14" s="3"/>
      <c r="Q14" s="3"/>
    </row>
    <row r="15" spans="1:17" ht="12.75">
      <c r="A15" s="194" t="s">
        <v>177</v>
      </c>
      <c r="B15" s="195">
        <v>0</v>
      </c>
      <c r="C15" s="24"/>
      <c r="D15" s="24"/>
      <c r="E15" s="24"/>
      <c r="F15" s="24"/>
      <c r="G15" s="24"/>
      <c r="H15" s="24"/>
      <c r="I15" s="131"/>
      <c r="J15" s="131"/>
      <c r="K15" s="137"/>
      <c r="L15" s="197">
        <f t="shared" si="0"/>
        <v>0</v>
      </c>
      <c r="M15" s="3"/>
      <c r="N15" s="3"/>
      <c r="O15" s="3"/>
      <c r="P15" s="3"/>
      <c r="Q15" s="3"/>
    </row>
    <row r="16" spans="1:17" ht="12.75">
      <c r="A16" s="194" t="s">
        <v>181</v>
      </c>
      <c r="B16" s="195">
        <v>0</v>
      </c>
      <c r="C16" s="24"/>
      <c r="D16" s="24"/>
      <c r="E16" s="24"/>
      <c r="F16" s="24"/>
      <c r="G16" s="24"/>
      <c r="H16" s="24"/>
      <c r="I16" s="131"/>
      <c r="J16" s="131"/>
      <c r="K16" s="137"/>
      <c r="L16" s="197">
        <f t="shared" si="0"/>
        <v>0</v>
      </c>
      <c r="M16" s="3"/>
      <c r="N16" s="3"/>
      <c r="O16" s="3"/>
      <c r="P16" s="3"/>
      <c r="Q16" s="3"/>
    </row>
    <row r="17" spans="1:17" ht="12.75">
      <c r="A17" s="194" t="s">
        <v>178</v>
      </c>
      <c r="B17" s="195">
        <v>0</v>
      </c>
      <c r="C17" s="24"/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179</v>
      </c>
      <c r="B18" s="195">
        <v>1</v>
      </c>
      <c r="C18" s="24"/>
      <c r="D18" s="24"/>
      <c r="E18" s="24"/>
      <c r="F18" s="24"/>
      <c r="G18" s="24"/>
      <c r="H18" s="24"/>
      <c r="I18" s="131"/>
      <c r="J18" s="131"/>
      <c r="K18" s="137"/>
      <c r="L18" s="196">
        <f t="shared" si="0"/>
        <v>1</v>
      </c>
      <c r="M18" s="3"/>
      <c r="N18" s="3"/>
      <c r="O18" s="3"/>
      <c r="P18" s="3"/>
      <c r="Q18" s="3"/>
    </row>
    <row r="19" spans="1:17" ht="12.75">
      <c r="A19" s="194" t="s">
        <v>180</v>
      </c>
      <c r="B19" s="195">
        <v>2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2</v>
      </c>
      <c r="M19" s="3"/>
      <c r="N19" s="3"/>
      <c r="O19" s="3"/>
      <c r="P19" s="3"/>
      <c r="Q19" s="3"/>
    </row>
    <row r="20" spans="1:17" ht="12.75">
      <c r="A20" s="194" t="s">
        <v>194</v>
      </c>
      <c r="B20" s="195">
        <v>0</v>
      </c>
      <c r="C20" s="24"/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3"/>
      <c r="P20" s="3"/>
      <c r="Q20" s="3"/>
    </row>
    <row r="21" spans="1:17" ht="12.75">
      <c r="A21" s="198" t="s">
        <v>182</v>
      </c>
      <c r="B21" s="199">
        <v>0</v>
      </c>
      <c r="C21" s="21"/>
      <c r="D21" s="21"/>
      <c r="E21" s="21"/>
      <c r="F21" s="21"/>
      <c r="G21" s="21"/>
      <c r="H21" s="21"/>
      <c r="I21" s="121"/>
      <c r="J21" s="121"/>
      <c r="K21" s="200"/>
      <c r="L21" s="201">
        <f t="shared" si="0"/>
        <v>0</v>
      </c>
      <c r="M21" s="3"/>
      <c r="N21" s="3"/>
      <c r="O21" s="3"/>
      <c r="P21" s="3"/>
      <c r="Q21" s="3"/>
    </row>
    <row r="22" spans="1:17" ht="12.75">
      <c r="A22" s="198" t="s">
        <v>270</v>
      </c>
      <c r="B22" s="199">
        <v>1</v>
      </c>
      <c r="C22" s="21"/>
      <c r="D22" s="21"/>
      <c r="E22" s="21"/>
      <c r="F22" s="21"/>
      <c r="G22" s="21"/>
      <c r="H22" s="21"/>
      <c r="I22" s="121"/>
      <c r="J22" s="121"/>
      <c r="K22" s="200"/>
      <c r="L22" s="201">
        <f t="shared" si="0"/>
        <v>1</v>
      </c>
      <c r="M22" s="3"/>
      <c r="N22" s="3"/>
      <c r="O22" s="3"/>
      <c r="P22" s="3"/>
      <c r="Q22" s="3"/>
    </row>
    <row r="23" spans="1:17" ht="13.5" thickBot="1">
      <c r="A23" s="202" t="s">
        <v>202</v>
      </c>
      <c r="B23" s="203">
        <v>0</v>
      </c>
      <c r="C23" s="204"/>
      <c r="D23" s="204"/>
      <c r="E23" s="204"/>
      <c r="F23" s="204"/>
      <c r="G23" s="204"/>
      <c r="H23" s="204"/>
      <c r="I23" s="205"/>
      <c r="J23" s="205"/>
      <c r="K23" s="206"/>
      <c r="L23" s="207">
        <f t="shared" si="0"/>
        <v>0</v>
      </c>
      <c r="M23" s="3"/>
      <c r="N23" s="3"/>
      <c r="O23" s="3"/>
      <c r="P23" s="3"/>
      <c r="Q23" s="3"/>
    </row>
    <row r="24" spans="1:17" ht="13.5" thickBot="1">
      <c r="A24" s="208" t="s">
        <v>185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09">
        <f>SUM(L11:L23)</f>
        <v>379</v>
      </c>
      <c r="M24" s="3"/>
      <c r="N24" s="3"/>
      <c r="O24" s="3"/>
      <c r="P24" s="3"/>
      <c r="Q24" s="3"/>
    </row>
    <row r="25" spans="1:17" ht="12.75">
      <c r="A25" s="210"/>
      <c r="B25" s="9"/>
      <c r="C25" s="9"/>
      <c r="D25" s="9"/>
      <c r="E25" s="9"/>
      <c r="F25" s="9"/>
      <c r="G25" s="9"/>
      <c r="H25" s="9"/>
      <c r="I25" s="9"/>
      <c r="J25" s="9"/>
      <c r="K25" s="9"/>
      <c r="L25" s="14"/>
      <c r="M25" s="3"/>
      <c r="N25" s="3"/>
      <c r="O25" s="3"/>
      <c r="P25" s="3"/>
      <c r="Q25" s="3"/>
    </row>
    <row r="26" spans="1:12" ht="12.75">
      <c r="A26" s="2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10"/>
      <c r="B27" s="165" t="s">
        <v>188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11" t="s">
        <v>187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 thickBot="1">
      <c r="A29" s="210" t="s">
        <v>232</v>
      </c>
      <c r="B29" s="14">
        <f>L11</f>
        <v>373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3.5" thickBot="1">
      <c r="A30" s="210" t="s">
        <v>63</v>
      </c>
      <c r="B30" s="209">
        <f>SUM(B29)</f>
        <v>373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11" t="s">
        <v>164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10" t="s">
        <v>175</v>
      </c>
      <c r="B33" s="14">
        <f>L13</f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10" t="s">
        <v>178</v>
      </c>
      <c r="B34" s="14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0" t="s">
        <v>202</v>
      </c>
      <c r="B35" s="212">
        <f>L23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3.5" thickBot="1">
      <c r="A36" s="210" t="s">
        <v>270</v>
      </c>
      <c r="B36" s="212">
        <v>2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10" t="s">
        <v>63</v>
      </c>
      <c r="B37" s="209">
        <f>SUM(B33:B36)</f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0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1" t="s">
        <v>162</v>
      </c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0" t="s">
        <v>174</v>
      </c>
      <c r="B40" s="14">
        <f>L12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 t="s">
        <v>179</v>
      </c>
      <c r="B41" s="14"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180</v>
      </c>
      <c r="B42" s="14"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3.5" thickBot="1">
      <c r="A43" s="210" t="s">
        <v>194</v>
      </c>
      <c r="B43" s="14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3.5" thickBot="1">
      <c r="A44" s="210" t="s">
        <v>63</v>
      </c>
      <c r="B44" s="209">
        <f>SUM(B40:B43)</f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1" t="s">
        <v>163</v>
      </c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10" t="s">
        <v>177</v>
      </c>
      <c r="B47" s="212">
        <f>L15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10" t="s">
        <v>181</v>
      </c>
      <c r="B48" s="212">
        <f>L16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10" t="s">
        <v>182</v>
      </c>
      <c r="B49" s="212">
        <f>L21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3.5" thickBot="1">
      <c r="A50" s="210" t="s">
        <v>63</v>
      </c>
      <c r="B50" s="213">
        <f>SUM(B47:B49)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1" t="s">
        <v>165</v>
      </c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0" t="s">
        <v>176</v>
      </c>
      <c r="B53" s="212">
        <v>2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SUM(B53:B53)</f>
        <v>2</v>
      </c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G17"/>
  <sheetViews>
    <sheetView zoomScale="200" zoomScaleNormal="200" workbookViewId="0" topLeftCell="A1">
      <selection activeCell="B12" sqref="B12"/>
    </sheetView>
  </sheetViews>
  <sheetFormatPr defaultColWidth="9.140625" defaultRowHeight="12.75"/>
  <cols>
    <col min="1" max="1" width="7.28125" style="9" customWidth="1"/>
    <col min="2" max="16384" width="9.140625" style="9" customWidth="1"/>
  </cols>
  <sheetData>
    <row r="1" ht="12.75">
      <c r="B1" s="10" t="s">
        <v>51</v>
      </c>
    </row>
    <row r="2" spans="2:7" ht="12.75">
      <c r="B2" s="11"/>
      <c r="C2" s="11"/>
      <c r="D2" s="11"/>
      <c r="E2" s="11"/>
      <c r="F2" s="11"/>
      <c r="G2" s="11"/>
    </row>
    <row r="3" spans="2:7" ht="12.75">
      <c r="B3" s="167" t="s">
        <v>12</v>
      </c>
      <c r="C3" s="167"/>
      <c r="D3" s="167"/>
      <c r="E3" s="167" t="s">
        <v>13</v>
      </c>
      <c r="F3" s="167"/>
      <c r="G3" s="167"/>
    </row>
    <row r="4" spans="2:7" ht="12.75">
      <c r="B4" s="12"/>
      <c r="C4" s="12"/>
      <c r="D4" s="12"/>
      <c r="E4" s="12"/>
      <c r="F4" s="12"/>
      <c r="G4" s="12"/>
    </row>
    <row r="5" spans="2:7" ht="12.75">
      <c r="B5" s="17" t="s">
        <v>14</v>
      </c>
      <c r="C5" s="21" t="s">
        <v>15</v>
      </c>
      <c r="D5" s="21" t="s">
        <v>17</v>
      </c>
      <c r="E5" s="25" t="s">
        <v>19</v>
      </c>
      <c r="F5" s="21" t="s">
        <v>15</v>
      </c>
      <c r="G5" s="14" t="s">
        <v>21</v>
      </c>
    </row>
    <row r="6" spans="2:7" ht="12.75">
      <c r="B6" s="18" t="s">
        <v>19</v>
      </c>
      <c r="C6" s="22" t="s">
        <v>16</v>
      </c>
      <c r="D6" s="22" t="s">
        <v>18</v>
      </c>
      <c r="E6" s="26" t="s">
        <v>20</v>
      </c>
      <c r="F6" s="22" t="s">
        <v>16</v>
      </c>
      <c r="G6" s="15"/>
    </row>
    <row r="7" spans="2:7" ht="12.75">
      <c r="B7" s="19" t="s">
        <v>22</v>
      </c>
      <c r="C7" s="23" t="s">
        <v>26</v>
      </c>
      <c r="D7" s="23" t="s">
        <v>30</v>
      </c>
      <c r="E7" s="27" t="s">
        <v>32</v>
      </c>
      <c r="F7" s="23" t="s">
        <v>26</v>
      </c>
      <c r="G7" s="14" t="s">
        <v>30</v>
      </c>
    </row>
    <row r="8" spans="2:7" ht="12.75">
      <c r="B8" s="18" t="s">
        <v>23</v>
      </c>
      <c r="C8" s="22" t="s">
        <v>27</v>
      </c>
      <c r="D8" s="22"/>
      <c r="E8" s="26" t="s">
        <v>23</v>
      </c>
      <c r="F8" s="22" t="s">
        <v>27</v>
      </c>
      <c r="G8" s="15"/>
    </row>
    <row r="9" spans="2:7" ht="12.75">
      <c r="B9" s="19" t="s">
        <v>24</v>
      </c>
      <c r="C9" s="23" t="s">
        <v>28</v>
      </c>
      <c r="D9" s="23" t="s">
        <v>31</v>
      </c>
      <c r="E9" s="27" t="s">
        <v>33</v>
      </c>
      <c r="F9" s="23" t="s">
        <v>28</v>
      </c>
      <c r="G9" s="14" t="s">
        <v>35</v>
      </c>
    </row>
    <row r="10" spans="2:7" ht="12.75">
      <c r="B10" s="18" t="s">
        <v>25</v>
      </c>
      <c r="C10" s="22" t="s">
        <v>29</v>
      </c>
      <c r="D10" s="22"/>
      <c r="E10" s="26" t="s">
        <v>34</v>
      </c>
      <c r="F10" s="22" t="s">
        <v>29</v>
      </c>
      <c r="G10" s="15"/>
    </row>
    <row r="11" spans="2:7" ht="12.75">
      <c r="B11" s="20">
        <v>0</v>
      </c>
      <c r="C11" s="24" t="s">
        <v>36</v>
      </c>
      <c r="D11" s="24" t="s">
        <v>1</v>
      </c>
      <c r="E11" s="28">
        <v>0</v>
      </c>
      <c r="F11" s="24" t="s">
        <v>36</v>
      </c>
      <c r="G11" s="16" t="s">
        <v>1</v>
      </c>
    </row>
    <row r="12" spans="2:7" ht="12.75">
      <c r="B12" s="19" t="s">
        <v>37</v>
      </c>
      <c r="C12" s="23" t="s">
        <v>41</v>
      </c>
      <c r="D12" s="23" t="s">
        <v>45</v>
      </c>
      <c r="E12" s="27" t="s">
        <v>47</v>
      </c>
      <c r="F12" s="23" t="s">
        <v>41</v>
      </c>
      <c r="G12" s="14" t="s">
        <v>45</v>
      </c>
    </row>
    <row r="13" spans="2:7" ht="12.75">
      <c r="B13" s="18" t="s">
        <v>38</v>
      </c>
      <c r="C13" s="22" t="s">
        <v>42</v>
      </c>
      <c r="D13" s="22"/>
      <c r="E13" s="26" t="s">
        <v>48</v>
      </c>
      <c r="F13" s="22" t="s">
        <v>42</v>
      </c>
      <c r="G13" s="15"/>
    </row>
    <row r="14" spans="2:7" ht="12.75">
      <c r="B14" s="19" t="s">
        <v>39</v>
      </c>
      <c r="C14" s="23" t="s">
        <v>43</v>
      </c>
      <c r="D14" s="23" t="s">
        <v>46</v>
      </c>
      <c r="E14" s="27" t="s">
        <v>49</v>
      </c>
      <c r="F14" s="23" t="s">
        <v>43</v>
      </c>
      <c r="G14" s="14" t="s">
        <v>46</v>
      </c>
    </row>
    <row r="15" spans="2:7" ht="12.75">
      <c r="B15" s="18" t="s">
        <v>40</v>
      </c>
      <c r="C15" s="22" t="s">
        <v>44</v>
      </c>
      <c r="D15" s="22"/>
      <c r="E15" s="26" t="s">
        <v>50</v>
      </c>
      <c r="F15" s="22" t="s">
        <v>44</v>
      </c>
      <c r="G15" s="15"/>
    </row>
    <row r="16" ht="12.75">
      <c r="B16" s="13"/>
    </row>
    <row r="17" ht="12.75">
      <c r="B17" s="13"/>
    </row>
  </sheetData>
  <mergeCells count="2">
    <mergeCell ref="B3:D3"/>
    <mergeCell ref="E3:G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7:AA28"/>
  <sheetViews>
    <sheetView workbookViewId="0" topLeftCell="A2">
      <selection activeCell="T29" sqref="T29"/>
    </sheetView>
  </sheetViews>
  <sheetFormatPr defaultColWidth="9.140625" defaultRowHeight="12.75"/>
  <cols>
    <col min="3" max="3" width="11.7109375" style="0" customWidth="1"/>
    <col min="4" max="5" width="8.28125" style="0" hidden="1" customWidth="1"/>
    <col min="6" max="6" width="14.140625" style="0" hidden="1" customWidth="1"/>
    <col min="7" max="8" width="8.28125" style="0" hidden="1" customWidth="1"/>
    <col min="9" max="9" width="14.140625" style="0" hidden="1" customWidth="1"/>
    <col min="10" max="12" width="9.140625" style="0" hidden="1" customWidth="1"/>
    <col min="13" max="16" width="11.00390625" style="0" hidden="1" customWidth="1"/>
    <col min="17" max="17" width="8.00390625" style="0" hidden="1" customWidth="1"/>
    <col min="18" max="18" width="10.7109375" style="0" hidden="1" customWidth="1"/>
    <col min="20" max="20" width="15.421875" style="0" bestFit="1" customWidth="1"/>
    <col min="22" max="22" width="30.57421875" style="0" bestFit="1" customWidth="1"/>
    <col min="23" max="23" width="11.57421875" style="0" bestFit="1" customWidth="1"/>
    <col min="25" max="25" width="11.57421875" style="0" bestFit="1" customWidth="1"/>
  </cols>
  <sheetData>
    <row r="7" spans="1:25" ht="12.75">
      <c r="A7" s="9"/>
      <c r="B7" s="9"/>
      <c r="C7" s="9"/>
      <c r="D7" s="171" t="s">
        <v>12</v>
      </c>
      <c r="E7" s="171"/>
      <c r="F7" s="171"/>
      <c r="G7" s="172" t="s">
        <v>13</v>
      </c>
      <c r="H7" s="172"/>
      <c r="I7" s="172"/>
      <c r="J7" s="173" t="s">
        <v>238</v>
      </c>
      <c r="K7" s="162" t="s">
        <v>265</v>
      </c>
      <c r="L7" s="162" t="s">
        <v>265</v>
      </c>
      <c r="M7" s="147" t="s">
        <v>287</v>
      </c>
      <c r="N7" s="148" t="s">
        <v>287</v>
      </c>
      <c r="O7" s="149" t="s">
        <v>287</v>
      </c>
      <c r="P7" s="150" t="s">
        <v>287</v>
      </c>
      <c r="Q7" s="151" t="s">
        <v>288</v>
      </c>
      <c r="R7" s="152" t="s">
        <v>88</v>
      </c>
      <c r="S7" s="161" t="s">
        <v>265</v>
      </c>
      <c r="T7" s="116" t="s">
        <v>274</v>
      </c>
      <c r="U7" s="116" t="s">
        <v>294</v>
      </c>
      <c r="W7" s="161" t="s">
        <v>265</v>
      </c>
      <c r="X7" s="116" t="s">
        <v>274</v>
      </c>
      <c r="Y7" s="116" t="s">
        <v>294</v>
      </c>
    </row>
    <row r="8" spans="1:25" ht="12.75">
      <c r="A8" s="168" t="s">
        <v>239</v>
      </c>
      <c r="B8" s="169"/>
      <c r="C8" s="170"/>
      <c r="D8" s="171" t="s">
        <v>240</v>
      </c>
      <c r="E8" s="171"/>
      <c r="F8" s="135" t="s">
        <v>241</v>
      </c>
      <c r="G8" s="172" t="s">
        <v>240</v>
      </c>
      <c r="H8" s="172"/>
      <c r="I8" s="136" t="s">
        <v>241</v>
      </c>
      <c r="J8" s="174"/>
      <c r="K8" s="163" t="s">
        <v>267</v>
      </c>
      <c r="L8" s="163" t="s">
        <v>268</v>
      </c>
      <c r="M8" s="153" t="s">
        <v>55</v>
      </c>
      <c r="N8" s="154" t="s">
        <v>56</v>
      </c>
      <c r="O8" s="155" t="s">
        <v>57</v>
      </c>
      <c r="P8" s="156" t="s">
        <v>58</v>
      </c>
      <c r="Q8" s="157" t="s">
        <v>289</v>
      </c>
      <c r="R8" s="158" t="s">
        <v>264</v>
      </c>
      <c r="S8" s="158" t="s">
        <v>266</v>
      </c>
      <c r="T8" s="119" t="s">
        <v>275</v>
      </c>
      <c r="U8" s="119" t="s">
        <v>295</v>
      </c>
      <c r="V8" s="164" t="s">
        <v>239</v>
      </c>
      <c r="W8" s="158" t="s">
        <v>266</v>
      </c>
      <c r="X8" s="119" t="s">
        <v>275</v>
      </c>
      <c r="Y8" s="119" t="s">
        <v>295</v>
      </c>
    </row>
    <row r="9" spans="1:27" ht="12.75">
      <c r="A9" s="137" t="s">
        <v>242</v>
      </c>
      <c r="B9" s="138"/>
      <c r="C9" s="143"/>
      <c r="D9" s="139" t="s">
        <v>29</v>
      </c>
      <c r="E9" s="140" t="s">
        <v>25</v>
      </c>
      <c r="F9" s="30" t="s">
        <v>31</v>
      </c>
      <c r="G9" s="94" t="s">
        <v>29</v>
      </c>
      <c r="H9" s="141" t="s">
        <v>34</v>
      </c>
      <c r="I9" s="30" t="s">
        <v>35</v>
      </c>
      <c r="J9" s="141" t="s">
        <v>33</v>
      </c>
      <c r="K9" s="159">
        <f>'T. estandar daipas'!C7</f>
        <v>23.624666666666666</v>
      </c>
      <c r="L9" s="159">
        <f aca="true" t="shared" si="0" ref="L9:L26">(1+J9)*K9</f>
        <v>24.8059</v>
      </c>
      <c r="M9" s="160">
        <f>'T. estandar daipas'!B47</f>
        <v>0.012307692307692308</v>
      </c>
      <c r="N9" s="160">
        <f>'T. estandar daipas'!C47</f>
        <v>0.018461538461538463</v>
      </c>
      <c r="O9" s="160">
        <f>'T. estandar daipas'!D47</f>
        <v>0</v>
      </c>
      <c r="P9" s="160">
        <f>'T. estandar daipas'!E47</f>
        <v>0.024615384615384615</v>
      </c>
      <c r="Q9" s="160">
        <f>'T. estandar daipas'!F47</f>
        <v>0.04491515821143044</v>
      </c>
      <c r="R9" s="160">
        <f>'T. estandar daipas'!B49</f>
        <v>0.10029977359604583</v>
      </c>
      <c r="S9" s="159">
        <f aca="true" t="shared" si="1" ref="S9:S26">(1+R9)*L9</f>
        <v>27.293926153846154</v>
      </c>
      <c r="T9" s="94" t="s">
        <v>282</v>
      </c>
      <c r="U9" s="94" t="s">
        <v>296</v>
      </c>
      <c r="V9" s="131" t="s">
        <v>242</v>
      </c>
      <c r="W9" s="159">
        <f>S9/1.45</f>
        <v>18.823397347480107</v>
      </c>
      <c r="X9" s="94" t="s">
        <v>286</v>
      </c>
      <c r="Y9" s="94" t="s">
        <v>296</v>
      </c>
      <c r="Z9" s="7"/>
      <c r="AA9" s="115"/>
    </row>
    <row r="10" spans="1:25" ht="12.75">
      <c r="A10" s="137" t="s">
        <v>243</v>
      </c>
      <c r="B10" s="138"/>
      <c r="C10" s="143"/>
      <c r="D10" s="94" t="s">
        <v>27</v>
      </c>
      <c r="E10" s="140" t="s">
        <v>23</v>
      </c>
      <c r="F10" s="30" t="s">
        <v>30</v>
      </c>
      <c r="G10" s="94" t="s">
        <v>27</v>
      </c>
      <c r="H10" s="141" t="s">
        <v>23</v>
      </c>
      <c r="I10" s="30" t="s">
        <v>30</v>
      </c>
      <c r="J10" s="141" t="s">
        <v>244</v>
      </c>
      <c r="K10" s="159">
        <f>'T. estandar Desmane s'!C7</f>
        <v>13.643200000000002</v>
      </c>
      <c r="L10" s="159">
        <f t="shared" si="0"/>
        <v>15.826112000000002</v>
      </c>
      <c r="M10" s="160">
        <f>'T. estandar Desmane s'!B47</f>
        <v>0.0079155672823219</v>
      </c>
      <c r="N10" s="160">
        <f>'T. estandar Desmane s'!C47</f>
        <v>0</v>
      </c>
      <c r="O10" s="160">
        <f>'T. estandar Desmane s'!D47</f>
        <v>0.005277044854881266</v>
      </c>
      <c r="P10" s="160">
        <f>'T. estandar Desmane s'!E47</f>
        <v>0.005277044854881266</v>
      </c>
      <c r="Q10" s="160">
        <f>'T. estandar Desmane s'!F47</f>
        <v>0.09382553674246386</v>
      </c>
      <c r="R10" s="160">
        <f>'T. estandar Desmane s'!B49</f>
        <v>0.11229519373454828</v>
      </c>
      <c r="S10" s="159">
        <f t="shared" si="1"/>
        <v>17.60330831310466</v>
      </c>
      <c r="T10" s="94" t="s">
        <v>283</v>
      </c>
      <c r="U10" s="94" t="s">
        <v>297</v>
      </c>
      <c r="V10" s="131"/>
      <c r="W10" s="30"/>
      <c r="X10" s="30"/>
      <c r="Y10" s="94" t="s">
        <v>297</v>
      </c>
    </row>
    <row r="11" spans="1:27" ht="12.75">
      <c r="A11" s="137" t="s">
        <v>245</v>
      </c>
      <c r="B11" s="138"/>
      <c r="C11" s="143"/>
      <c r="D11" s="94" t="s">
        <v>27</v>
      </c>
      <c r="E11" s="140" t="s">
        <v>23</v>
      </c>
      <c r="F11" s="30" t="s">
        <v>30</v>
      </c>
      <c r="G11" s="94" t="s">
        <v>27</v>
      </c>
      <c r="H11" s="141" t="s">
        <v>23</v>
      </c>
      <c r="I11" s="30" t="s">
        <v>30</v>
      </c>
      <c r="J11" s="141" t="s">
        <v>244</v>
      </c>
      <c r="K11" s="159">
        <f>'T. estandar Desmane i'!C7</f>
        <v>10.2424</v>
      </c>
      <c r="L11" s="159">
        <f t="shared" si="0"/>
        <v>11.881184</v>
      </c>
      <c r="M11" s="160">
        <f>'T. estandar Desmane i'!B47</f>
        <v>0.0079155672823219</v>
      </c>
      <c r="N11" s="160">
        <f>'T. estandar Desmane i'!C47</f>
        <v>0</v>
      </c>
      <c r="O11" s="160">
        <f>'T. estandar Desmane i'!D47</f>
        <v>0.005277044854881266</v>
      </c>
      <c r="P11" s="160">
        <f>'T. estandar Desmane i'!E47</f>
        <v>0.005277044854881266</v>
      </c>
      <c r="Q11" s="160">
        <f>'T. estandar Desmane i'!F47</f>
        <v>0.164619233989725</v>
      </c>
      <c r="R11" s="160">
        <f>'T. estandar Desmane i'!B49</f>
        <v>0.18308889098180944</v>
      </c>
      <c r="S11" s="159">
        <f t="shared" si="1"/>
        <v>14.056496802110816</v>
      </c>
      <c r="T11" s="94" t="s">
        <v>283</v>
      </c>
      <c r="U11" s="94" t="s">
        <v>298</v>
      </c>
      <c r="V11" s="131" t="s">
        <v>314</v>
      </c>
      <c r="W11" s="159">
        <f>(S10+S11)/1.45</f>
        <v>21.83434835532102</v>
      </c>
      <c r="X11" s="94" t="s">
        <v>286</v>
      </c>
      <c r="Y11" s="94" t="s">
        <v>298</v>
      </c>
      <c r="Z11" s="7"/>
      <c r="AA11" s="115"/>
    </row>
    <row r="12" spans="1:25" ht="12.75">
      <c r="A12" s="137" t="s">
        <v>246</v>
      </c>
      <c r="B12" s="138"/>
      <c r="C12" s="143"/>
      <c r="D12" s="139" t="s">
        <v>27</v>
      </c>
      <c r="E12" s="140" t="s">
        <v>23</v>
      </c>
      <c r="F12" s="30" t="s">
        <v>30</v>
      </c>
      <c r="G12" s="94" t="s">
        <v>27</v>
      </c>
      <c r="H12" s="141" t="s">
        <v>23</v>
      </c>
      <c r="I12" s="30" t="s">
        <v>30</v>
      </c>
      <c r="J12" s="141" t="s">
        <v>244</v>
      </c>
      <c r="K12" s="159">
        <f>'T. estandar gajeo p'!C7</f>
        <v>10.814</v>
      </c>
      <c r="L12" s="159">
        <f t="shared" si="0"/>
        <v>12.544239999999999</v>
      </c>
      <c r="M12" s="160">
        <f>'T. estandar gajeo p'!B47</f>
        <v>0.04</v>
      </c>
      <c r="N12" s="160">
        <f>'T. estandar gajeo p'!C47</f>
        <v>0.027692307692307693</v>
      </c>
      <c r="O12" s="160">
        <f>'T. estandar gajeo p'!D47</f>
        <v>0</v>
      </c>
      <c r="P12" s="160">
        <f>'T. estandar gajeo p'!E47</f>
        <v>0.003076923076923077</v>
      </c>
      <c r="Q12" s="160">
        <f>'T. estandar gajeo p'!F47</f>
        <v>0.03390875076467825</v>
      </c>
      <c r="R12" s="160">
        <f>'T. estandar gajeo p'!B49</f>
        <v>0.10467798153390902</v>
      </c>
      <c r="S12" s="159">
        <f t="shared" si="1"/>
        <v>13.85734572307692</v>
      </c>
      <c r="T12" s="94" t="s">
        <v>284</v>
      </c>
      <c r="U12" s="94" t="s">
        <v>299</v>
      </c>
      <c r="V12" s="131" t="s">
        <v>246</v>
      </c>
      <c r="X12" s="94"/>
      <c r="Y12" s="94" t="s">
        <v>299</v>
      </c>
    </row>
    <row r="13" spans="1:25" ht="12.75">
      <c r="A13" s="137" t="s">
        <v>247</v>
      </c>
      <c r="B13" s="138"/>
      <c r="C13" s="143"/>
      <c r="D13" s="139" t="s">
        <v>27</v>
      </c>
      <c r="E13" s="140" t="s">
        <v>23</v>
      </c>
      <c r="F13" s="30" t="s">
        <v>30</v>
      </c>
      <c r="G13" s="94" t="s">
        <v>27</v>
      </c>
      <c r="H13" s="141" t="s">
        <v>23</v>
      </c>
      <c r="I13" s="30" t="s">
        <v>30</v>
      </c>
      <c r="J13" s="141" t="s">
        <v>244</v>
      </c>
      <c r="K13" s="159">
        <f>'T. estandar gajeo m'!C7</f>
        <v>14.108500000000001</v>
      </c>
      <c r="L13" s="159">
        <f t="shared" si="0"/>
        <v>16.36586</v>
      </c>
      <c r="M13" s="160">
        <f>'T. estandar gajeo m'!B47</f>
        <v>0.03076923076923077</v>
      </c>
      <c r="N13" s="160">
        <f>'T. estandar gajeo m'!C47</f>
        <v>0.024615384615384615</v>
      </c>
      <c r="O13" s="160">
        <f>'T. estandar gajeo m'!D47</f>
        <v>0</v>
      </c>
      <c r="P13" s="160">
        <f>'T. estandar gajeo m'!E47</f>
        <v>0.009230769230769232</v>
      </c>
      <c r="Q13" s="160">
        <f>'T. estandar gajeo m'!F47</f>
        <v>0.027254722742598547</v>
      </c>
      <c r="R13" s="160">
        <f>'T. estandar gajeo m'!B49</f>
        <v>0.09187010735798316</v>
      </c>
      <c r="S13" s="159">
        <f t="shared" si="1"/>
        <v>17.869393315205723</v>
      </c>
      <c r="T13" s="94" t="s">
        <v>284</v>
      </c>
      <c r="U13" s="94" t="s">
        <v>300</v>
      </c>
      <c r="V13" s="131" t="s">
        <v>247</v>
      </c>
      <c r="W13" s="30"/>
      <c r="X13" s="30"/>
      <c r="Y13" s="94" t="s">
        <v>300</v>
      </c>
    </row>
    <row r="14" spans="1:25" ht="12.75">
      <c r="A14" s="137" t="s">
        <v>248</v>
      </c>
      <c r="B14" s="138"/>
      <c r="C14" s="143"/>
      <c r="D14" s="139" t="s">
        <v>27</v>
      </c>
      <c r="E14" s="140" t="s">
        <v>23</v>
      </c>
      <c r="F14" s="30" t="s">
        <v>30</v>
      </c>
      <c r="G14" s="94" t="s">
        <v>27</v>
      </c>
      <c r="H14" s="141" t="s">
        <v>23</v>
      </c>
      <c r="I14" s="30" t="s">
        <v>30</v>
      </c>
      <c r="J14" s="141" t="s">
        <v>244</v>
      </c>
      <c r="K14" s="159">
        <f>'T. estandar gajeo g'!C7</f>
        <v>18.487</v>
      </c>
      <c r="L14" s="159">
        <f t="shared" si="0"/>
        <v>21.444919999999996</v>
      </c>
      <c r="M14" s="160">
        <f>'T. estandar gajeo g'!B47</f>
        <v>0.033846153846153845</v>
      </c>
      <c r="N14" s="160">
        <f>'T. estandar gajeo g'!C47</f>
        <v>0.024615384615384615</v>
      </c>
      <c r="O14" s="160">
        <f>'T. estandar gajeo g'!D47</f>
        <v>0</v>
      </c>
      <c r="P14" s="160">
        <f>'T. estandar gajeo g'!E47</f>
        <v>0.006153846153846154</v>
      </c>
      <c r="Q14" s="160">
        <f>'T. estandar gajeo g'!F47</f>
        <v>0.0331957405296921</v>
      </c>
      <c r="R14" s="160">
        <f>'T. estandar gajeo g'!B49</f>
        <v>0.09781112514507671</v>
      </c>
      <c r="S14" s="159">
        <f t="shared" si="1"/>
        <v>23.54247175384615</v>
      </c>
      <c r="T14" s="94" t="s">
        <v>284</v>
      </c>
      <c r="U14" s="94" t="s">
        <v>301</v>
      </c>
      <c r="V14" s="131" t="s">
        <v>248</v>
      </c>
      <c r="W14" s="159">
        <f>(S12*2+S13*3+S14*3)/1.45</f>
        <v>104.79330114021343</v>
      </c>
      <c r="X14" s="94" t="s">
        <v>286</v>
      </c>
      <c r="Y14" s="94" t="s">
        <v>301</v>
      </c>
    </row>
    <row r="15" spans="1:25" ht="12.75">
      <c r="A15" s="137" t="s">
        <v>249</v>
      </c>
      <c r="B15" s="138"/>
      <c r="C15" s="143"/>
      <c r="D15" s="139" t="s">
        <v>28</v>
      </c>
      <c r="E15" s="140" t="s">
        <v>24</v>
      </c>
      <c r="F15" s="30" t="s">
        <v>31</v>
      </c>
      <c r="G15" s="94" t="s">
        <v>28</v>
      </c>
      <c r="H15" s="141" t="s">
        <v>33</v>
      </c>
      <c r="I15" s="30" t="s">
        <v>35</v>
      </c>
      <c r="J15" s="141" t="s">
        <v>22</v>
      </c>
      <c r="K15" s="159">
        <f>'T. estandar Llenado Platos p'!C7</f>
        <v>6.672400000000002</v>
      </c>
      <c r="L15" s="159">
        <f t="shared" si="0"/>
        <v>7.4063640000000035</v>
      </c>
      <c r="M15" s="160">
        <f>'T. estandar Llenado Platos p'!B47</f>
        <v>0.045576407506702415</v>
      </c>
      <c r="N15" s="160">
        <f>'T. estandar Llenado Platos p'!C47</f>
        <v>0.0160857908847185</v>
      </c>
      <c r="O15" s="160">
        <f>'T. estandar Llenado Platos p'!D47</f>
        <v>0</v>
      </c>
      <c r="P15" s="160">
        <f>'T. estandar Llenado Platos p'!E47</f>
        <v>0</v>
      </c>
      <c r="Q15" s="160">
        <f>'T. estandar Llenado Platos p'!F47</f>
        <v>0.12302883327308978</v>
      </c>
      <c r="R15" s="160">
        <f>'T. estandar Llenado Platos p'!B49</f>
        <v>0.18469103166451067</v>
      </c>
      <c r="S15" s="159">
        <f t="shared" si="1"/>
        <v>8.774253008042896</v>
      </c>
      <c r="T15" s="94" t="s">
        <v>285</v>
      </c>
      <c r="U15" s="94" t="s">
        <v>302</v>
      </c>
      <c r="V15" s="131" t="s">
        <v>249</v>
      </c>
      <c r="W15" s="30"/>
      <c r="X15" s="30"/>
      <c r="Y15" s="94" t="s">
        <v>302</v>
      </c>
    </row>
    <row r="16" spans="1:25" ht="12.75">
      <c r="A16" s="137" t="s">
        <v>250</v>
      </c>
      <c r="B16" s="138"/>
      <c r="C16" s="143"/>
      <c r="D16" s="139" t="s">
        <v>28</v>
      </c>
      <c r="E16" s="140" t="s">
        <v>24</v>
      </c>
      <c r="F16" s="30" t="s">
        <v>31</v>
      </c>
      <c r="G16" s="94" t="s">
        <v>28</v>
      </c>
      <c r="H16" s="141" t="s">
        <v>33</v>
      </c>
      <c r="I16" s="30" t="s">
        <v>35</v>
      </c>
      <c r="J16" s="141" t="s">
        <v>22</v>
      </c>
      <c r="K16" s="159">
        <f>'T. estandar Llenado Platos m'!C7</f>
        <v>7.154400000000001</v>
      </c>
      <c r="L16" s="159">
        <f t="shared" si="0"/>
        <v>7.941384000000001</v>
      </c>
      <c r="M16" s="160">
        <f>'T. estandar Llenado Platos m'!B47</f>
        <v>0.040214477211796246</v>
      </c>
      <c r="N16" s="160">
        <f>'T. estandar Llenado Platos m'!C47</f>
        <v>0.005361930294906166</v>
      </c>
      <c r="O16" s="160">
        <f>'T. estandar Llenado Platos m'!D47</f>
        <v>0</v>
      </c>
      <c r="P16" s="160">
        <f>'T. estandar Llenado Platos m'!E47</f>
        <v>0</v>
      </c>
      <c r="Q16" s="160">
        <f>'T. estandar Llenado Platos m'!F47</f>
        <v>0.12562537201807134</v>
      </c>
      <c r="R16" s="160">
        <f>'T. estandar Llenado Platos m'!B49</f>
        <v>0.17120177952477375</v>
      </c>
      <c r="S16" s="159">
        <f t="shared" si="1"/>
        <v>9.300963072689568</v>
      </c>
      <c r="T16" s="94" t="s">
        <v>285</v>
      </c>
      <c r="U16" s="94" t="s">
        <v>303</v>
      </c>
      <c r="V16" s="131" t="s">
        <v>250</v>
      </c>
      <c r="W16" s="30"/>
      <c r="X16" s="30"/>
      <c r="Y16" s="94" t="s">
        <v>303</v>
      </c>
    </row>
    <row r="17" spans="1:25" ht="12.75">
      <c r="A17" s="137" t="s">
        <v>251</v>
      </c>
      <c r="B17" s="138"/>
      <c r="C17" s="143"/>
      <c r="D17" s="139" t="s">
        <v>28</v>
      </c>
      <c r="E17" s="140" t="s">
        <v>24</v>
      </c>
      <c r="F17" s="30" t="s">
        <v>31</v>
      </c>
      <c r="G17" s="94" t="s">
        <v>28</v>
      </c>
      <c r="H17" s="141" t="s">
        <v>33</v>
      </c>
      <c r="I17" s="30" t="s">
        <v>35</v>
      </c>
      <c r="J17" s="141" t="s">
        <v>22</v>
      </c>
      <c r="K17" s="159">
        <f>'T. estandar Llenado Platos g'!C7</f>
        <v>6.745760000000001</v>
      </c>
      <c r="L17" s="159">
        <f t="shared" si="0"/>
        <v>7.487793600000002</v>
      </c>
      <c r="M17" s="160">
        <f>'T. estandar Llenado Platos g'!B47</f>
        <v>0.005361930294906166</v>
      </c>
      <c r="N17" s="160">
        <f>'T. estandar Llenado Platos g'!C47</f>
        <v>0.00804289544235925</v>
      </c>
      <c r="O17" s="160">
        <f>'T. estandar Llenado Platos g'!D47</f>
        <v>0</v>
      </c>
      <c r="P17" s="160">
        <f>'T. estandar Llenado Platos g'!E47</f>
        <v>0</v>
      </c>
      <c r="Q17" s="160">
        <f>'T. estandar Llenado Platos g'!F47</f>
        <v>0.1276696767744756</v>
      </c>
      <c r="R17" s="160">
        <f>'T. estandar Llenado Platos g'!B49</f>
        <v>0.14107450251174103</v>
      </c>
      <c r="S17" s="159">
        <f t="shared" si="1"/>
        <v>8.5441303570306</v>
      </c>
      <c r="T17" s="94" t="s">
        <v>285</v>
      </c>
      <c r="U17" s="94" t="s">
        <v>304</v>
      </c>
      <c r="V17" s="131" t="s">
        <v>251</v>
      </c>
      <c r="W17" s="159">
        <f>S15+S16+S17</f>
        <v>26.619346437763063</v>
      </c>
      <c r="X17" s="30" t="s">
        <v>286</v>
      </c>
      <c r="Y17" s="94" t="s">
        <v>304</v>
      </c>
    </row>
    <row r="18" spans="1:25" ht="12.75">
      <c r="A18" s="137" t="s">
        <v>257</v>
      </c>
      <c r="B18" s="138"/>
      <c r="C18" s="143"/>
      <c r="D18" s="139" t="s">
        <v>27</v>
      </c>
      <c r="E18" s="140" t="s">
        <v>23</v>
      </c>
      <c r="F18" s="30" t="s">
        <v>30</v>
      </c>
      <c r="G18" s="94" t="s">
        <v>28</v>
      </c>
      <c r="H18" s="141" t="s">
        <v>33</v>
      </c>
      <c r="I18" s="30" t="s">
        <v>35</v>
      </c>
      <c r="J18" s="141" t="s">
        <v>19</v>
      </c>
      <c r="K18" s="159">
        <f>'T. estandar Pesado Clusters 100'!C7</f>
        <v>23.6914285714286</v>
      </c>
      <c r="L18" s="159">
        <f t="shared" si="0"/>
        <v>26.771314285714315</v>
      </c>
      <c r="M18" s="160">
        <f>'T. estandar Pesado Clusters 100'!B47</f>
        <v>0.2680851063829787</v>
      </c>
      <c r="N18" s="160">
        <f>'T. estandar Pesado Clusters 100'!C47</f>
        <v>0.00851063829787234</v>
      </c>
      <c r="O18" s="160">
        <f>'T. estandar Pesado Clusters 100'!D47</f>
        <v>0.00851063829787234</v>
      </c>
      <c r="P18" s="160">
        <f>'T. estandar Pesado Clusters 100'!E47</f>
        <v>0.01276595744680851</v>
      </c>
      <c r="Q18" s="160">
        <f>'T. estandar Pesado Clusters 100'!F47</f>
        <v>0.029157956799055418</v>
      </c>
      <c r="R18" s="160">
        <f>'T. estandar Pesado Clusters 100'!B49</f>
        <v>0.3270302972245874</v>
      </c>
      <c r="S18" s="159">
        <f t="shared" si="1"/>
        <v>35.52634515366431</v>
      </c>
      <c r="T18" s="94" t="s">
        <v>286</v>
      </c>
      <c r="U18" s="94" t="s">
        <v>305</v>
      </c>
      <c r="V18" s="131" t="s">
        <v>257</v>
      </c>
      <c r="W18" s="159">
        <f>S18</f>
        <v>35.52634515366431</v>
      </c>
      <c r="X18" s="30" t="s">
        <v>286</v>
      </c>
      <c r="Y18" s="94" t="s">
        <v>305</v>
      </c>
    </row>
    <row r="19" spans="1:25" ht="12.75">
      <c r="A19" s="137" t="s">
        <v>252</v>
      </c>
      <c r="B19" s="138"/>
      <c r="C19" s="143"/>
      <c r="D19" s="139" t="s">
        <v>29</v>
      </c>
      <c r="E19" s="140" t="s">
        <v>25</v>
      </c>
      <c r="F19" s="30" t="s">
        <v>31</v>
      </c>
      <c r="G19" s="94" t="s">
        <v>29</v>
      </c>
      <c r="H19" s="141" t="s">
        <v>34</v>
      </c>
      <c r="I19" s="30" t="s">
        <v>35</v>
      </c>
      <c r="J19" s="141" t="s">
        <v>33</v>
      </c>
      <c r="K19" s="159">
        <f>'T. estandar Fumigado'!C7</f>
        <v>8.518400000000002</v>
      </c>
      <c r="L19" s="159">
        <f t="shared" si="0"/>
        <v>8.944320000000001</v>
      </c>
      <c r="M19" s="160">
        <f>'T. estandar Fumigado'!B47</f>
        <v>0.00625</v>
      </c>
      <c r="N19" s="160">
        <f>'T. estandar Fumigado'!C47</f>
        <v>0.009375</v>
      </c>
      <c r="O19" s="160">
        <f>'T. estandar Fumigado'!D47</f>
        <v>0.003125</v>
      </c>
      <c r="P19" s="160">
        <f>'T. estandar Fumigado'!E47</f>
        <v>0.003125</v>
      </c>
      <c r="Q19" s="160">
        <f>'T. estandar Fumigado'!F47</f>
        <v>0.06868216295659502</v>
      </c>
      <c r="R19" s="160">
        <f>'T. estandar Fumigado'!B49</f>
        <v>0.09055716295659502</v>
      </c>
      <c r="S19" s="159">
        <f t="shared" si="1"/>
        <v>9.754292243775934</v>
      </c>
      <c r="T19" s="94" t="s">
        <v>286</v>
      </c>
      <c r="U19" s="94" t="s">
        <v>306</v>
      </c>
      <c r="V19" s="131" t="s">
        <v>252</v>
      </c>
      <c r="W19" s="159">
        <f>S19</f>
        <v>9.754292243775934</v>
      </c>
      <c r="X19" s="30" t="s">
        <v>286</v>
      </c>
      <c r="Y19" s="94" t="s">
        <v>306</v>
      </c>
    </row>
    <row r="20" spans="1:25" ht="12.75">
      <c r="A20" s="137" t="s">
        <v>258</v>
      </c>
      <c r="B20" s="138"/>
      <c r="C20" s="143"/>
      <c r="D20" s="139" t="s">
        <v>28</v>
      </c>
      <c r="E20" s="140" t="s">
        <v>24</v>
      </c>
      <c r="F20" s="30" t="s">
        <v>31</v>
      </c>
      <c r="G20" s="94" t="s">
        <v>28</v>
      </c>
      <c r="H20" s="141" t="s">
        <v>33</v>
      </c>
      <c r="I20" s="30" t="s">
        <v>35</v>
      </c>
      <c r="J20" s="141" t="s">
        <v>22</v>
      </c>
      <c r="K20" s="159">
        <f>'T. estandar Enfundar Clusters'!C7</f>
        <v>30.8714285714286</v>
      </c>
      <c r="L20" s="159">
        <f t="shared" si="0"/>
        <v>34.26728571428575</v>
      </c>
      <c r="M20" s="160">
        <f>'T. estandar Enfundar Clusters'!B47</f>
        <v>0.16145833333333334</v>
      </c>
      <c r="N20" s="160">
        <f>'T. estandar Enfundar Clusters'!C47</f>
        <v>0</v>
      </c>
      <c r="O20" s="160">
        <f>'T. estandar Enfundar Clusters'!D47</f>
        <v>0</v>
      </c>
      <c r="P20" s="160">
        <f>'T. estandar Enfundar Clusters'!E47</f>
        <v>0</v>
      </c>
      <c r="Q20" s="160">
        <f>'T. estandar Enfundar Clusters'!F47</f>
        <v>0.019374175193239473</v>
      </c>
      <c r="R20" s="160">
        <f>'T. estandar Enfundar Clusters'!B49</f>
        <v>0.18083250852657282</v>
      </c>
      <c r="S20" s="159">
        <f t="shared" si="1"/>
        <v>40.46392495039683</v>
      </c>
      <c r="T20" s="94" t="s">
        <v>286</v>
      </c>
      <c r="U20" s="94" t="s">
        <v>307</v>
      </c>
      <c r="V20" s="131" t="s">
        <v>258</v>
      </c>
      <c r="W20" s="159">
        <f>S20</f>
        <v>40.46392495039683</v>
      </c>
      <c r="X20" s="30" t="s">
        <v>286</v>
      </c>
      <c r="Y20" s="94" t="s">
        <v>307</v>
      </c>
    </row>
    <row r="21" spans="1:25" ht="12.75">
      <c r="A21" s="137" t="s">
        <v>259</v>
      </c>
      <c r="B21" s="138"/>
      <c r="C21" s="143"/>
      <c r="D21" s="139" t="s">
        <v>28</v>
      </c>
      <c r="E21" s="140" t="s">
        <v>24</v>
      </c>
      <c r="F21" s="30" t="s">
        <v>31</v>
      </c>
      <c r="G21" s="94" t="s">
        <v>28</v>
      </c>
      <c r="H21" s="141" t="s">
        <v>33</v>
      </c>
      <c r="I21" s="30" t="s">
        <v>35</v>
      </c>
      <c r="J21" s="141" t="s">
        <v>22</v>
      </c>
      <c r="K21" s="159">
        <f>'T. estandar Ligar Clusters'!C7</f>
        <v>39.8371428571429</v>
      </c>
      <c r="L21" s="159">
        <f t="shared" si="0"/>
        <v>44.21922857142862</v>
      </c>
      <c r="M21" s="160">
        <f>'T. estandar Ligar Clusters'!B47</f>
        <v>0.05357142857142857</v>
      </c>
      <c r="N21" s="160">
        <f>'T. estandar Ligar Clusters'!C47</f>
        <v>0</v>
      </c>
      <c r="O21" s="160">
        <f>'T. estandar Ligar Clusters'!D47</f>
        <v>0.005952380952380952</v>
      </c>
      <c r="P21" s="160">
        <f>'T. estandar Ligar Clusters'!E47</f>
        <v>0.011904761904761904</v>
      </c>
      <c r="Q21" s="160">
        <f>'T. estandar Ligar Clusters'!F47</f>
        <v>0.035938178405318766</v>
      </c>
      <c r="R21" s="160">
        <f>'T. estandar Ligar Clusters'!B49</f>
        <v>0.10736674983389019</v>
      </c>
      <c r="S21" s="159">
        <f t="shared" si="1"/>
        <v>48.96690342330481</v>
      </c>
      <c r="T21" s="94" t="s">
        <v>286</v>
      </c>
      <c r="U21" s="94" t="s">
        <v>308</v>
      </c>
      <c r="V21" s="131" t="s">
        <v>259</v>
      </c>
      <c r="W21" s="159">
        <f>S21</f>
        <v>48.96690342330481</v>
      </c>
      <c r="X21" s="30" t="s">
        <v>286</v>
      </c>
      <c r="Y21" s="94" t="s">
        <v>308</v>
      </c>
    </row>
    <row r="22" spans="1:25" ht="12.75">
      <c r="A22" s="137" t="s">
        <v>253</v>
      </c>
      <c r="B22" s="138"/>
      <c r="C22" s="143"/>
      <c r="D22" s="139" t="s">
        <v>27</v>
      </c>
      <c r="E22" s="140" t="s">
        <v>23</v>
      </c>
      <c r="F22" s="30" t="s">
        <v>30</v>
      </c>
      <c r="G22" s="94" t="s">
        <v>27</v>
      </c>
      <c r="H22" s="141" t="s">
        <v>23</v>
      </c>
      <c r="I22" s="30" t="s">
        <v>30</v>
      </c>
      <c r="J22" s="141" t="s">
        <v>244</v>
      </c>
      <c r="K22" s="159">
        <f>'T. estandar Embalar Cajas'!C7</f>
        <v>42.71638461538461</v>
      </c>
      <c r="L22" s="159">
        <f t="shared" si="0"/>
        <v>49.551006153846146</v>
      </c>
      <c r="M22" s="160">
        <f>'T. estandar Embalar Cajas'!B47</f>
        <v>0.003003003003003003</v>
      </c>
      <c r="N22" s="160">
        <f>'T. estandar Embalar Cajas'!C47</f>
        <v>0</v>
      </c>
      <c r="O22" s="160">
        <f>'T. estandar Embalar Cajas'!D47</f>
        <v>0.009009009009009009</v>
      </c>
      <c r="P22" s="160">
        <f>'T. estandar Embalar Cajas'!E47</f>
        <v>0.003003003003003003</v>
      </c>
      <c r="Q22" s="160">
        <f>'T. estandar Embalar Cajas'!F47</f>
        <v>0.03826754489823814</v>
      </c>
      <c r="R22" s="160">
        <f>'T. estandar Embalar Cajas'!B49</f>
        <v>0.053282559913253154</v>
      </c>
      <c r="S22" s="159">
        <f t="shared" si="1"/>
        <v>52.191210608000425</v>
      </c>
      <c r="T22" s="94" t="s">
        <v>286</v>
      </c>
      <c r="U22" s="94" t="s">
        <v>309</v>
      </c>
      <c r="V22" s="131" t="s">
        <v>253</v>
      </c>
      <c r="W22" s="159">
        <f>S22</f>
        <v>52.191210608000425</v>
      </c>
      <c r="X22" s="30" t="s">
        <v>286</v>
      </c>
      <c r="Y22" s="94" t="s">
        <v>309</v>
      </c>
    </row>
    <row r="23" spans="1:25" ht="12.75">
      <c r="A23" s="137" t="s">
        <v>254</v>
      </c>
      <c r="B23" s="138"/>
      <c r="C23" s="143"/>
      <c r="D23" s="139" t="s">
        <v>26</v>
      </c>
      <c r="E23" s="140" t="s">
        <v>22</v>
      </c>
      <c r="F23" s="30" t="s">
        <v>30</v>
      </c>
      <c r="G23" s="94" t="s">
        <v>26</v>
      </c>
      <c r="H23" s="142" t="s">
        <v>32</v>
      </c>
      <c r="I23" s="30" t="s">
        <v>30</v>
      </c>
      <c r="J23" s="141" t="s">
        <v>255</v>
      </c>
      <c r="K23" s="159">
        <f>'T. estandar Paletizar Cajas'!C7</f>
        <v>500.04</v>
      </c>
      <c r="L23" s="159">
        <f t="shared" si="0"/>
        <v>605.0484</v>
      </c>
      <c r="M23" s="160">
        <f>'T. estandar Paletizar Cajas'!B47</f>
        <v>0.07514450867052024</v>
      </c>
      <c r="N23" s="160">
        <f>'T. estandar Paletizar Cajas'!C47</f>
        <v>0.05202312138728324</v>
      </c>
      <c r="O23" s="160">
        <f>'T. estandar Paletizar Cajas'!D47</f>
        <v>0</v>
      </c>
      <c r="P23" s="160">
        <f>'T. estandar Paletizar Cajas'!E47</f>
        <v>0.005780346820809248</v>
      </c>
      <c r="Q23" s="160">
        <f>'T. estandar Paletizar Cajas'!F47</f>
        <v>0.03681878860095811</v>
      </c>
      <c r="R23" s="160">
        <f>'T. estandar Paletizar Cajas'!B49</f>
        <v>0.1697667654795708</v>
      </c>
      <c r="S23" s="159">
        <f t="shared" si="1"/>
        <v>707.7655098265897</v>
      </c>
      <c r="T23" s="94" t="s">
        <v>315</v>
      </c>
      <c r="U23" s="94" t="s">
        <v>310</v>
      </c>
      <c r="V23" s="131" t="s">
        <v>254</v>
      </c>
      <c r="W23" s="159">
        <f>S23/48</f>
        <v>14.745114788053952</v>
      </c>
      <c r="X23" s="30" t="s">
        <v>286</v>
      </c>
      <c r="Y23" s="94" t="s">
        <v>310</v>
      </c>
    </row>
    <row r="24" spans="1:25" ht="12.75">
      <c r="A24" s="137" t="s">
        <v>260</v>
      </c>
      <c r="B24" s="138"/>
      <c r="C24" s="143"/>
      <c r="D24" s="139" t="s">
        <v>28</v>
      </c>
      <c r="E24" s="140" t="s">
        <v>24</v>
      </c>
      <c r="F24" s="30" t="s">
        <v>31</v>
      </c>
      <c r="G24" s="94" t="s">
        <v>29</v>
      </c>
      <c r="H24" s="141" t="s">
        <v>34</v>
      </c>
      <c r="I24" s="30" t="s">
        <v>35</v>
      </c>
      <c r="J24" s="141" t="s">
        <v>23</v>
      </c>
      <c r="K24" s="159">
        <f>'T. estandar Engomar fondo'!C7</f>
        <v>11.948033333333337</v>
      </c>
      <c r="L24" s="159">
        <f t="shared" si="0"/>
        <v>12.903876000000004</v>
      </c>
      <c r="M24" s="160">
        <f>'T. estandar Engomar fondo'!B47</f>
        <v>0.00273224043715847</v>
      </c>
      <c r="N24" s="160">
        <f>'T. estandar Engomar fondo'!C47</f>
        <v>0.00273224043715847</v>
      </c>
      <c r="O24" s="160">
        <f>'T. estandar Engomar fondo'!D47</f>
        <v>0.00273224043715847</v>
      </c>
      <c r="P24" s="160">
        <f>'T. estandar Engomar fondo'!E47</f>
        <v>0.00546448087431694</v>
      </c>
      <c r="Q24" s="160">
        <f>'T. estandar Engomar fondo'!F47</f>
        <v>0.07878293813711457</v>
      </c>
      <c r="R24" s="160">
        <f>'T. estandar Engomar fondo'!B49</f>
        <v>0.09244414032290692</v>
      </c>
      <c r="S24" s="159">
        <f t="shared" si="1"/>
        <v>14.096763723653394</v>
      </c>
      <c r="T24" s="94" t="s">
        <v>286</v>
      </c>
      <c r="U24" s="94" t="s">
        <v>311</v>
      </c>
      <c r="V24" s="131" t="s">
        <v>260</v>
      </c>
      <c r="W24" s="159">
        <f>S24</f>
        <v>14.096763723653394</v>
      </c>
      <c r="X24" s="30" t="s">
        <v>286</v>
      </c>
      <c r="Y24" s="94" t="s">
        <v>311</v>
      </c>
    </row>
    <row r="25" spans="1:25" ht="12.75">
      <c r="A25" s="137" t="s">
        <v>256</v>
      </c>
      <c r="B25" s="138"/>
      <c r="C25" s="143"/>
      <c r="D25" s="139" t="s">
        <v>28</v>
      </c>
      <c r="E25" s="140" t="s">
        <v>24</v>
      </c>
      <c r="F25" s="30" t="s">
        <v>31</v>
      </c>
      <c r="G25" s="94" t="s">
        <v>29</v>
      </c>
      <c r="H25" s="141" t="s">
        <v>34</v>
      </c>
      <c r="I25" s="30" t="s">
        <v>35</v>
      </c>
      <c r="J25" s="141" t="s">
        <v>23</v>
      </c>
      <c r="K25" s="159">
        <f>'T. estandar Pegar fondo'!C7</f>
        <v>10.898</v>
      </c>
      <c r="L25" s="159">
        <f t="shared" si="0"/>
        <v>11.76984</v>
      </c>
      <c r="M25" s="160">
        <f>'T. estandar Pegar fondo'!B47</f>
        <v>0.00273224043715847</v>
      </c>
      <c r="N25" s="160">
        <f>'T. estandar Pegar fondo'!C47</f>
        <v>0.00273224043715847</v>
      </c>
      <c r="O25" s="160">
        <f>'T. estandar Pegar fondo'!D47</f>
        <v>0.00273224043715847</v>
      </c>
      <c r="P25" s="160">
        <f>'T. estandar Pegar fondo'!E47</f>
        <v>0.00546448087431694</v>
      </c>
      <c r="Q25" s="160">
        <f>'T. estandar Pegar fondo'!F47</f>
        <v>0.08578011342198022</v>
      </c>
      <c r="R25" s="160">
        <f>'T. estandar Pegar fondo'!B49</f>
        <v>0.09944131560777257</v>
      </c>
      <c r="S25" s="159">
        <f t="shared" si="1"/>
        <v>12.940248374092985</v>
      </c>
      <c r="T25" s="94" t="s">
        <v>286</v>
      </c>
      <c r="U25" s="94" t="s">
        <v>312</v>
      </c>
      <c r="V25" s="131" t="s">
        <v>256</v>
      </c>
      <c r="W25" s="159">
        <f>S25</f>
        <v>12.940248374092985</v>
      </c>
      <c r="X25" s="30" t="s">
        <v>286</v>
      </c>
      <c r="Y25" s="94" t="s">
        <v>312</v>
      </c>
    </row>
    <row r="26" spans="1:25" ht="12.75">
      <c r="A26" s="137" t="s">
        <v>261</v>
      </c>
      <c r="B26" s="138"/>
      <c r="C26" s="143"/>
      <c r="D26" s="139" t="s">
        <v>29</v>
      </c>
      <c r="E26" s="140" t="s">
        <v>25</v>
      </c>
      <c r="F26" s="30" t="s">
        <v>31</v>
      </c>
      <c r="G26" s="94" t="s">
        <v>29</v>
      </c>
      <c r="H26" s="141" t="s">
        <v>34</v>
      </c>
      <c r="I26" s="30" t="s">
        <v>35</v>
      </c>
      <c r="J26" s="141" t="s">
        <v>33</v>
      </c>
      <c r="K26" s="159">
        <f>'T. estandar Arma fondo tapa'!C7</f>
        <v>5.912285714285714</v>
      </c>
      <c r="L26" s="159">
        <f t="shared" si="0"/>
        <v>6.2078999999999995</v>
      </c>
      <c r="M26" s="160">
        <f>'T. estandar Arma fondo tapa'!B47</f>
        <v>0</v>
      </c>
      <c r="N26" s="160">
        <f>'T. estandar Arma fondo tapa'!C47</f>
        <v>0.016597510373443983</v>
      </c>
      <c r="O26" s="160">
        <f>'T. estandar Arma fondo tapa'!D47</f>
        <v>0</v>
      </c>
      <c r="P26" s="160">
        <f>'T. estandar Arma fondo tapa'!E47</f>
        <v>0.004149377593360996</v>
      </c>
      <c r="Q26" s="160">
        <f>'T. estandar Arma fondo tapa'!F47</f>
        <v>0.05305942708221911</v>
      </c>
      <c r="R26" s="160">
        <f>'T. estandar Arma fondo tapa'!B49</f>
        <v>0.07380631504902409</v>
      </c>
      <c r="S26" s="159">
        <f t="shared" si="1"/>
        <v>6.666082223192836</v>
      </c>
      <c r="T26" s="94" t="s">
        <v>286</v>
      </c>
      <c r="U26" s="94" t="s">
        <v>313</v>
      </c>
      <c r="V26" s="131" t="s">
        <v>261</v>
      </c>
      <c r="W26" s="159">
        <f>S26</f>
        <v>6.666082223192836</v>
      </c>
      <c r="X26" s="30" t="s">
        <v>286</v>
      </c>
      <c r="Y26" s="94" t="s">
        <v>313</v>
      </c>
    </row>
    <row r="27" ht="12.75">
      <c r="U27" s="75"/>
    </row>
    <row r="28" ht="12.75">
      <c r="U28" s="75"/>
    </row>
  </sheetData>
  <mergeCells count="6">
    <mergeCell ref="A8:C8"/>
    <mergeCell ref="D7:F7"/>
    <mergeCell ref="G7:I7"/>
    <mergeCell ref="J7:J8"/>
    <mergeCell ref="D8:E8"/>
    <mergeCell ref="G8:H8"/>
  </mergeCells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7:AA28"/>
  <sheetViews>
    <sheetView workbookViewId="0" topLeftCell="A1">
      <selection activeCell="V30" sqref="V30"/>
    </sheetView>
  </sheetViews>
  <sheetFormatPr defaultColWidth="9.140625" defaultRowHeight="12.75"/>
  <cols>
    <col min="3" max="3" width="11.7109375" style="0" customWidth="1"/>
    <col min="4" max="5" width="8.28125" style="0" hidden="1" customWidth="1"/>
    <col min="6" max="6" width="14.140625" style="0" hidden="1" customWidth="1"/>
    <col min="7" max="8" width="8.28125" style="0" hidden="1" customWidth="1"/>
    <col min="9" max="9" width="14.140625" style="0" hidden="1" customWidth="1"/>
    <col min="10" max="12" width="9.140625" style="0" hidden="1" customWidth="1"/>
    <col min="13" max="16" width="11.00390625" style="0" hidden="1" customWidth="1"/>
    <col min="17" max="17" width="8.00390625" style="0" hidden="1" customWidth="1"/>
    <col min="18" max="18" width="10.7109375" style="0" hidden="1" customWidth="1"/>
    <col min="20" max="20" width="15.421875" style="0" bestFit="1" customWidth="1"/>
    <col min="22" max="22" width="30.57421875" style="0" bestFit="1" customWidth="1"/>
    <col min="23" max="23" width="11.57421875" style="0" bestFit="1" customWidth="1"/>
    <col min="25" max="25" width="11.57421875" style="0" bestFit="1" customWidth="1"/>
  </cols>
  <sheetData>
    <row r="7" spans="1:25" ht="12.75">
      <c r="A7" s="9"/>
      <c r="B7" s="9"/>
      <c r="C7" s="9"/>
      <c r="D7" s="171" t="s">
        <v>12</v>
      </c>
      <c r="E7" s="171"/>
      <c r="F7" s="171"/>
      <c r="G7" s="172" t="s">
        <v>13</v>
      </c>
      <c r="H7" s="172"/>
      <c r="I7" s="172"/>
      <c r="J7" s="173" t="s">
        <v>238</v>
      </c>
      <c r="K7" s="162" t="s">
        <v>265</v>
      </c>
      <c r="L7" s="162" t="s">
        <v>265</v>
      </c>
      <c r="M7" s="147" t="s">
        <v>287</v>
      </c>
      <c r="N7" s="148" t="s">
        <v>287</v>
      </c>
      <c r="O7" s="149" t="s">
        <v>287</v>
      </c>
      <c r="P7" s="150" t="s">
        <v>287</v>
      </c>
      <c r="Q7" s="151" t="s">
        <v>288</v>
      </c>
      <c r="R7" s="152" t="s">
        <v>88</v>
      </c>
      <c r="S7" s="161" t="s">
        <v>265</v>
      </c>
      <c r="T7" s="116" t="s">
        <v>274</v>
      </c>
      <c r="U7" s="116" t="s">
        <v>294</v>
      </c>
      <c r="W7" s="161" t="s">
        <v>265</v>
      </c>
      <c r="X7" s="116" t="s">
        <v>274</v>
      </c>
      <c r="Y7" s="116" t="s">
        <v>294</v>
      </c>
    </row>
    <row r="8" spans="1:25" ht="12.75">
      <c r="A8" s="168" t="s">
        <v>239</v>
      </c>
      <c r="B8" s="169"/>
      <c r="C8" s="170"/>
      <c r="D8" s="171" t="s">
        <v>240</v>
      </c>
      <c r="E8" s="171"/>
      <c r="F8" s="135" t="s">
        <v>241</v>
      </c>
      <c r="G8" s="172" t="s">
        <v>240</v>
      </c>
      <c r="H8" s="172"/>
      <c r="I8" s="136" t="s">
        <v>241</v>
      </c>
      <c r="J8" s="174"/>
      <c r="K8" s="163" t="s">
        <v>267</v>
      </c>
      <c r="L8" s="163" t="s">
        <v>268</v>
      </c>
      <c r="M8" s="153" t="s">
        <v>55</v>
      </c>
      <c r="N8" s="154" t="s">
        <v>56</v>
      </c>
      <c r="O8" s="155" t="s">
        <v>57</v>
      </c>
      <c r="P8" s="156" t="s">
        <v>58</v>
      </c>
      <c r="Q8" s="157" t="s">
        <v>289</v>
      </c>
      <c r="R8" s="158" t="s">
        <v>264</v>
      </c>
      <c r="S8" s="158" t="s">
        <v>266</v>
      </c>
      <c r="T8" s="119" t="s">
        <v>275</v>
      </c>
      <c r="U8" s="119" t="s">
        <v>295</v>
      </c>
      <c r="V8" s="164" t="s">
        <v>239</v>
      </c>
      <c r="W8" s="158" t="s">
        <v>266</v>
      </c>
      <c r="X8" s="119" t="s">
        <v>275</v>
      </c>
      <c r="Y8" s="119" t="s">
        <v>295</v>
      </c>
    </row>
    <row r="9" spans="1:27" ht="12.75">
      <c r="A9" s="137" t="s">
        <v>242</v>
      </c>
      <c r="B9" s="138"/>
      <c r="C9" s="143"/>
      <c r="D9" s="139" t="s">
        <v>29</v>
      </c>
      <c r="E9" s="140" t="s">
        <v>25</v>
      </c>
      <c r="F9" s="30" t="s">
        <v>31</v>
      </c>
      <c r="G9" s="94" t="s">
        <v>29</v>
      </c>
      <c r="H9" s="141" t="s">
        <v>34</v>
      </c>
      <c r="I9" s="30" t="s">
        <v>35</v>
      </c>
      <c r="J9" s="141" t="s">
        <v>33</v>
      </c>
      <c r="K9" s="159">
        <f>'T. estandar daipas'!C7</f>
        <v>23.624666666666666</v>
      </c>
      <c r="L9" s="159">
        <f aca="true" t="shared" si="0" ref="L9:L26">(1+J9)*K9</f>
        <v>24.8059</v>
      </c>
      <c r="M9" s="160">
        <f>'T. estandar daipas'!B47</f>
        <v>0.012307692307692308</v>
      </c>
      <c r="N9" s="160">
        <f>'T. estandar daipas'!C47</f>
        <v>0.018461538461538463</v>
      </c>
      <c r="O9" s="160">
        <f>'T. estandar daipas'!D47</f>
        <v>0</v>
      </c>
      <c r="P9" s="160">
        <f>'T. estandar daipas'!E47</f>
        <v>0.024615384615384615</v>
      </c>
      <c r="Q9" s="160">
        <f>'T. estandar daipas'!F47</f>
        <v>0.04491515821143044</v>
      </c>
      <c r="R9" s="160">
        <f>'T. estandar daipas'!B49</f>
        <v>0.10029977359604583</v>
      </c>
      <c r="S9" s="159">
        <f aca="true" t="shared" si="1" ref="S9:S26">(1+R9)*L9</f>
        <v>27.293926153846154</v>
      </c>
      <c r="T9" s="94" t="s">
        <v>282</v>
      </c>
      <c r="U9" s="94" t="s">
        <v>296</v>
      </c>
      <c r="V9" s="131" t="s">
        <v>242</v>
      </c>
      <c r="W9" s="159">
        <f>S9/1.45</f>
        <v>18.823397347480107</v>
      </c>
      <c r="X9" s="94" t="s">
        <v>286</v>
      </c>
      <c r="Y9" s="94" t="s">
        <v>296</v>
      </c>
      <c r="Z9" s="7"/>
      <c r="AA9" s="115"/>
    </row>
    <row r="10" spans="1:25" ht="12.75" hidden="1">
      <c r="A10" s="137" t="s">
        <v>243</v>
      </c>
      <c r="B10" s="138"/>
      <c r="C10" s="143"/>
      <c r="D10" s="94" t="s">
        <v>27</v>
      </c>
      <c r="E10" s="140" t="s">
        <v>23</v>
      </c>
      <c r="F10" s="30" t="s">
        <v>30</v>
      </c>
      <c r="G10" s="94" t="s">
        <v>27</v>
      </c>
      <c r="H10" s="141" t="s">
        <v>23</v>
      </c>
      <c r="I10" s="30" t="s">
        <v>30</v>
      </c>
      <c r="J10" s="141" t="s">
        <v>244</v>
      </c>
      <c r="K10" s="159">
        <f>'T. estandar Desmane s'!C7</f>
        <v>13.643200000000002</v>
      </c>
      <c r="L10" s="159">
        <f t="shared" si="0"/>
        <v>15.826112000000002</v>
      </c>
      <c r="M10" s="160">
        <f>'T. estandar Desmane s'!B47</f>
        <v>0.0079155672823219</v>
      </c>
      <c r="N10" s="160">
        <f>'T. estandar Desmane s'!C47</f>
        <v>0</v>
      </c>
      <c r="O10" s="160">
        <f>'T. estandar Desmane s'!D47</f>
        <v>0.005277044854881266</v>
      </c>
      <c r="P10" s="160">
        <f>'T. estandar Desmane s'!E47</f>
        <v>0.005277044854881266</v>
      </c>
      <c r="Q10" s="160">
        <f>'T. estandar Desmane s'!F47</f>
        <v>0.09382553674246386</v>
      </c>
      <c r="R10" s="160">
        <f>'T. estandar Desmane s'!B49</f>
        <v>0.11229519373454828</v>
      </c>
      <c r="S10" s="159">
        <f t="shared" si="1"/>
        <v>17.60330831310466</v>
      </c>
      <c r="T10" s="94" t="s">
        <v>283</v>
      </c>
      <c r="U10" s="94" t="s">
        <v>297</v>
      </c>
      <c r="V10" s="131"/>
      <c r="W10" s="30"/>
      <c r="X10" s="30"/>
      <c r="Y10" s="94" t="s">
        <v>297</v>
      </c>
    </row>
    <row r="11" spans="1:27" ht="12.75">
      <c r="A11" s="137" t="s">
        <v>245</v>
      </c>
      <c r="B11" s="138"/>
      <c r="C11" s="143"/>
      <c r="D11" s="94" t="s">
        <v>27</v>
      </c>
      <c r="E11" s="140" t="s">
        <v>23</v>
      </c>
      <c r="F11" s="30" t="s">
        <v>30</v>
      </c>
      <c r="G11" s="94" t="s">
        <v>27</v>
      </c>
      <c r="H11" s="141" t="s">
        <v>23</v>
      </c>
      <c r="I11" s="30" t="s">
        <v>30</v>
      </c>
      <c r="J11" s="141" t="s">
        <v>244</v>
      </c>
      <c r="K11" s="159">
        <f>'T. estandar Desmane i'!C7</f>
        <v>10.2424</v>
      </c>
      <c r="L11" s="159">
        <f t="shared" si="0"/>
        <v>11.881184</v>
      </c>
      <c r="M11" s="160">
        <f>'T. estandar Desmane i'!B47</f>
        <v>0.0079155672823219</v>
      </c>
      <c r="N11" s="160">
        <f>'T. estandar Desmane i'!C47</f>
        <v>0</v>
      </c>
      <c r="O11" s="160">
        <f>'T. estandar Desmane i'!D47</f>
        <v>0.005277044854881266</v>
      </c>
      <c r="P11" s="160">
        <f>'T. estandar Desmane i'!E47</f>
        <v>0.005277044854881266</v>
      </c>
      <c r="Q11" s="160">
        <f>'T. estandar Desmane i'!F47</f>
        <v>0.164619233989725</v>
      </c>
      <c r="R11" s="160">
        <f>'T. estandar Desmane i'!B49</f>
        <v>0.18308889098180944</v>
      </c>
      <c r="S11" s="159">
        <f t="shared" si="1"/>
        <v>14.056496802110816</v>
      </c>
      <c r="T11" s="94" t="s">
        <v>283</v>
      </c>
      <c r="U11" s="94" t="s">
        <v>298</v>
      </c>
      <c r="V11" s="131" t="s">
        <v>314</v>
      </c>
      <c r="W11" s="159">
        <f>(S10+S11)/1.45</f>
        <v>21.83434835532102</v>
      </c>
      <c r="X11" s="94" t="s">
        <v>286</v>
      </c>
      <c r="Y11" s="94" t="s">
        <v>297</v>
      </c>
      <c r="Z11" s="7"/>
      <c r="AA11" s="115"/>
    </row>
    <row r="12" spans="1:25" ht="12.75" hidden="1">
      <c r="A12" s="137" t="s">
        <v>246</v>
      </c>
      <c r="B12" s="138"/>
      <c r="C12" s="143"/>
      <c r="D12" s="139" t="s">
        <v>27</v>
      </c>
      <c r="E12" s="140" t="s">
        <v>23</v>
      </c>
      <c r="F12" s="30" t="s">
        <v>30</v>
      </c>
      <c r="G12" s="94" t="s">
        <v>27</v>
      </c>
      <c r="H12" s="141" t="s">
        <v>23</v>
      </c>
      <c r="I12" s="30" t="s">
        <v>30</v>
      </c>
      <c r="J12" s="141" t="s">
        <v>244</v>
      </c>
      <c r="K12" s="159">
        <f>'T. estandar gajeo p'!C7</f>
        <v>10.814</v>
      </c>
      <c r="L12" s="159">
        <f t="shared" si="0"/>
        <v>12.544239999999999</v>
      </c>
      <c r="M12" s="160">
        <f>'T. estandar gajeo p'!B47</f>
        <v>0.04</v>
      </c>
      <c r="N12" s="160">
        <f>'T. estandar gajeo p'!C47</f>
        <v>0.027692307692307693</v>
      </c>
      <c r="O12" s="160">
        <f>'T. estandar gajeo p'!D47</f>
        <v>0</v>
      </c>
      <c r="P12" s="160">
        <f>'T. estandar gajeo p'!E47</f>
        <v>0.003076923076923077</v>
      </c>
      <c r="Q12" s="160">
        <f>'T. estandar gajeo p'!F47</f>
        <v>0.03390875076467825</v>
      </c>
      <c r="R12" s="160">
        <f>'T. estandar gajeo p'!B49</f>
        <v>0.10467798153390902</v>
      </c>
      <c r="S12" s="159">
        <f t="shared" si="1"/>
        <v>13.85734572307692</v>
      </c>
      <c r="T12" s="94" t="s">
        <v>284</v>
      </c>
      <c r="U12" s="94" t="s">
        <v>299</v>
      </c>
      <c r="V12" s="131" t="s">
        <v>246</v>
      </c>
      <c r="X12" s="94"/>
      <c r="Y12" s="94" t="s">
        <v>299</v>
      </c>
    </row>
    <row r="13" spans="1:25" ht="12.75" hidden="1">
      <c r="A13" s="137" t="s">
        <v>247</v>
      </c>
      <c r="B13" s="138"/>
      <c r="C13" s="143"/>
      <c r="D13" s="139" t="s">
        <v>27</v>
      </c>
      <c r="E13" s="140" t="s">
        <v>23</v>
      </c>
      <c r="F13" s="30" t="s">
        <v>30</v>
      </c>
      <c r="G13" s="94" t="s">
        <v>27</v>
      </c>
      <c r="H13" s="141" t="s">
        <v>23</v>
      </c>
      <c r="I13" s="30" t="s">
        <v>30</v>
      </c>
      <c r="J13" s="141" t="s">
        <v>244</v>
      </c>
      <c r="K13" s="159">
        <f>'T. estandar gajeo m'!C7</f>
        <v>14.108500000000001</v>
      </c>
      <c r="L13" s="159">
        <f t="shared" si="0"/>
        <v>16.36586</v>
      </c>
      <c r="M13" s="160">
        <f>'T. estandar gajeo m'!B47</f>
        <v>0.03076923076923077</v>
      </c>
      <c r="N13" s="160">
        <f>'T. estandar gajeo m'!C47</f>
        <v>0.024615384615384615</v>
      </c>
      <c r="O13" s="160">
        <f>'T. estandar gajeo m'!D47</f>
        <v>0</v>
      </c>
      <c r="P13" s="160">
        <f>'T. estandar gajeo m'!E47</f>
        <v>0.009230769230769232</v>
      </c>
      <c r="Q13" s="160">
        <f>'T. estandar gajeo m'!F47</f>
        <v>0.027254722742598547</v>
      </c>
      <c r="R13" s="160">
        <f>'T. estandar gajeo m'!B49</f>
        <v>0.09187010735798316</v>
      </c>
      <c r="S13" s="159">
        <f t="shared" si="1"/>
        <v>17.869393315205723</v>
      </c>
      <c r="T13" s="94" t="s">
        <v>284</v>
      </c>
      <c r="U13" s="94" t="s">
        <v>300</v>
      </c>
      <c r="V13" s="131" t="s">
        <v>247</v>
      </c>
      <c r="W13" s="30"/>
      <c r="X13" s="30"/>
      <c r="Y13" s="94" t="s">
        <v>300</v>
      </c>
    </row>
    <row r="14" spans="1:25" ht="12.75">
      <c r="A14" s="137" t="s">
        <v>248</v>
      </c>
      <c r="B14" s="138"/>
      <c r="C14" s="143"/>
      <c r="D14" s="139" t="s">
        <v>27</v>
      </c>
      <c r="E14" s="140" t="s">
        <v>23</v>
      </c>
      <c r="F14" s="30" t="s">
        <v>30</v>
      </c>
      <c r="G14" s="94" t="s">
        <v>27</v>
      </c>
      <c r="H14" s="141" t="s">
        <v>23</v>
      </c>
      <c r="I14" s="30" t="s">
        <v>30</v>
      </c>
      <c r="J14" s="141" t="s">
        <v>244</v>
      </c>
      <c r="K14" s="159">
        <f>'T. estandar gajeo g'!C7</f>
        <v>18.487</v>
      </c>
      <c r="L14" s="159">
        <f t="shared" si="0"/>
        <v>21.444919999999996</v>
      </c>
      <c r="M14" s="160">
        <f>'T. estandar gajeo g'!B47</f>
        <v>0.033846153846153845</v>
      </c>
      <c r="N14" s="160">
        <f>'T. estandar gajeo g'!C47</f>
        <v>0.024615384615384615</v>
      </c>
      <c r="O14" s="160">
        <f>'T. estandar gajeo g'!D47</f>
        <v>0</v>
      </c>
      <c r="P14" s="160">
        <f>'T. estandar gajeo g'!E47</f>
        <v>0.006153846153846154</v>
      </c>
      <c r="Q14" s="160">
        <f>'T. estandar gajeo g'!F47</f>
        <v>0.0331957405296921</v>
      </c>
      <c r="R14" s="160">
        <f>'T. estandar gajeo g'!B49</f>
        <v>0.09781112514507671</v>
      </c>
      <c r="S14" s="159">
        <f t="shared" si="1"/>
        <v>23.54247175384615</v>
      </c>
      <c r="T14" s="94" t="s">
        <v>284</v>
      </c>
      <c r="U14" s="94" t="s">
        <v>301</v>
      </c>
      <c r="V14" s="131" t="s">
        <v>316</v>
      </c>
      <c r="W14" s="159">
        <f>(S12*2+S13*3+S14*3)/1.45</f>
        <v>104.79330114021343</v>
      </c>
      <c r="X14" s="94" t="s">
        <v>286</v>
      </c>
      <c r="Y14" s="94" t="s">
        <v>299</v>
      </c>
    </row>
    <row r="15" spans="1:25" ht="12.75" hidden="1">
      <c r="A15" s="137" t="s">
        <v>249</v>
      </c>
      <c r="B15" s="138"/>
      <c r="C15" s="143"/>
      <c r="D15" s="139" t="s">
        <v>28</v>
      </c>
      <c r="E15" s="140" t="s">
        <v>24</v>
      </c>
      <c r="F15" s="30" t="s">
        <v>31</v>
      </c>
      <c r="G15" s="94" t="s">
        <v>28</v>
      </c>
      <c r="H15" s="141" t="s">
        <v>33</v>
      </c>
      <c r="I15" s="30" t="s">
        <v>35</v>
      </c>
      <c r="J15" s="141" t="s">
        <v>22</v>
      </c>
      <c r="K15" s="159">
        <f>'T. estandar Llenado Platos p'!C7</f>
        <v>6.672400000000002</v>
      </c>
      <c r="L15" s="159">
        <f t="shared" si="0"/>
        <v>7.4063640000000035</v>
      </c>
      <c r="M15" s="160">
        <f>'T. estandar Llenado Platos p'!B47</f>
        <v>0.045576407506702415</v>
      </c>
      <c r="N15" s="160">
        <f>'T. estandar Llenado Platos p'!C47</f>
        <v>0.0160857908847185</v>
      </c>
      <c r="O15" s="160">
        <f>'T. estandar Llenado Platos p'!D47</f>
        <v>0</v>
      </c>
      <c r="P15" s="160">
        <f>'T. estandar Llenado Platos p'!E47</f>
        <v>0</v>
      </c>
      <c r="Q15" s="160">
        <f>'T. estandar Llenado Platos p'!F47</f>
        <v>0.12302883327308978</v>
      </c>
      <c r="R15" s="160">
        <f>'T. estandar Llenado Platos p'!B49</f>
        <v>0.18469103166451067</v>
      </c>
      <c r="S15" s="159">
        <f t="shared" si="1"/>
        <v>8.774253008042896</v>
      </c>
      <c r="T15" s="94" t="s">
        <v>285</v>
      </c>
      <c r="U15" s="94" t="s">
        <v>302</v>
      </c>
      <c r="V15" s="131" t="s">
        <v>249</v>
      </c>
      <c r="W15" s="30"/>
      <c r="X15" s="30"/>
      <c r="Y15" s="94" t="s">
        <v>302</v>
      </c>
    </row>
    <row r="16" spans="1:25" ht="12.75" hidden="1">
      <c r="A16" s="137" t="s">
        <v>250</v>
      </c>
      <c r="B16" s="138"/>
      <c r="C16" s="143"/>
      <c r="D16" s="139" t="s">
        <v>28</v>
      </c>
      <c r="E16" s="140" t="s">
        <v>24</v>
      </c>
      <c r="F16" s="30" t="s">
        <v>31</v>
      </c>
      <c r="G16" s="94" t="s">
        <v>28</v>
      </c>
      <c r="H16" s="141" t="s">
        <v>33</v>
      </c>
      <c r="I16" s="30" t="s">
        <v>35</v>
      </c>
      <c r="J16" s="141" t="s">
        <v>22</v>
      </c>
      <c r="K16" s="159">
        <f>'T. estandar Llenado Platos m'!C7</f>
        <v>7.154400000000001</v>
      </c>
      <c r="L16" s="159">
        <f t="shared" si="0"/>
        <v>7.941384000000001</v>
      </c>
      <c r="M16" s="160">
        <f>'T. estandar Llenado Platos m'!B47</f>
        <v>0.040214477211796246</v>
      </c>
      <c r="N16" s="160">
        <f>'T. estandar Llenado Platos m'!C47</f>
        <v>0.005361930294906166</v>
      </c>
      <c r="O16" s="160">
        <f>'T. estandar Llenado Platos m'!D47</f>
        <v>0</v>
      </c>
      <c r="P16" s="160">
        <f>'T. estandar Llenado Platos m'!E47</f>
        <v>0</v>
      </c>
      <c r="Q16" s="160">
        <f>'T. estandar Llenado Platos m'!F47</f>
        <v>0.12562537201807134</v>
      </c>
      <c r="R16" s="160">
        <f>'T. estandar Llenado Platos m'!B49</f>
        <v>0.17120177952477375</v>
      </c>
      <c r="S16" s="159">
        <f t="shared" si="1"/>
        <v>9.300963072689568</v>
      </c>
      <c r="T16" s="94" t="s">
        <v>285</v>
      </c>
      <c r="U16" s="94" t="s">
        <v>303</v>
      </c>
      <c r="V16" s="131" t="s">
        <v>250</v>
      </c>
      <c r="W16" s="30"/>
      <c r="X16" s="30"/>
      <c r="Y16" s="94" t="s">
        <v>303</v>
      </c>
    </row>
    <row r="17" spans="1:25" ht="12.75">
      <c r="A17" s="137" t="s">
        <v>251</v>
      </c>
      <c r="B17" s="138"/>
      <c r="C17" s="143"/>
      <c r="D17" s="139" t="s">
        <v>28</v>
      </c>
      <c r="E17" s="140" t="s">
        <v>24</v>
      </c>
      <c r="F17" s="30" t="s">
        <v>31</v>
      </c>
      <c r="G17" s="94" t="s">
        <v>28</v>
      </c>
      <c r="H17" s="141" t="s">
        <v>33</v>
      </c>
      <c r="I17" s="30" t="s">
        <v>35</v>
      </c>
      <c r="J17" s="141" t="s">
        <v>22</v>
      </c>
      <c r="K17" s="159">
        <f>'T. estandar Llenado Platos g'!C7</f>
        <v>6.745760000000001</v>
      </c>
      <c r="L17" s="159">
        <f t="shared" si="0"/>
        <v>7.487793600000002</v>
      </c>
      <c r="M17" s="160">
        <f>'T. estandar Llenado Platos g'!B47</f>
        <v>0.005361930294906166</v>
      </c>
      <c r="N17" s="160">
        <f>'T. estandar Llenado Platos g'!C47</f>
        <v>0.00804289544235925</v>
      </c>
      <c r="O17" s="160">
        <f>'T. estandar Llenado Platos g'!D47</f>
        <v>0</v>
      </c>
      <c r="P17" s="160">
        <f>'T. estandar Llenado Platos g'!E47</f>
        <v>0</v>
      </c>
      <c r="Q17" s="160">
        <f>'T. estandar Llenado Platos g'!F47</f>
        <v>0.1276696767744756</v>
      </c>
      <c r="R17" s="160">
        <f>'T. estandar Llenado Platos g'!B49</f>
        <v>0.14107450251174103</v>
      </c>
      <c r="S17" s="159">
        <f t="shared" si="1"/>
        <v>8.5441303570306</v>
      </c>
      <c r="T17" s="94" t="s">
        <v>285</v>
      </c>
      <c r="U17" s="94" t="s">
        <v>304</v>
      </c>
      <c r="V17" s="131" t="s">
        <v>317</v>
      </c>
      <c r="W17" s="159">
        <f>S15+S16+S17</f>
        <v>26.619346437763063</v>
      </c>
      <c r="X17" s="30" t="s">
        <v>286</v>
      </c>
      <c r="Y17" s="94" t="s">
        <v>300</v>
      </c>
    </row>
    <row r="18" spans="1:25" ht="12.75">
      <c r="A18" s="137" t="s">
        <v>257</v>
      </c>
      <c r="B18" s="138"/>
      <c r="C18" s="143"/>
      <c r="D18" s="139" t="s">
        <v>27</v>
      </c>
      <c r="E18" s="140" t="s">
        <v>23</v>
      </c>
      <c r="F18" s="30" t="s">
        <v>30</v>
      </c>
      <c r="G18" s="94" t="s">
        <v>28</v>
      </c>
      <c r="H18" s="141" t="s">
        <v>33</v>
      </c>
      <c r="I18" s="30" t="s">
        <v>35</v>
      </c>
      <c r="J18" s="141" t="s">
        <v>19</v>
      </c>
      <c r="K18" s="159">
        <f>'T. estandar Pesado Clusters 100'!C7</f>
        <v>23.6914285714286</v>
      </c>
      <c r="L18" s="159">
        <f t="shared" si="0"/>
        <v>26.771314285714315</v>
      </c>
      <c r="M18" s="160">
        <f>'T. estandar Pesado Clusters 100'!B47</f>
        <v>0.2680851063829787</v>
      </c>
      <c r="N18" s="160">
        <f>'T. estandar Pesado Clusters 100'!C47</f>
        <v>0.00851063829787234</v>
      </c>
      <c r="O18" s="160">
        <f>'T. estandar Pesado Clusters 100'!D47</f>
        <v>0.00851063829787234</v>
      </c>
      <c r="P18" s="160">
        <f>'T. estandar Pesado Clusters 100'!E47</f>
        <v>0.01276595744680851</v>
      </c>
      <c r="Q18" s="160">
        <f>'T. estandar Pesado Clusters 100'!F47</f>
        <v>0.029157956799055418</v>
      </c>
      <c r="R18" s="160">
        <f>'T. estandar Pesado Clusters 100'!B49</f>
        <v>0.3270302972245874</v>
      </c>
      <c r="S18" s="159">
        <f t="shared" si="1"/>
        <v>35.52634515366431</v>
      </c>
      <c r="T18" s="94" t="s">
        <v>286</v>
      </c>
      <c r="U18" s="94" t="s">
        <v>305</v>
      </c>
      <c r="V18" s="131" t="s">
        <v>257</v>
      </c>
      <c r="W18" s="159">
        <f>S18</f>
        <v>35.52634515366431</v>
      </c>
      <c r="X18" s="30" t="s">
        <v>286</v>
      </c>
      <c r="Y18" s="94" t="s">
        <v>301</v>
      </c>
    </row>
    <row r="19" spans="1:25" ht="12.75">
      <c r="A19" s="137" t="s">
        <v>252</v>
      </c>
      <c r="B19" s="138"/>
      <c r="C19" s="143"/>
      <c r="D19" s="139" t="s">
        <v>29</v>
      </c>
      <c r="E19" s="140" t="s">
        <v>25</v>
      </c>
      <c r="F19" s="30" t="s">
        <v>31</v>
      </c>
      <c r="G19" s="94" t="s">
        <v>29</v>
      </c>
      <c r="H19" s="141" t="s">
        <v>34</v>
      </c>
      <c r="I19" s="30" t="s">
        <v>35</v>
      </c>
      <c r="J19" s="141" t="s">
        <v>33</v>
      </c>
      <c r="K19" s="159">
        <f>'T. estandar Fumigado'!C7</f>
        <v>8.518400000000002</v>
      </c>
      <c r="L19" s="159">
        <f t="shared" si="0"/>
        <v>8.944320000000001</v>
      </c>
      <c r="M19" s="160">
        <f>'T. estandar Fumigado'!B47</f>
        <v>0.00625</v>
      </c>
      <c r="N19" s="160">
        <f>'T. estandar Fumigado'!C47</f>
        <v>0.009375</v>
      </c>
      <c r="O19" s="160">
        <f>'T. estandar Fumigado'!D47</f>
        <v>0.003125</v>
      </c>
      <c r="P19" s="160">
        <f>'T. estandar Fumigado'!E47</f>
        <v>0.003125</v>
      </c>
      <c r="Q19" s="160">
        <f>'T. estandar Fumigado'!F47</f>
        <v>0.06868216295659502</v>
      </c>
      <c r="R19" s="160">
        <f>'T. estandar Fumigado'!B49</f>
        <v>0.09055716295659502</v>
      </c>
      <c r="S19" s="159">
        <f t="shared" si="1"/>
        <v>9.754292243775934</v>
      </c>
      <c r="T19" s="94" t="s">
        <v>286</v>
      </c>
      <c r="U19" s="94" t="s">
        <v>306</v>
      </c>
      <c r="V19" s="131" t="s">
        <v>252</v>
      </c>
      <c r="W19" s="159">
        <f>S19</f>
        <v>9.754292243775934</v>
      </c>
      <c r="X19" s="30" t="s">
        <v>286</v>
      </c>
      <c r="Y19" s="94" t="s">
        <v>302</v>
      </c>
    </row>
    <row r="20" spans="1:25" ht="12.75">
      <c r="A20" s="137" t="s">
        <v>258</v>
      </c>
      <c r="B20" s="138"/>
      <c r="C20" s="143"/>
      <c r="D20" s="139" t="s">
        <v>28</v>
      </c>
      <c r="E20" s="140" t="s">
        <v>24</v>
      </c>
      <c r="F20" s="30" t="s">
        <v>31</v>
      </c>
      <c r="G20" s="94" t="s">
        <v>28</v>
      </c>
      <c r="H20" s="141" t="s">
        <v>33</v>
      </c>
      <c r="I20" s="30" t="s">
        <v>35</v>
      </c>
      <c r="J20" s="141" t="s">
        <v>22</v>
      </c>
      <c r="K20" s="159">
        <f>'T. estandar Enfundar Clusters'!C7</f>
        <v>30.8714285714286</v>
      </c>
      <c r="L20" s="159">
        <f t="shared" si="0"/>
        <v>34.26728571428575</v>
      </c>
      <c r="M20" s="160">
        <f>'T. estandar Enfundar Clusters'!B47</f>
        <v>0.16145833333333334</v>
      </c>
      <c r="N20" s="160">
        <f>'T. estandar Enfundar Clusters'!C47</f>
        <v>0</v>
      </c>
      <c r="O20" s="160">
        <f>'T. estandar Enfundar Clusters'!D47</f>
        <v>0</v>
      </c>
      <c r="P20" s="160">
        <f>'T. estandar Enfundar Clusters'!E47</f>
        <v>0</v>
      </c>
      <c r="Q20" s="160">
        <f>'T. estandar Enfundar Clusters'!F47</f>
        <v>0.019374175193239473</v>
      </c>
      <c r="R20" s="160">
        <f>'T. estandar Enfundar Clusters'!B49</f>
        <v>0.18083250852657282</v>
      </c>
      <c r="S20" s="159">
        <f t="shared" si="1"/>
        <v>40.46392495039683</v>
      </c>
      <c r="T20" s="94" t="s">
        <v>286</v>
      </c>
      <c r="U20" s="94" t="s">
        <v>307</v>
      </c>
      <c r="V20" s="131" t="s">
        <v>258</v>
      </c>
      <c r="W20" s="159">
        <f>S20</f>
        <v>40.46392495039683</v>
      </c>
      <c r="X20" s="30" t="s">
        <v>286</v>
      </c>
      <c r="Y20" s="94" t="s">
        <v>303</v>
      </c>
    </row>
    <row r="21" spans="1:25" ht="12.75">
      <c r="A21" s="137" t="s">
        <v>259</v>
      </c>
      <c r="B21" s="138"/>
      <c r="C21" s="143"/>
      <c r="D21" s="139" t="s">
        <v>28</v>
      </c>
      <c r="E21" s="140" t="s">
        <v>24</v>
      </c>
      <c r="F21" s="30" t="s">
        <v>31</v>
      </c>
      <c r="G21" s="94" t="s">
        <v>28</v>
      </c>
      <c r="H21" s="141" t="s">
        <v>33</v>
      </c>
      <c r="I21" s="30" t="s">
        <v>35</v>
      </c>
      <c r="J21" s="141" t="s">
        <v>22</v>
      </c>
      <c r="K21" s="159">
        <f>'T. estandar Ligar Clusters'!C7</f>
        <v>39.8371428571429</v>
      </c>
      <c r="L21" s="159">
        <f t="shared" si="0"/>
        <v>44.21922857142862</v>
      </c>
      <c r="M21" s="160">
        <f>'T. estandar Ligar Clusters'!B47</f>
        <v>0.05357142857142857</v>
      </c>
      <c r="N21" s="160">
        <f>'T. estandar Ligar Clusters'!C47</f>
        <v>0</v>
      </c>
      <c r="O21" s="160">
        <f>'T. estandar Ligar Clusters'!D47</f>
        <v>0.005952380952380952</v>
      </c>
      <c r="P21" s="160">
        <f>'T. estandar Ligar Clusters'!E47</f>
        <v>0.011904761904761904</v>
      </c>
      <c r="Q21" s="160">
        <f>'T. estandar Ligar Clusters'!F47</f>
        <v>0.035938178405318766</v>
      </c>
      <c r="R21" s="160">
        <f>'T. estandar Ligar Clusters'!B49</f>
        <v>0.10736674983389019</v>
      </c>
      <c r="S21" s="159">
        <f t="shared" si="1"/>
        <v>48.96690342330481</v>
      </c>
      <c r="T21" s="94" t="s">
        <v>286</v>
      </c>
      <c r="U21" s="94" t="s">
        <v>308</v>
      </c>
      <c r="V21" s="131" t="s">
        <v>259</v>
      </c>
      <c r="W21" s="159">
        <f>S21</f>
        <v>48.96690342330481</v>
      </c>
      <c r="X21" s="30" t="s">
        <v>286</v>
      </c>
      <c r="Y21" s="94" t="s">
        <v>304</v>
      </c>
    </row>
    <row r="22" spans="1:25" ht="12.75">
      <c r="A22" s="137" t="s">
        <v>253</v>
      </c>
      <c r="B22" s="138"/>
      <c r="C22" s="143"/>
      <c r="D22" s="139" t="s">
        <v>27</v>
      </c>
      <c r="E22" s="140" t="s">
        <v>23</v>
      </c>
      <c r="F22" s="30" t="s">
        <v>30</v>
      </c>
      <c r="G22" s="94" t="s">
        <v>27</v>
      </c>
      <c r="H22" s="141" t="s">
        <v>23</v>
      </c>
      <c r="I22" s="30" t="s">
        <v>30</v>
      </c>
      <c r="J22" s="141" t="s">
        <v>244</v>
      </c>
      <c r="K22" s="159">
        <f>'T. estandar Embalar Cajas'!C7</f>
        <v>42.71638461538461</v>
      </c>
      <c r="L22" s="159">
        <f t="shared" si="0"/>
        <v>49.551006153846146</v>
      </c>
      <c r="M22" s="160">
        <f>'T. estandar Embalar Cajas'!B47</f>
        <v>0.003003003003003003</v>
      </c>
      <c r="N22" s="160">
        <f>'T. estandar Embalar Cajas'!C47</f>
        <v>0</v>
      </c>
      <c r="O22" s="160">
        <f>'T. estandar Embalar Cajas'!D47</f>
        <v>0.009009009009009009</v>
      </c>
      <c r="P22" s="160">
        <f>'T. estandar Embalar Cajas'!E47</f>
        <v>0.003003003003003003</v>
      </c>
      <c r="Q22" s="160">
        <f>'T. estandar Embalar Cajas'!F47</f>
        <v>0.03826754489823814</v>
      </c>
      <c r="R22" s="160">
        <f>'T. estandar Embalar Cajas'!B49</f>
        <v>0.053282559913253154</v>
      </c>
      <c r="S22" s="159">
        <f t="shared" si="1"/>
        <v>52.191210608000425</v>
      </c>
      <c r="T22" s="94" t="s">
        <v>286</v>
      </c>
      <c r="U22" s="94" t="s">
        <v>309</v>
      </c>
      <c r="V22" s="131" t="s">
        <v>253</v>
      </c>
      <c r="W22" s="159">
        <f>S22</f>
        <v>52.191210608000425</v>
      </c>
      <c r="X22" s="30" t="s">
        <v>286</v>
      </c>
      <c r="Y22" s="94" t="s">
        <v>305</v>
      </c>
    </row>
    <row r="23" spans="1:25" ht="12.75">
      <c r="A23" s="137" t="s">
        <v>254</v>
      </c>
      <c r="B23" s="138"/>
      <c r="C23" s="143"/>
      <c r="D23" s="139" t="s">
        <v>26</v>
      </c>
      <c r="E23" s="140" t="s">
        <v>22</v>
      </c>
      <c r="F23" s="30" t="s">
        <v>30</v>
      </c>
      <c r="G23" s="94" t="s">
        <v>26</v>
      </c>
      <c r="H23" s="142" t="s">
        <v>32</v>
      </c>
      <c r="I23" s="30" t="s">
        <v>30</v>
      </c>
      <c r="J23" s="141" t="s">
        <v>255</v>
      </c>
      <c r="K23" s="159">
        <f>'T. estandar Paletizar Cajas'!C7</f>
        <v>500.04</v>
      </c>
      <c r="L23" s="159">
        <f t="shared" si="0"/>
        <v>605.0484</v>
      </c>
      <c r="M23" s="160">
        <f>'T. estandar Paletizar Cajas'!B47</f>
        <v>0.07514450867052024</v>
      </c>
      <c r="N23" s="160">
        <f>'T. estandar Paletizar Cajas'!C47</f>
        <v>0.05202312138728324</v>
      </c>
      <c r="O23" s="160">
        <f>'T. estandar Paletizar Cajas'!D47</f>
        <v>0</v>
      </c>
      <c r="P23" s="160">
        <f>'T. estandar Paletizar Cajas'!E47</f>
        <v>0.005780346820809248</v>
      </c>
      <c r="Q23" s="160">
        <f>'T. estandar Paletizar Cajas'!F47</f>
        <v>0.03681878860095811</v>
      </c>
      <c r="R23" s="160">
        <f>'T. estandar Paletizar Cajas'!B49</f>
        <v>0.1697667654795708</v>
      </c>
      <c r="S23" s="159">
        <f t="shared" si="1"/>
        <v>707.7655098265897</v>
      </c>
      <c r="T23" s="94" t="s">
        <v>315</v>
      </c>
      <c r="U23" s="94" t="s">
        <v>310</v>
      </c>
      <c r="V23" s="131" t="s">
        <v>254</v>
      </c>
      <c r="W23" s="159">
        <f>S23/48</f>
        <v>14.745114788053952</v>
      </c>
      <c r="X23" s="30" t="s">
        <v>286</v>
      </c>
      <c r="Y23" s="94" t="s">
        <v>306</v>
      </c>
    </row>
    <row r="24" spans="1:25" ht="12.75">
      <c r="A24" s="137" t="s">
        <v>260</v>
      </c>
      <c r="B24" s="138"/>
      <c r="C24" s="143"/>
      <c r="D24" s="139" t="s">
        <v>28</v>
      </c>
      <c r="E24" s="140" t="s">
        <v>24</v>
      </c>
      <c r="F24" s="30" t="s">
        <v>31</v>
      </c>
      <c r="G24" s="94" t="s">
        <v>29</v>
      </c>
      <c r="H24" s="141" t="s">
        <v>34</v>
      </c>
      <c r="I24" s="30" t="s">
        <v>35</v>
      </c>
      <c r="J24" s="141" t="s">
        <v>23</v>
      </c>
      <c r="K24" s="159">
        <f>'T. estandar Engomar fondo'!C7</f>
        <v>11.948033333333337</v>
      </c>
      <c r="L24" s="159">
        <f t="shared" si="0"/>
        <v>12.903876000000004</v>
      </c>
      <c r="M24" s="160">
        <f>'T. estandar Engomar fondo'!B47</f>
        <v>0.00273224043715847</v>
      </c>
      <c r="N24" s="160">
        <f>'T. estandar Engomar fondo'!C47</f>
        <v>0.00273224043715847</v>
      </c>
      <c r="O24" s="160">
        <f>'T. estandar Engomar fondo'!D47</f>
        <v>0.00273224043715847</v>
      </c>
      <c r="P24" s="160">
        <f>'T. estandar Engomar fondo'!E47</f>
        <v>0.00546448087431694</v>
      </c>
      <c r="Q24" s="160">
        <f>'T. estandar Engomar fondo'!F47</f>
        <v>0.07878293813711457</v>
      </c>
      <c r="R24" s="160">
        <f>'T. estandar Engomar fondo'!B49</f>
        <v>0.09244414032290692</v>
      </c>
      <c r="S24" s="159">
        <f t="shared" si="1"/>
        <v>14.096763723653394</v>
      </c>
      <c r="T24" s="94" t="s">
        <v>286</v>
      </c>
      <c r="U24" s="94" t="s">
        <v>311</v>
      </c>
      <c r="V24" s="131" t="s">
        <v>260</v>
      </c>
      <c r="W24" s="159">
        <f>S24</f>
        <v>14.096763723653394</v>
      </c>
      <c r="X24" s="30" t="s">
        <v>286</v>
      </c>
      <c r="Y24" s="94" t="s">
        <v>307</v>
      </c>
    </row>
    <row r="25" spans="1:25" ht="12.75">
      <c r="A25" s="137" t="s">
        <v>256</v>
      </c>
      <c r="B25" s="138"/>
      <c r="C25" s="143"/>
      <c r="D25" s="139" t="s">
        <v>28</v>
      </c>
      <c r="E25" s="140" t="s">
        <v>24</v>
      </c>
      <c r="F25" s="30" t="s">
        <v>31</v>
      </c>
      <c r="G25" s="94" t="s">
        <v>29</v>
      </c>
      <c r="H25" s="141" t="s">
        <v>34</v>
      </c>
      <c r="I25" s="30" t="s">
        <v>35</v>
      </c>
      <c r="J25" s="141" t="s">
        <v>23</v>
      </c>
      <c r="K25" s="159">
        <f>'T. estandar Pegar fondo'!C7</f>
        <v>10.898</v>
      </c>
      <c r="L25" s="159">
        <f t="shared" si="0"/>
        <v>11.76984</v>
      </c>
      <c r="M25" s="160">
        <f>'T. estandar Pegar fondo'!B47</f>
        <v>0.00273224043715847</v>
      </c>
      <c r="N25" s="160">
        <f>'T. estandar Pegar fondo'!C47</f>
        <v>0.00273224043715847</v>
      </c>
      <c r="O25" s="160">
        <f>'T. estandar Pegar fondo'!D47</f>
        <v>0.00273224043715847</v>
      </c>
      <c r="P25" s="160">
        <f>'T. estandar Pegar fondo'!E47</f>
        <v>0.00546448087431694</v>
      </c>
      <c r="Q25" s="160">
        <f>'T. estandar Pegar fondo'!F47</f>
        <v>0.08578011342198022</v>
      </c>
      <c r="R25" s="160">
        <f>'T. estandar Pegar fondo'!B49</f>
        <v>0.09944131560777257</v>
      </c>
      <c r="S25" s="159">
        <f t="shared" si="1"/>
        <v>12.940248374092985</v>
      </c>
      <c r="T25" s="94" t="s">
        <v>286</v>
      </c>
      <c r="U25" s="94" t="s">
        <v>312</v>
      </c>
      <c r="V25" s="131" t="s">
        <v>256</v>
      </c>
      <c r="W25" s="159">
        <f>S25</f>
        <v>12.940248374092985</v>
      </c>
      <c r="X25" s="30" t="s">
        <v>286</v>
      </c>
      <c r="Y25" s="94" t="s">
        <v>308</v>
      </c>
    </row>
    <row r="26" spans="1:25" ht="12.75">
      <c r="A26" s="137" t="s">
        <v>261</v>
      </c>
      <c r="B26" s="138"/>
      <c r="C26" s="143"/>
      <c r="D26" s="139" t="s">
        <v>29</v>
      </c>
      <c r="E26" s="140" t="s">
        <v>25</v>
      </c>
      <c r="F26" s="30" t="s">
        <v>31</v>
      </c>
      <c r="G26" s="94" t="s">
        <v>29</v>
      </c>
      <c r="H26" s="141" t="s">
        <v>34</v>
      </c>
      <c r="I26" s="30" t="s">
        <v>35</v>
      </c>
      <c r="J26" s="141" t="s">
        <v>33</v>
      </c>
      <c r="K26" s="159">
        <f>'T. estandar Arma fondo tapa'!C7</f>
        <v>5.912285714285714</v>
      </c>
      <c r="L26" s="159">
        <f t="shared" si="0"/>
        <v>6.2078999999999995</v>
      </c>
      <c r="M26" s="160">
        <f>'T. estandar Arma fondo tapa'!B47</f>
        <v>0</v>
      </c>
      <c r="N26" s="160">
        <f>'T. estandar Arma fondo tapa'!C47</f>
        <v>0.016597510373443983</v>
      </c>
      <c r="O26" s="160">
        <f>'T. estandar Arma fondo tapa'!D47</f>
        <v>0</v>
      </c>
      <c r="P26" s="160">
        <f>'T. estandar Arma fondo tapa'!E47</f>
        <v>0.004149377593360996</v>
      </c>
      <c r="Q26" s="160">
        <f>'T. estandar Arma fondo tapa'!F47</f>
        <v>0.05305942708221911</v>
      </c>
      <c r="R26" s="160">
        <f>'T. estandar Arma fondo tapa'!B49</f>
        <v>0.07380631504902409</v>
      </c>
      <c r="S26" s="159">
        <f t="shared" si="1"/>
        <v>6.666082223192836</v>
      </c>
      <c r="T26" s="94" t="s">
        <v>286</v>
      </c>
      <c r="U26" s="94" t="s">
        <v>313</v>
      </c>
      <c r="V26" s="131" t="s">
        <v>261</v>
      </c>
      <c r="W26" s="159">
        <f>S26</f>
        <v>6.666082223192836</v>
      </c>
      <c r="X26" s="30" t="s">
        <v>286</v>
      </c>
      <c r="Y26" s="94" t="s">
        <v>309</v>
      </c>
    </row>
    <row r="27" ht="12.75">
      <c r="U27" s="75"/>
    </row>
    <row r="28" ht="12.75">
      <c r="U28" s="75"/>
    </row>
  </sheetData>
  <mergeCells count="6">
    <mergeCell ref="A8:C8"/>
    <mergeCell ref="D7:F7"/>
    <mergeCell ref="G7:I7"/>
    <mergeCell ref="J7:J8"/>
    <mergeCell ref="D8:E8"/>
    <mergeCell ref="G8:H8"/>
  </mergeCells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32">
      <selection activeCell="F45" sqref="F45"/>
    </sheetView>
  </sheetViews>
  <sheetFormatPr defaultColWidth="9.140625" defaultRowHeight="12.75"/>
  <cols>
    <col min="1" max="1" width="13.140625" style="0" bestFit="1" customWidth="1"/>
    <col min="2" max="2" width="26.57421875" style="0" bestFit="1" customWidth="1"/>
    <col min="3" max="3" width="28.7109375" style="0" bestFit="1" customWidth="1"/>
  </cols>
  <sheetData>
    <row r="1" spans="1:7" ht="12.75">
      <c r="A1" s="9"/>
      <c r="B1" s="9"/>
      <c r="C1" s="9"/>
      <c r="D1" s="9"/>
      <c r="E1" s="9"/>
      <c r="F1" s="9"/>
      <c r="G1" s="9"/>
    </row>
    <row r="2" spans="1:7" ht="12.75">
      <c r="A2" s="9"/>
      <c r="B2" s="9"/>
      <c r="C2" s="9"/>
      <c r="D2" s="9"/>
      <c r="E2" s="9"/>
      <c r="F2" s="9"/>
      <c r="G2" s="9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9"/>
      <c r="B7" s="9"/>
      <c r="C7" s="9"/>
      <c r="D7" s="9"/>
      <c r="E7" s="9"/>
      <c r="F7" s="9"/>
      <c r="G7" s="9"/>
    </row>
    <row r="8" spans="1:7" ht="12.75">
      <c r="A8" s="9"/>
      <c r="B8" s="9"/>
      <c r="C8" s="9"/>
      <c r="D8" s="9"/>
      <c r="E8" s="9"/>
      <c r="F8" s="9"/>
      <c r="G8" s="9"/>
    </row>
    <row r="9" spans="1:7" ht="12.75">
      <c r="A9" s="116" t="s">
        <v>226</v>
      </c>
      <c r="B9" s="175" t="s">
        <v>227</v>
      </c>
      <c r="C9" s="176"/>
      <c r="D9" s="9"/>
      <c r="E9" s="9"/>
      <c r="F9" s="9"/>
      <c r="G9" s="9"/>
    </row>
    <row r="10" spans="1:7" ht="12.75">
      <c r="A10" s="117" t="s">
        <v>214</v>
      </c>
      <c r="B10" s="116" t="s">
        <v>224</v>
      </c>
      <c r="C10" s="118" t="s">
        <v>225</v>
      </c>
      <c r="D10" s="9"/>
      <c r="E10" s="9"/>
      <c r="F10" s="9"/>
      <c r="G10" s="9"/>
    </row>
    <row r="11" spans="1:7" ht="12.75">
      <c r="A11" s="119" t="s">
        <v>215</v>
      </c>
      <c r="B11" s="123"/>
      <c r="C11" s="120"/>
      <c r="D11" s="9"/>
      <c r="E11" s="9"/>
      <c r="F11" s="9"/>
      <c r="G11" s="9"/>
    </row>
    <row r="12" spans="1:7" ht="12.75">
      <c r="A12" s="21">
        <v>1</v>
      </c>
      <c r="B12" s="21" t="s">
        <v>222</v>
      </c>
      <c r="C12" s="121"/>
      <c r="D12" s="9"/>
      <c r="E12" s="9"/>
      <c r="F12" s="9"/>
      <c r="G12" s="9"/>
    </row>
    <row r="13" spans="1:7" ht="12.75">
      <c r="A13" s="122"/>
      <c r="B13" s="23" t="s">
        <v>223</v>
      </c>
      <c r="C13" s="122"/>
      <c r="D13" s="9"/>
      <c r="E13" s="9"/>
      <c r="F13" s="9"/>
      <c r="G13" s="9"/>
    </row>
    <row r="14" spans="1:7" ht="12.75">
      <c r="A14" s="123"/>
      <c r="B14" s="22" t="s">
        <v>216</v>
      </c>
      <c r="C14" s="123"/>
      <c r="D14" s="9"/>
      <c r="E14" s="9"/>
      <c r="F14" s="9"/>
      <c r="G14" s="9"/>
    </row>
    <row r="15" spans="1:7" ht="12.75">
      <c r="A15" s="24">
        <v>2</v>
      </c>
      <c r="B15" s="124">
        <v>0.005</v>
      </c>
      <c r="C15" s="125">
        <v>0.5</v>
      </c>
      <c r="D15" s="9"/>
      <c r="E15" s="9"/>
      <c r="F15" s="9"/>
      <c r="G15" s="9"/>
    </row>
    <row r="16" spans="1:7" ht="12.75">
      <c r="A16" s="126" t="s">
        <v>217</v>
      </c>
      <c r="B16" s="124">
        <v>0.01</v>
      </c>
      <c r="C16" s="125">
        <v>1</v>
      </c>
      <c r="D16" s="9"/>
      <c r="E16" s="9"/>
      <c r="F16" s="9"/>
      <c r="G16" s="9"/>
    </row>
    <row r="17" spans="1:7" ht="12.75">
      <c r="A17" s="25" t="s">
        <v>218</v>
      </c>
      <c r="B17" s="127">
        <v>0.02</v>
      </c>
      <c r="C17" s="128">
        <v>2</v>
      </c>
      <c r="D17" s="9"/>
      <c r="E17" s="9"/>
      <c r="F17" s="9"/>
      <c r="G17" s="9"/>
    </row>
    <row r="18" spans="1:7" ht="12.75">
      <c r="A18" s="22"/>
      <c r="B18" s="129">
        <v>0.03</v>
      </c>
      <c r="C18" s="130"/>
      <c r="D18" s="9"/>
      <c r="E18" s="9"/>
      <c r="F18" s="9"/>
      <c r="G18" s="9"/>
    </row>
    <row r="19" spans="1:7" ht="12.75">
      <c r="A19" s="25" t="s">
        <v>219</v>
      </c>
      <c r="B19" s="127">
        <v>0.04</v>
      </c>
      <c r="C19" s="128">
        <v>3</v>
      </c>
      <c r="D19" s="9"/>
      <c r="E19" s="9"/>
      <c r="F19" s="9"/>
      <c r="G19" s="9"/>
    </row>
    <row r="20" spans="1:7" ht="12.75">
      <c r="A20" s="22"/>
      <c r="B20" s="129">
        <v>0.05</v>
      </c>
      <c r="C20" s="130"/>
      <c r="D20" s="9"/>
      <c r="E20" s="9"/>
      <c r="F20" s="9"/>
      <c r="G20" s="9"/>
    </row>
    <row r="21" spans="1:7" ht="12.75">
      <c r="A21" s="24" t="s">
        <v>221</v>
      </c>
      <c r="B21" s="24" t="s">
        <v>220</v>
      </c>
      <c r="C21" s="131"/>
      <c r="D21" s="9"/>
      <c r="E21" s="9"/>
      <c r="F21" s="9"/>
      <c r="G21" s="9"/>
    </row>
    <row r="22" spans="1:7" ht="12.75">
      <c r="A22" s="9"/>
      <c r="B22" s="9"/>
      <c r="C22" s="9"/>
      <c r="D22" s="9"/>
      <c r="E22" s="9"/>
      <c r="F22" s="9"/>
      <c r="G22" s="9"/>
    </row>
    <row r="23" spans="1:7" ht="12.75">
      <c r="A23" s="9"/>
      <c r="B23" s="9"/>
      <c r="C23" s="9"/>
      <c r="D23" s="9"/>
      <c r="E23" s="9"/>
      <c r="F23" s="9"/>
      <c r="G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  <row r="29" spans="1:7" ht="12.75">
      <c r="A29" s="9"/>
      <c r="B29" s="9"/>
      <c r="C29" s="9"/>
      <c r="D29" s="9"/>
      <c r="E29" s="9"/>
      <c r="F29" s="9"/>
      <c r="G29" s="9"/>
    </row>
  </sheetData>
  <mergeCells count="1">
    <mergeCell ref="B9:C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40">
      <selection activeCell="J36" sqref="J36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13.643200000000002</v>
      </c>
      <c r="D7" s="3" t="s">
        <v>2</v>
      </c>
      <c r="F7" s="2" t="s">
        <v>7</v>
      </c>
      <c r="H7" s="47">
        <v>150</v>
      </c>
      <c r="I7" s="37" t="s">
        <v>262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'Desmane s'!L11</f>
        <v>373</v>
      </c>
      <c r="I9" t="s">
        <v>271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4549</v>
      </c>
      <c r="I11" t="s">
        <v>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'Desmane s'!B44</f>
        <v>3</v>
      </c>
      <c r="K17" s="111">
        <f>I17/I18</f>
        <v>0.0079155672823219</v>
      </c>
      <c r="L17" s="37" t="s">
        <v>99</v>
      </c>
    </row>
    <row r="18" spans="4:9" ht="13.5" thickTop="1">
      <c r="D18" s="38" t="s">
        <v>189</v>
      </c>
      <c r="I18" s="102">
        <f>'Desmane s'!L24</f>
        <v>379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'Desmane s'!B50</f>
        <v>0</v>
      </c>
      <c r="K20" s="111">
        <f>I20/I21</f>
        <v>0</v>
      </c>
      <c r="L20" s="37" t="s">
        <v>99</v>
      </c>
    </row>
    <row r="21" spans="4:9" ht="13.5" thickTop="1">
      <c r="D21" s="38" t="s">
        <v>189</v>
      </c>
      <c r="I21" s="104">
        <f>I18</f>
        <v>379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'Desmane s'!B37</f>
        <v>2</v>
      </c>
      <c r="K23" s="111">
        <f>I23/I24</f>
        <v>0.005277044854881266</v>
      </c>
      <c r="L23" s="37" t="s">
        <v>99</v>
      </c>
    </row>
    <row r="24" spans="4:9" ht="13.5" thickTop="1">
      <c r="D24" s="38" t="s">
        <v>189</v>
      </c>
      <c r="I24" s="105">
        <f>I18</f>
        <v>379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'Desmane s'!B54</f>
        <v>2</v>
      </c>
      <c r="K26" s="111">
        <f>I26/I27</f>
        <v>0.005277044854881266</v>
      </c>
      <c r="L26" s="37" t="s">
        <v>99</v>
      </c>
    </row>
    <row r="27" spans="4:9" ht="13.5" thickTop="1">
      <c r="D27" s="38" t="s">
        <v>189</v>
      </c>
      <c r="I27" s="106">
        <f>I18</f>
        <v>379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'Desmane s'!L11*H11</f>
        <v>1696777</v>
      </c>
      <c r="K29" s="47">
        <f>I29/I30</f>
        <v>4476.984168865435</v>
      </c>
      <c r="L29" s="37" t="s">
        <v>2</v>
      </c>
    </row>
    <row r="30" spans="4:9" ht="13.5" thickTop="1">
      <c r="D30" s="38" t="s">
        <v>236</v>
      </c>
      <c r="I30" s="110">
        <f>I18</f>
        <v>379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'Pre-pesadas'!E10</f>
        <v>+ 0.08</v>
      </c>
      <c r="L35" s="58" t="str">
        <f>'Pre-pesadas'!H10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15.826112000000004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5193.301635883905</v>
      </c>
      <c r="E40">
        <f>D40/D41-1</f>
        <v>0.09382553674246386</v>
      </c>
      <c r="F40" t="s">
        <v>99</v>
      </c>
    </row>
    <row r="41" spans="3:4" ht="12.75">
      <c r="C41" s="3" t="s">
        <v>97</v>
      </c>
      <c r="D41" s="3">
        <f>((H7/2)*4)*E37</f>
        <v>4747.833600000001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0.0079155672823219</v>
      </c>
      <c r="C47" s="66">
        <f>K20</f>
        <v>0</v>
      </c>
      <c r="D47" s="3">
        <f>K23</f>
        <v>0.005277044854881266</v>
      </c>
      <c r="E47" s="3">
        <f>K26</f>
        <v>0.005277044854881266</v>
      </c>
      <c r="F47">
        <f>E40</f>
        <v>0.09382553674246386</v>
      </c>
    </row>
    <row r="49" spans="1:3" ht="12.75">
      <c r="A49" s="2" t="s">
        <v>52</v>
      </c>
      <c r="B49">
        <f>B47+C47+D47+E47+F47</f>
        <v>0.11229519373454828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15.826112000000004</v>
      </c>
      <c r="F54" s="66">
        <f>B49+1</f>
        <v>1.1122951937345482</v>
      </c>
    </row>
    <row r="56" spans="1:5" ht="12.75">
      <c r="A56" s="2" t="s">
        <v>104</v>
      </c>
      <c r="D56">
        <f>E54*F54</f>
        <v>17.603308313104662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2.626798651778207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698212" r:id="rId1"/>
    <oleObject progId="Equation.3" shapeId="69821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B1" sqref="B1:L3"/>
    </sheetView>
  </sheetViews>
  <sheetFormatPr defaultColWidth="9.140625" defaultRowHeight="12.75"/>
  <cols>
    <col min="1" max="1" width="25.57421875" style="0" bestFit="1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323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81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/>
      <c r="B5" s="10" t="s">
        <v>183</v>
      </c>
      <c r="C5" s="182">
        <v>9</v>
      </c>
      <c r="D5" s="9"/>
      <c r="E5" s="9"/>
      <c r="F5" s="9"/>
      <c r="G5" s="10" t="s">
        <v>235</v>
      </c>
      <c r="H5" s="183">
        <v>3412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237</v>
      </c>
      <c r="C7" s="15">
        <v>141</v>
      </c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.5" thickBot="1">
      <c r="A9" s="9"/>
      <c r="B9" s="9"/>
      <c r="C9" s="9"/>
      <c r="D9" s="9"/>
      <c r="E9" s="9"/>
      <c r="F9" s="10" t="s">
        <v>184</v>
      </c>
      <c r="G9" s="9"/>
      <c r="H9" s="9"/>
      <c r="I9" s="9"/>
      <c r="J9" s="9"/>
      <c r="K9" s="9"/>
      <c r="L9" s="9"/>
    </row>
    <row r="10" spans="1:12" ht="13.5" thickBot="1">
      <c r="A10" s="185" t="s">
        <v>59</v>
      </c>
      <c r="B10" s="186">
        <v>1</v>
      </c>
      <c r="C10" s="186">
        <v>2</v>
      </c>
      <c r="D10" s="186">
        <v>3</v>
      </c>
      <c r="E10" s="186">
        <v>4</v>
      </c>
      <c r="F10" s="186">
        <v>5</v>
      </c>
      <c r="G10" s="186">
        <v>6</v>
      </c>
      <c r="H10" s="186">
        <v>7</v>
      </c>
      <c r="I10" s="186">
        <v>8</v>
      </c>
      <c r="J10" s="186">
        <v>9</v>
      </c>
      <c r="K10" s="186">
        <v>10</v>
      </c>
      <c r="L10" s="187" t="s">
        <v>186</v>
      </c>
    </row>
    <row r="11" spans="1:17" ht="12.75">
      <c r="A11" s="188" t="s">
        <v>232</v>
      </c>
      <c r="B11" s="189">
        <v>371</v>
      </c>
      <c r="C11" s="190"/>
      <c r="D11" s="190"/>
      <c r="E11" s="190"/>
      <c r="F11" s="190"/>
      <c r="G11" s="190"/>
      <c r="H11" s="190"/>
      <c r="I11" s="191"/>
      <c r="J11" s="191"/>
      <c r="K11" s="192"/>
      <c r="L11" s="193">
        <f aca="true" t="shared" si="0" ref="L11:L23">SUM(B11:H11)</f>
        <v>371</v>
      </c>
      <c r="M11" s="93"/>
      <c r="N11" s="95"/>
      <c r="O11" s="93"/>
      <c r="P11" s="95"/>
      <c r="Q11" s="93"/>
    </row>
    <row r="12" spans="1:17" ht="12.75">
      <c r="A12" s="194" t="s">
        <v>174</v>
      </c>
      <c r="B12" s="195">
        <v>1</v>
      </c>
      <c r="C12" s="24"/>
      <c r="D12" s="24"/>
      <c r="E12" s="24"/>
      <c r="F12" s="24"/>
      <c r="G12" s="24"/>
      <c r="H12" s="24"/>
      <c r="I12" s="131"/>
      <c r="J12" s="131"/>
      <c r="K12" s="137"/>
      <c r="L12" s="196">
        <f t="shared" si="0"/>
        <v>1</v>
      </c>
      <c r="M12" s="3"/>
      <c r="N12" s="3"/>
      <c r="O12" s="3"/>
      <c r="P12" s="3"/>
      <c r="Q12" s="3"/>
    </row>
    <row r="13" spans="1:17" ht="12.75">
      <c r="A13" s="194" t="s">
        <v>175</v>
      </c>
      <c r="B13" s="195">
        <v>0</v>
      </c>
      <c r="C13" s="24"/>
      <c r="D13" s="24"/>
      <c r="E13" s="24"/>
      <c r="F13" s="24"/>
      <c r="G13" s="24"/>
      <c r="H13" s="24"/>
      <c r="I13" s="131"/>
      <c r="J13" s="131"/>
      <c r="K13" s="137"/>
      <c r="L13" s="196">
        <f t="shared" si="0"/>
        <v>0</v>
      </c>
      <c r="M13" s="3"/>
      <c r="N13" s="3"/>
      <c r="O13" s="3"/>
      <c r="P13" s="3"/>
      <c r="Q13" s="3"/>
    </row>
    <row r="14" spans="1:17" ht="12.75">
      <c r="A14" s="194" t="s">
        <v>176</v>
      </c>
      <c r="B14" s="195">
        <v>4</v>
      </c>
      <c r="C14" s="24"/>
      <c r="D14" s="24"/>
      <c r="E14" s="24"/>
      <c r="F14" s="24"/>
      <c r="G14" s="24"/>
      <c r="H14" s="24"/>
      <c r="I14" s="131"/>
      <c r="J14" s="131"/>
      <c r="K14" s="137"/>
      <c r="L14" s="197">
        <f t="shared" si="0"/>
        <v>4</v>
      </c>
      <c r="M14" s="3"/>
      <c r="N14" s="3"/>
      <c r="O14" s="3"/>
      <c r="P14" s="3"/>
      <c r="Q14" s="3"/>
    </row>
    <row r="15" spans="1:17" ht="12.75">
      <c r="A15" s="194" t="s">
        <v>177</v>
      </c>
      <c r="B15" s="195">
        <v>0</v>
      </c>
      <c r="C15" s="24"/>
      <c r="D15" s="24"/>
      <c r="E15" s="24"/>
      <c r="F15" s="24"/>
      <c r="G15" s="24"/>
      <c r="H15" s="24"/>
      <c r="I15" s="131"/>
      <c r="J15" s="131"/>
      <c r="K15" s="137"/>
      <c r="L15" s="197">
        <f t="shared" si="0"/>
        <v>0</v>
      </c>
      <c r="M15" s="3"/>
      <c r="N15" s="3"/>
      <c r="O15" s="3"/>
      <c r="P15" s="3"/>
      <c r="Q15" s="3"/>
    </row>
    <row r="16" spans="1:17" ht="12.75">
      <c r="A16" s="194" t="s">
        <v>181</v>
      </c>
      <c r="B16" s="195">
        <v>0</v>
      </c>
      <c r="C16" s="24"/>
      <c r="D16" s="24"/>
      <c r="E16" s="24"/>
      <c r="F16" s="24"/>
      <c r="G16" s="24"/>
      <c r="H16" s="24"/>
      <c r="I16" s="131"/>
      <c r="J16" s="131"/>
      <c r="K16" s="137"/>
      <c r="L16" s="197">
        <f t="shared" si="0"/>
        <v>0</v>
      </c>
      <c r="M16" s="3"/>
      <c r="N16" s="3"/>
      <c r="O16" s="3"/>
      <c r="P16" s="3"/>
      <c r="Q16" s="3"/>
    </row>
    <row r="17" spans="1:17" ht="12.75">
      <c r="A17" s="194" t="s">
        <v>178</v>
      </c>
      <c r="B17" s="195">
        <v>0</v>
      </c>
      <c r="C17" s="24"/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179</v>
      </c>
      <c r="B18" s="195">
        <v>1</v>
      </c>
      <c r="C18" s="24"/>
      <c r="D18" s="24"/>
      <c r="E18" s="24"/>
      <c r="F18" s="24"/>
      <c r="G18" s="24"/>
      <c r="H18" s="24"/>
      <c r="I18" s="131"/>
      <c r="J18" s="131"/>
      <c r="K18" s="137"/>
      <c r="L18" s="196">
        <f t="shared" si="0"/>
        <v>1</v>
      </c>
      <c r="M18" s="3"/>
      <c r="N18" s="3"/>
      <c r="O18" s="3"/>
      <c r="P18" s="3"/>
      <c r="Q18" s="3"/>
    </row>
    <row r="19" spans="1:17" ht="12.75">
      <c r="A19" s="194" t="s">
        <v>180</v>
      </c>
      <c r="B19" s="195">
        <v>1</v>
      </c>
      <c r="C19" s="24"/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1</v>
      </c>
      <c r="M19" s="3"/>
      <c r="N19" s="3"/>
      <c r="O19" s="3"/>
      <c r="P19" s="3"/>
      <c r="Q19" s="3"/>
    </row>
    <row r="20" spans="1:17" ht="12.75">
      <c r="A20" s="194" t="s">
        <v>194</v>
      </c>
      <c r="B20" s="195">
        <v>0</v>
      </c>
      <c r="C20" s="24"/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3"/>
      <c r="P20" s="3"/>
      <c r="Q20" s="3"/>
    </row>
    <row r="21" spans="1:17" ht="12.75">
      <c r="A21" s="198" t="s">
        <v>182</v>
      </c>
      <c r="B21" s="199">
        <v>0</v>
      </c>
      <c r="C21" s="21"/>
      <c r="D21" s="21"/>
      <c r="E21" s="21"/>
      <c r="F21" s="21"/>
      <c r="G21" s="21"/>
      <c r="H21" s="21"/>
      <c r="I21" s="121"/>
      <c r="J21" s="121"/>
      <c r="K21" s="200"/>
      <c r="L21" s="201">
        <f t="shared" si="0"/>
        <v>0</v>
      </c>
      <c r="M21" s="3"/>
      <c r="N21" s="3"/>
      <c r="O21" s="3"/>
      <c r="P21" s="3"/>
      <c r="Q21" s="3"/>
    </row>
    <row r="22" spans="1:17" ht="12.75">
      <c r="A22" s="198" t="s">
        <v>270</v>
      </c>
      <c r="B22" s="199">
        <v>1</v>
      </c>
      <c r="C22" s="21"/>
      <c r="D22" s="21"/>
      <c r="E22" s="21"/>
      <c r="F22" s="21"/>
      <c r="G22" s="21"/>
      <c r="H22" s="21"/>
      <c r="I22" s="121"/>
      <c r="J22" s="121"/>
      <c r="K22" s="200"/>
      <c r="L22" s="201">
        <f t="shared" si="0"/>
        <v>1</v>
      </c>
      <c r="M22" s="3"/>
      <c r="N22" s="3"/>
      <c r="O22" s="3"/>
      <c r="P22" s="3"/>
      <c r="Q22" s="3"/>
    </row>
    <row r="23" spans="1:17" ht="13.5" thickBot="1">
      <c r="A23" s="202" t="s">
        <v>202</v>
      </c>
      <c r="B23" s="203">
        <v>0</v>
      </c>
      <c r="C23" s="204"/>
      <c r="D23" s="204"/>
      <c r="E23" s="204"/>
      <c r="F23" s="204"/>
      <c r="G23" s="204"/>
      <c r="H23" s="204"/>
      <c r="I23" s="205"/>
      <c r="J23" s="205"/>
      <c r="K23" s="206"/>
      <c r="L23" s="207">
        <f t="shared" si="0"/>
        <v>0</v>
      </c>
      <c r="M23" s="3"/>
      <c r="N23" s="3"/>
      <c r="O23" s="3"/>
      <c r="P23" s="3"/>
      <c r="Q23" s="3"/>
    </row>
    <row r="24" spans="1:17" ht="13.5" thickBot="1">
      <c r="A24" s="208" t="s">
        <v>185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09">
        <f>SUM(L11:L23)</f>
        <v>379</v>
      </c>
      <c r="M24" s="3"/>
      <c r="N24" s="3"/>
      <c r="O24" s="3"/>
      <c r="P24" s="3"/>
      <c r="Q24" s="3"/>
    </row>
    <row r="25" spans="1:17" ht="12.75">
      <c r="A25" s="210"/>
      <c r="B25" s="9"/>
      <c r="C25" s="9"/>
      <c r="D25" s="9"/>
      <c r="E25" s="9"/>
      <c r="F25" s="9"/>
      <c r="G25" s="9"/>
      <c r="H25" s="9"/>
      <c r="I25" s="9"/>
      <c r="J25" s="9"/>
      <c r="K25" s="9"/>
      <c r="L25" s="14"/>
      <c r="M25" s="3"/>
      <c r="N25" s="3"/>
      <c r="O25" s="3"/>
      <c r="P25" s="3"/>
      <c r="Q25" s="3"/>
    </row>
    <row r="26" spans="1:12" ht="12.75">
      <c r="A26" s="2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10"/>
      <c r="B27" s="165" t="s">
        <v>188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11" t="s">
        <v>187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 thickBot="1">
      <c r="A29" s="210" t="s">
        <v>232</v>
      </c>
      <c r="B29" s="14">
        <f>L11</f>
        <v>371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3.5" thickBot="1">
      <c r="A30" s="210" t="s">
        <v>63</v>
      </c>
      <c r="B30" s="209">
        <f>SUM(B29)</f>
        <v>371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11" t="s">
        <v>164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10" t="s">
        <v>175</v>
      </c>
      <c r="B33" s="14">
        <f>L13</f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10" t="s">
        <v>178</v>
      </c>
      <c r="B34" s="14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210" t="s">
        <v>202</v>
      </c>
      <c r="B35" s="212">
        <f>L23</f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3.5" thickBot="1">
      <c r="A36" s="210" t="s">
        <v>270</v>
      </c>
      <c r="B36" s="212">
        <v>2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 thickBot="1">
      <c r="A37" s="210" t="s">
        <v>63</v>
      </c>
      <c r="B37" s="209">
        <f>SUM(B33:B36)</f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0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211" t="s">
        <v>162</v>
      </c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10" t="s">
        <v>174</v>
      </c>
      <c r="B40" s="14">
        <f>L12</f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 t="s">
        <v>179</v>
      </c>
      <c r="B41" s="14"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0" t="s">
        <v>180</v>
      </c>
      <c r="B42" s="14"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3.5" thickBot="1">
      <c r="A43" s="210" t="s">
        <v>194</v>
      </c>
      <c r="B43" s="14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3.5" thickBot="1">
      <c r="A44" s="210" t="s">
        <v>63</v>
      </c>
      <c r="B44" s="209">
        <f>SUM(B40:B43)</f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1" t="s">
        <v>163</v>
      </c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10" t="s">
        <v>177</v>
      </c>
      <c r="B47" s="212">
        <f>L15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10" t="s">
        <v>181</v>
      </c>
      <c r="B48" s="212">
        <f>L16</f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thickBot="1">
      <c r="A49" s="210" t="s">
        <v>182</v>
      </c>
      <c r="B49" s="212">
        <f>L21</f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3.5" thickBot="1">
      <c r="A50" s="210" t="s">
        <v>63</v>
      </c>
      <c r="B50" s="213">
        <f>SUM(B47:B49)</f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1" t="s">
        <v>165</v>
      </c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0" t="s">
        <v>176</v>
      </c>
      <c r="B53" s="212">
        <v>2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SUM(B53:B53)</f>
        <v>2</v>
      </c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A38">
      <selection activeCell="L37" sqref="L37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47">
        <v>10.2424</v>
      </c>
      <c r="D7" s="3" t="s">
        <v>2</v>
      </c>
      <c r="F7" s="2" t="s">
        <v>7</v>
      </c>
      <c r="H7" s="47">
        <v>140</v>
      </c>
      <c r="I7" s="37" t="s">
        <v>262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'Desmane i'!L11</f>
        <v>371</v>
      </c>
      <c r="I9" t="s">
        <v>271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3412</v>
      </c>
      <c r="I11" t="s">
        <v>2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'Desmane i'!B44</f>
        <v>3</v>
      </c>
      <c r="K17" s="111">
        <f>I17/I18</f>
        <v>0.0079155672823219</v>
      </c>
      <c r="L17" s="37" t="s">
        <v>99</v>
      </c>
    </row>
    <row r="18" spans="4:9" ht="13.5" thickTop="1">
      <c r="D18" s="38" t="s">
        <v>189</v>
      </c>
      <c r="I18" s="102">
        <f>'Desmane i'!L24</f>
        <v>379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'Desmane i'!B50</f>
        <v>0</v>
      </c>
      <c r="K20" s="111">
        <f>I20/I21</f>
        <v>0</v>
      </c>
      <c r="L20" s="37" t="s">
        <v>99</v>
      </c>
    </row>
    <row r="21" spans="4:9" ht="13.5" thickTop="1">
      <c r="D21" s="38" t="s">
        <v>189</v>
      </c>
      <c r="I21" s="104">
        <f>I18</f>
        <v>379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'Desmane i'!B37</f>
        <v>2</v>
      </c>
      <c r="K23" s="111">
        <f>I23/I24</f>
        <v>0.005277044854881266</v>
      </c>
      <c r="L23" s="37" t="s">
        <v>99</v>
      </c>
    </row>
    <row r="24" spans="4:9" ht="13.5" thickTop="1">
      <c r="D24" s="38" t="s">
        <v>189</v>
      </c>
      <c r="I24" s="105">
        <f>I18</f>
        <v>379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'Desmane i'!B54</f>
        <v>2</v>
      </c>
      <c r="K26" s="111">
        <f>I26/I27</f>
        <v>0.005277044854881266</v>
      </c>
      <c r="L26" s="37" t="s">
        <v>99</v>
      </c>
    </row>
    <row r="27" spans="4:9" ht="13.5" thickTop="1">
      <c r="D27" s="38" t="s">
        <v>189</v>
      </c>
      <c r="I27" s="106">
        <f>I18</f>
        <v>379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'Desmane i'!L11*H11</f>
        <v>1265852</v>
      </c>
      <c r="K29" s="47">
        <f>I29/I30</f>
        <v>3339.9788918205804</v>
      </c>
      <c r="L29" s="37" t="s">
        <v>2</v>
      </c>
    </row>
    <row r="30" spans="4:9" ht="13.5" thickTop="1">
      <c r="D30" s="38" t="s">
        <v>236</v>
      </c>
      <c r="I30" s="110">
        <f>I18</f>
        <v>379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'Pre-pesadas'!E11</f>
        <v>+ 0.08</v>
      </c>
      <c r="L35" s="58" t="str">
        <f>'Pre-pesadas'!H11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11.881184000000001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3874.375514511874</v>
      </c>
      <c r="E40">
        <f>D40/D41-1</f>
        <v>0.164619233989725</v>
      </c>
      <c r="F40" t="s">
        <v>99</v>
      </c>
    </row>
    <row r="41" spans="3:4" ht="12.75">
      <c r="C41" s="3" t="s">
        <v>97</v>
      </c>
      <c r="D41" s="3">
        <f>((H7/2)*4)*E37</f>
        <v>3326.7315200000003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0.0079155672823219</v>
      </c>
      <c r="C47" s="66">
        <f>K20</f>
        <v>0</v>
      </c>
      <c r="D47" s="3">
        <f>K23</f>
        <v>0.005277044854881266</v>
      </c>
      <c r="E47" s="3">
        <f>K26</f>
        <v>0.005277044854881266</v>
      </c>
      <c r="F47">
        <f>E40</f>
        <v>0.164619233989725</v>
      </c>
    </row>
    <row r="49" spans="1:3" ht="12.75">
      <c r="A49" s="2" t="s">
        <v>52</v>
      </c>
      <c r="B49">
        <f>B47+C47+D47+E47+F47</f>
        <v>0.18308889098180944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11.881184000000001</v>
      </c>
      <c r="F54" s="66">
        <f>B49+1</f>
        <v>1.1830888909818094</v>
      </c>
    </row>
    <row r="56" spans="1:5" ht="12.75">
      <c r="A56" s="2" t="s">
        <v>104</v>
      </c>
      <c r="D56">
        <f>E54*F54</f>
        <v>14.05649680211082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2.5514090708785404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1209402" r:id="rId1"/>
    <oleObject progId="Equation.3" shapeId="120940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1" sqref="B1:L3"/>
    </sheetView>
  </sheetViews>
  <sheetFormatPr defaultColWidth="9.140625" defaultRowHeight="12.75"/>
  <cols>
    <col min="1" max="1" width="27.00390625" style="0" customWidth="1"/>
    <col min="13" max="13" width="6.7109375" style="0" bestFit="1" customWidth="1"/>
    <col min="15" max="15" width="15.00390625" style="0" bestFit="1" customWidth="1"/>
    <col min="17" max="17" width="8.57421875" style="0" bestFit="1" customWidth="1"/>
  </cols>
  <sheetData>
    <row r="1" spans="1:12" ht="12.75">
      <c r="A1" s="9"/>
      <c r="B1" s="10" t="s">
        <v>318</v>
      </c>
      <c r="C1" s="12" t="s">
        <v>324</v>
      </c>
      <c r="D1" s="177"/>
      <c r="E1" s="178"/>
      <c r="F1" s="12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179" t="s">
        <v>156</v>
      </c>
      <c r="C3" s="12"/>
      <c r="D3" s="177"/>
      <c r="E3" s="178"/>
      <c r="F3" s="12"/>
      <c r="G3" s="9"/>
      <c r="H3" s="9"/>
      <c r="I3" s="180" t="s">
        <v>157</v>
      </c>
      <c r="J3" s="12"/>
      <c r="K3" s="12"/>
      <c r="L3" s="12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81"/>
      <c r="B5" s="10" t="s">
        <v>183</v>
      </c>
      <c r="C5" s="182">
        <v>9</v>
      </c>
      <c r="D5" s="9"/>
      <c r="E5" s="9"/>
      <c r="F5" s="9"/>
      <c r="G5" s="10" t="s">
        <v>235</v>
      </c>
      <c r="H5" s="183">
        <v>2921</v>
      </c>
      <c r="I5" s="9" t="s">
        <v>269</v>
      </c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184" t="s">
        <v>237</v>
      </c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184"/>
      <c r="C9" s="52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 thickBot="1">
      <c r="A11" s="9"/>
      <c r="B11" s="9"/>
      <c r="C11" s="9"/>
      <c r="D11" s="9"/>
      <c r="E11" s="9"/>
      <c r="F11" s="10" t="s">
        <v>184</v>
      </c>
      <c r="G11" s="9"/>
      <c r="H11" s="9"/>
      <c r="I11" s="9"/>
      <c r="J11" s="9"/>
      <c r="K11" s="9"/>
      <c r="L11" s="9"/>
    </row>
    <row r="12" spans="1:12" ht="13.5" thickBot="1">
      <c r="A12" s="185" t="s">
        <v>59</v>
      </c>
      <c r="B12" s="186">
        <v>1</v>
      </c>
      <c r="C12" s="186">
        <v>2</v>
      </c>
      <c r="D12" s="186">
        <v>3</v>
      </c>
      <c r="E12" s="186">
        <v>4</v>
      </c>
      <c r="F12" s="186">
        <v>5</v>
      </c>
      <c r="G12" s="186">
        <v>6</v>
      </c>
      <c r="H12" s="186">
        <v>7</v>
      </c>
      <c r="I12" s="186">
        <v>8</v>
      </c>
      <c r="J12" s="186">
        <v>9</v>
      </c>
      <c r="K12" s="186">
        <v>10</v>
      </c>
      <c r="L12" s="187" t="s">
        <v>186</v>
      </c>
    </row>
    <row r="13" spans="1:17" ht="12.75">
      <c r="A13" s="188" t="s">
        <v>229</v>
      </c>
      <c r="B13" s="189">
        <v>76</v>
      </c>
      <c r="C13" s="190">
        <v>75</v>
      </c>
      <c r="D13" s="190"/>
      <c r="E13" s="190"/>
      <c r="F13" s="190"/>
      <c r="G13" s="190"/>
      <c r="H13" s="190"/>
      <c r="I13" s="191"/>
      <c r="J13" s="191"/>
      <c r="K13" s="192"/>
      <c r="L13" s="193">
        <f aca="true" t="shared" si="0" ref="L13:L26">SUM(B13:H13)</f>
        <v>151</v>
      </c>
      <c r="M13" s="93"/>
      <c r="N13" s="95"/>
      <c r="O13" s="93"/>
      <c r="P13" s="95"/>
      <c r="Q13" s="93"/>
    </row>
    <row r="14" spans="1:17" ht="12.75">
      <c r="A14" s="214" t="s">
        <v>230</v>
      </c>
      <c r="B14" s="215">
        <v>76</v>
      </c>
      <c r="C14" s="22">
        <v>75</v>
      </c>
      <c r="D14" s="22"/>
      <c r="E14" s="22"/>
      <c r="F14" s="22"/>
      <c r="G14" s="22"/>
      <c r="H14" s="22"/>
      <c r="I14" s="123"/>
      <c r="J14" s="123"/>
      <c r="K14" s="216"/>
      <c r="L14" s="196">
        <f t="shared" si="0"/>
        <v>151</v>
      </c>
      <c r="M14" s="93"/>
      <c r="N14" s="95"/>
      <c r="O14" s="93"/>
      <c r="P14" s="95"/>
      <c r="Q14" s="93"/>
    </row>
    <row r="15" spans="1:17" ht="12.75">
      <c r="A15" s="214" t="s">
        <v>228</v>
      </c>
      <c r="B15" s="215">
        <v>4</v>
      </c>
      <c r="C15" s="22">
        <v>5</v>
      </c>
      <c r="D15" s="22"/>
      <c r="E15" s="22"/>
      <c r="F15" s="22"/>
      <c r="G15" s="22"/>
      <c r="H15" s="22"/>
      <c r="I15" s="123"/>
      <c r="J15" s="123"/>
      <c r="K15" s="216"/>
      <c r="L15" s="196">
        <f t="shared" si="0"/>
        <v>9</v>
      </c>
      <c r="M15" s="93"/>
      <c r="N15" s="95"/>
      <c r="O15" s="93"/>
      <c r="P15" s="95"/>
      <c r="Q15" s="93"/>
    </row>
    <row r="16" spans="1:17" ht="12.75">
      <c r="A16" s="194" t="s">
        <v>174</v>
      </c>
      <c r="B16" s="195">
        <v>1</v>
      </c>
      <c r="C16" s="24">
        <v>1</v>
      </c>
      <c r="D16" s="24"/>
      <c r="E16" s="24"/>
      <c r="F16" s="24"/>
      <c r="G16" s="24"/>
      <c r="H16" s="24"/>
      <c r="I16" s="131"/>
      <c r="J16" s="131"/>
      <c r="K16" s="137"/>
      <c r="L16" s="196">
        <f t="shared" si="0"/>
        <v>2</v>
      </c>
      <c r="M16" s="3"/>
      <c r="N16" s="3"/>
      <c r="O16" s="3"/>
      <c r="P16" s="3"/>
      <c r="Q16" s="3"/>
    </row>
    <row r="17" spans="1:17" ht="12.75">
      <c r="A17" s="194" t="s">
        <v>175</v>
      </c>
      <c r="B17" s="195">
        <v>0</v>
      </c>
      <c r="C17" s="24">
        <v>0</v>
      </c>
      <c r="D17" s="24"/>
      <c r="E17" s="24"/>
      <c r="F17" s="24"/>
      <c r="G17" s="24"/>
      <c r="H17" s="24"/>
      <c r="I17" s="131"/>
      <c r="J17" s="131"/>
      <c r="K17" s="137"/>
      <c r="L17" s="196">
        <f t="shared" si="0"/>
        <v>0</v>
      </c>
      <c r="M17" s="3"/>
      <c r="N17" s="3"/>
      <c r="O17" s="3"/>
      <c r="P17" s="3"/>
      <c r="Q17" s="3"/>
    </row>
    <row r="18" spans="1:17" ht="12.75">
      <c r="A18" s="194" t="s">
        <v>176</v>
      </c>
      <c r="B18" s="195">
        <v>0</v>
      </c>
      <c r="C18" s="24">
        <v>1</v>
      </c>
      <c r="D18" s="24"/>
      <c r="E18" s="24"/>
      <c r="F18" s="24"/>
      <c r="G18" s="24"/>
      <c r="H18" s="24"/>
      <c r="I18" s="131"/>
      <c r="J18" s="131"/>
      <c r="K18" s="137"/>
      <c r="L18" s="197">
        <f t="shared" si="0"/>
        <v>1</v>
      </c>
      <c r="M18" s="3"/>
      <c r="N18" s="3"/>
      <c r="O18" s="3"/>
      <c r="P18" s="3"/>
      <c r="Q18" s="3"/>
    </row>
    <row r="19" spans="1:17" ht="12.75">
      <c r="A19" s="194" t="s">
        <v>177</v>
      </c>
      <c r="B19" s="195">
        <v>0</v>
      </c>
      <c r="C19" s="24">
        <v>0</v>
      </c>
      <c r="D19" s="24"/>
      <c r="E19" s="24"/>
      <c r="F19" s="24"/>
      <c r="G19" s="24"/>
      <c r="H19" s="24"/>
      <c r="I19" s="131"/>
      <c r="J19" s="131"/>
      <c r="K19" s="137"/>
      <c r="L19" s="197">
        <f t="shared" si="0"/>
        <v>0</v>
      </c>
      <c r="M19" s="3"/>
      <c r="N19" s="3"/>
      <c r="O19" s="3"/>
      <c r="P19" s="3"/>
      <c r="Q19" s="3"/>
    </row>
    <row r="20" spans="1:17" ht="12.75">
      <c r="A20" s="194" t="s">
        <v>181</v>
      </c>
      <c r="B20" s="195">
        <v>0</v>
      </c>
      <c r="C20" s="24">
        <v>0</v>
      </c>
      <c r="D20" s="24"/>
      <c r="E20" s="24"/>
      <c r="F20" s="24"/>
      <c r="G20" s="24"/>
      <c r="H20" s="24"/>
      <c r="I20" s="131"/>
      <c r="J20" s="131"/>
      <c r="K20" s="137"/>
      <c r="L20" s="197">
        <f t="shared" si="0"/>
        <v>0</v>
      </c>
      <c r="M20" s="3"/>
      <c r="N20" s="3"/>
      <c r="O20" s="3"/>
      <c r="P20" s="3"/>
      <c r="Q20" s="3"/>
    </row>
    <row r="21" spans="1:17" ht="12.75">
      <c r="A21" s="194" t="s">
        <v>178</v>
      </c>
      <c r="B21" s="195">
        <v>0</v>
      </c>
      <c r="C21" s="24">
        <v>0</v>
      </c>
      <c r="D21" s="24"/>
      <c r="E21" s="24"/>
      <c r="F21" s="24"/>
      <c r="G21" s="24"/>
      <c r="H21" s="24"/>
      <c r="I21" s="131"/>
      <c r="J21" s="131"/>
      <c r="K21" s="137"/>
      <c r="L21" s="196">
        <f t="shared" si="0"/>
        <v>0</v>
      </c>
      <c r="M21" s="3"/>
      <c r="N21" s="3"/>
      <c r="O21" s="3"/>
      <c r="P21" s="3"/>
      <c r="Q21" s="3"/>
    </row>
    <row r="22" spans="1:17" ht="12.75">
      <c r="A22" s="194" t="s">
        <v>179</v>
      </c>
      <c r="B22" s="195">
        <v>1</v>
      </c>
      <c r="C22" s="24">
        <v>1</v>
      </c>
      <c r="D22" s="24"/>
      <c r="E22" s="24"/>
      <c r="F22" s="24"/>
      <c r="G22" s="24"/>
      <c r="H22" s="24"/>
      <c r="I22" s="131"/>
      <c r="J22" s="131"/>
      <c r="K22" s="137"/>
      <c r="L22" s="196">
        <f t="shared" si="0"/>
        <v>2</v>
      </c>
      <c r="M22" s="3"/>
      <c r="N22" s="3"/>
      <c r="O22" s="3"/>
      <c r="P22" s="3"/>
      <c r="Q22" s="3"/>
    </row>
    <row r="23" spans="1:17" ht="12.75">
      <c r="A23" s="194" t="s">
        <v>180</v>
      </c>
      <c r="B23" s="195">
        <v>0</v>
      </c>
      <c r="C23" s="24">
        <v>0</v>
      </c>
      <c r="D23" s="24"/>
      <c r="E23" s="24"/>
      <c r="F23" s="24"/>
      <c r="G23" s="24"/>
      <c r="H23" s="24"/>
      <c r="I23" s="131"/>
      <c r="J23" s="131"/>
      <c r="K23" s="137"/>
      <c r="L23" s="197">
        <f t="shared" si="0"/>
        <v>0</v>
      </c>
      <c r="M23" s="3"/>
      <c r="N23" s="3"/>
      <c r="O23" s="3"/>
      <c r="P23" s="3"/>
      <c r="Q23" s="3"/>
    </row>
    <row r="24" spans="1:17" ht="12.75">
      <c r="A24" s="194" t="s">
        <v>194</v>
      </c>
      <c r="B24" s="195">
        <v>0</v>
      </c>
      <c r="C24" s="24">
        <v>0</v>
      </c>
      <c r="D24" s="24"/>
      <c r="E24" s="24"/>
      <c r="F24" s="24"/>
      <c r="G24" s="24"/>
      <c r="H24" s="24"/>
      <c r="I24" s="131"/>
      <c r="J24" s="131"/>
      <c r="K24" s="137"/>
      <c r="L24" s="197">
        <f t="shared" si="0"/>
        <v>0</v>
      </c>
      <c r="M24" s="3"/>
      <c r="N24" s="3"/>
      <c r="O24" s="3"/>
      <c r="P24" s="3"/>
      <c r="Q24" s="3"/>
    </row>
    <row r="25" spans="1:17" ht="12.75">
      <c r="A25" s="217" t="s">
        <v>231</v>
      </c>
      <c r="B25" s="199">
        <v>4</v>
      </c>
      <c r="C25" s="21">
        <v>5</v>
      </c>
      <c r="D25" s="21"/>
      <c r="E25" s="21"/>
      <c r="F25" s="21"/>
      <c r="G25" s="21"/>
      <c r="H25" s="21"/>
      <c r="I25" s="121"/>
      <c r="J25" s="121"/>
      <c r="K25" s="200"/>
      <c r="L25" s="201">
        <f t="shared" si="0"/>
        <v>9</v>
      </c>
      <c r="M25" s="3"/>
      <c r="N25" s="3"/>
      <c r="O25" s="3"/>
      <c r="P25" s="3"/>
      <c r="Q25" s="3"/>
    </row>
    <row r="26" spans="1:17" ht="13.5" thickBot="1">
      <c r="A26" s="202" t="s">
        <v>202</v>
      </c>
      <c r="B26" s="203">
        <v>0</v>
      </c>
      <c r="C26" s="204">
        <v>0</v>
      </c>
      <c r="D26" s="204"/>
      <c r="E26" s="204"/>
      <c r="F26" s="204"/>
      <c r="G26" s="204"/>
      <c r="H26" s="204"/>
      <c r="I26" s="205"/>
      <c r="J26" s="205"/>
      <c r="K26" s="206"/>
      <c r="L26" s="207">
        <f t="shared" si="0"/>
        <v>0</v>
      </c>
      <c r="M26" s="3"/>
      <c r="N26" s="3"/>
      <c r="O26" s="3"/>
      <c r="P26" s="3"/>
      <c r="Q26" s="3"/>
    </row>
    <row r="27" spans="1:17" ht="13.5" thickBot="1">
      <c r="A27" s="208" t="s">
        <v>185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9">
        <f>SUM(L13:L26)</f>
        <v>325</v>
      </c>
      <c r="M27" s="3"/>
      <c r="N27" s="3"/>
      <c r="O27" s="3"/>
      <c r="P27" s="3"/>
      <c r="Q27" s="3"/>
    </row>
    <row r="28" spans="1:17" ht="12.75">
      <c r="A28" s="210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3"/>
      <c r="N28" s="3"/>
      <c r="O28" s="3"/>
      <c r="P28" s="3"/>
      <c r="Q28" s="3"/>
    </row>
    <row r="29" spans="1:12" ht="12.75">
      <c r="A29" s="2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10"/>
      <c r="B30" s="165" t="s">
        <v>188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11" t="s">
        <v>187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10" t="s">
        <v>229</v>
      </c>
      <c r="B32" s="14">
        <f>L13</f>
        <v>151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10" t="s">
        <v>230</v>
      </c>
      <c r="B33" s="14">
        <f>L14</f>
        <v>151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210" t="s">
        <v>63</v>
      </c>
      <c r="B34" s="209">
        <f>SUM(B32,B33)</f>
        <v>302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211" t="s">
        <v>164</v>
      </c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210" t="s">
        <v>175</v>
      </c>
      <c r="B37" s="14">
        <f>L17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0" t="s">
        <v>178</v>
      </c>
      <c r="B38" s="14"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 thickBot="1">
      <c r="A39" s="210" t="s">
        <v>202</v>
      </c>
      <c r="B39" s="212">
        <f>L26</f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 thickBot="1">
      <c r="A40" s="210" t="s">
        <v>63</v>
      </c>
      <c r="B40" s="209">
        <f>SUM(B37:B39)</f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10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211" t="s">
        <v>162</v>
      </c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210" t="s">
        <v>174</v>
      </c>
      <c r="B43" s="14">
        <f>L16</f>
        <v>2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210" t="s">
        <v>228</v>
      </c>
      <c r="B44" s="14">
        <f>L15</f>
        <v>9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10" t="s">
        <v>179</v>
      </c>
      <c r="B45" s="14">
        <f>L22</f>
        <v>2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10" t="s">
        <v>180</v>
      </c>
      <c r="B46" s="212">
        <f>L23</f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thickBot="1">
      <c r="A47" s="210" t="s">
        <v>194</v>
      </c>
      <c r="B47" s="212">
        <f>L24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thickBot="1">
      <c r="A48" s="210" t="s">
        <v>63</v>
      </c>
      <c r="B48" s="209">
        <f>SUM(B43:B47)</f>
        <v>13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211" t="s">
        <v>163</v>
      </c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210" t="s">
        <v>177</v>
      </c>
      <c r="B51" s="212">
        <f>L19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210" t="s">
        <v>181</v>
      </c>
      <c r="B52" s="212">
        <f>L20</f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3.5" thickBot="1">
      <c r="A53" s="218" t="s">
        <v>231</v>
      </c>
      <c r="B53" s="212">
        <f>L25</f>
        <v>9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thickBot="1">
      <c r="A54" s="210" t="s">
        <v>63</v>
      </c>
      <c r="B54" s="213">
        <f>SUM(B51:B53)</f>
        <v>9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211" t="s">
        <v>165</v>
      </c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3.5" thickBot="1">
      <c r="A57" s="210" t="s">
        <v>176</v>
      </c>
      <c r="B57" s="212">
        <f>L18</f>
        <v>1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3.5" thickBot="1">
      <c r="A58" s="210" t="s">
        <v>63</v>
      </c>
      <c r="B58" s="213">
        <f>SUM(B57:B57)</f>
        <v>1</v>
      </c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74"/>
  <sheetViews>
    <sheetView zoomScale="200" zoomScaleNormal="200" workbookViewId="0" topLeftCell="B41">
      <selection activeCell="J36" sqref="J36"/>
    </sheetView>
  </sheetViews>
  <sheetFormatPr defaultColWidth="9.140625" defaultRowHeight="12.75"/>
  <cols>
    <col min="8" max="8" width="9.7109375" style="0" customWidth="1"/>
    <col min="9" max="9" width="9.8515625" style="0" customWidth="1"/>
  </cols>
  <sheetData>
    <row r="3" ht="12.75">
      <c r="A3" s="4" t="s">
        <v>5</v>
      </c>
    </row>
    <row r="6" ht="13.5" thickBot="1">
      <c r="A6" s="2" t="s">
        <v>0</v>
      </c>
    </row>
    <row r="7" spans="1:9" ht="13.5" thickBot="1">
      <c r="A7" s="2" t="s">
        <v>1</v>
      </c>
      <c r="B7" t="s">
        <v>3</v>
      </c>
      <c r="C7" s="133">
        <v>10.814</v>
      </c>
      <c r="D7" s="3" t="s">
        <v>2</v>
      </c>
      <c r="F7" s="2" t="s">
        <v>7</v>
      </c>
      <c r="H7" s="47">
        <v>125</v>
      </c>
      <c r="I7" s="37" t="s">
        <v>262</v>
      </c>
    </row>
    <row r="8" ht="13.5" thickBot="1">
      <c r="A8" s="2" t="s">
        <v>6</v>
      </c>
    </row>
    <row r="9" spans="1:9" ht="13.5" thickBot="1">
      <c r="A9" s="2"/>
      <c r="F9" s="72" t="s">
        <v>113</v>
      </c>
      <c r="G9" s="71" t="s">
        <v>112</v>
      </c>
      <c r="H9" s="47">
        <f>SUM('Gajeo Clusters p'!L13:L14)</f>
        <v>302</v>
      </c>
      <c r="I9" t="s">
        <v>271</v>
      </c>
    </row>
    <row r="10" ht="13.5" thickBot="1">
      <c r="A10" s="2" t="s">
        <v>9</v>
      </c>
    </row>
    <row r="11" spans="1:9" ht="12" customHeight="1" thickBot="1">
      <c r="A11" s="2" t="s">
        <v>8</v>
      </c>
      <c r="B11" s="5" t="s">
        <v>11</v>
      </c>
      <c r="C11" s="1"/>
      <c r="D11" s="3" t="s">
        <v>2</v>
      </c>
      <c r="E11" s="73" t="s">
        <v>114</v>
      </c>
      <c r="H11" s="47">
        <v>2921</v>
      </c>
      <c r="I11" t="s">
        <v>269</v>
      </c>
    </row>
    <row r="12" ht="12.75">
      <c r="A12" s="2" t="s">
        <v>10</v>
      </c>
    </row>
    <row r="15" ht="12.75">
      <c r="A15" s="4" t="s">
        <v>101</v>
      </c>
    </row>
    <row r="16" ht="13.5" thickBot="1"/>
    <row r="17" spans="1:12" ht="13.5" thickBot="1">
      <c r="A17" s="2" t="s">
        <v>75</v>
      </c>
      <c r="D17" s="32" t="s">
        <v>83</v>
      </c>
      <c r="E17" s="31"/>
      <c r="F17" s="31"/>
      <c r="G17" s="31"/>
      <c r="H17" s="35"/>
      <c r="I17" s="101">
        <f>'Gajeo Clusters p'!B48</f>
        <v>13</v>
      </c>
      <c r="K17" s="111">
        <f>I17/I18</f>
        <v>0.04</v>
      </c>
      <c r="L17" s="37" t="s">
        <v>99</v>
      </c>
    </row>
    <row r="18" spans="4:9" ht="13.5" thickTop="1">
      <c r="D18" s="38" t="s">
        <v>189</v>
      </c>
      <c r="I18" s="102">
        <f>'Gajeo Clusters p'!L27</f>
        <v>325</v>
      </c>
    </row>
    <row r="19" ht="13.5" thickBot="1"/>
    <row r="20" spans="1:12" ht="13.5" thickBot="1">
      <c r="A20" s="2" t="s">
        <v>76</v>
      </c>
      <c r="D20" s="32" t="s">
        <v>84</v>
      </c>
      <c r="E20" s="31"/>
      <c r="F20" s="31"/>
      <c r="G20" s="31"/>
      <c r="I20" s="103">
        <f>'Gajeo Clusters p'!B54</f>
        <v>9</v>
      </c>
      <c r="K20" s="111">
        <f>I20/I21</f>
        <v>0.027692307692307693</v>
      </c>
      <c r="L20" s="37" t="s">
        <v>99</v>
      </c>
    </row>
    <row r="21" spans="4:9" ht="13.5" thickTop="1">
      <c r="D21" s="38" t="s">
        <v>189</v>
      </c>
      <c r="I21" s="104">
        <f>I18</f>
        <v>325</v>
      </c>
    </row>
    <row r="22" ht="13.5" thickBot="1"/>
    <row r="23" spans="1:12" ht="13.5" thickBot="1">
      <c r="A23" s="2" t="s">
        <v>77</v>
      </c>
      <c r="D23" s="32" t="s">
        <v>85</v>
      </c>
      <c r="E23" s="31"/>
      <c r="F23" s="31"/>
      <c r="G23" s="31"/>
      <c r="I23" s="107">
        <f>'Gajeo Clusters p'!B40</f>
        <v>0</v>
      </c>
      <c r="K23" s="111">
        <f>I23/I24</f>
        <v>0</v>
      </c>
      <c r="L23" s="37" t="s">
        <v>99</v>
      </c>
    </row>
    <row r="24" spans="4:9" ht="13.5" thickTop="1">
      <c r="D24" s="38" t="s">
        <v>189</v>
      </c>
      <c r="I24" s="105">
        <f>I18</f>
        <v>325</v>
      </c>
    </row>
    <row r="25" ht="13.5" thickBot="1"/>
    <row r="26" spans="1:12" ht="13.5" thickBot="1">
      <c r="A26" s="2" t="s">
        <v>78</v>
      </c>
      <c r="D26" s="32" t="s">
        <v>86</v>
      </c>
      <c r="E26" s="31"/>
      <c r="F26" s="31"/>
      <c r="G26" s="31"/>
      <c r="I26" s="108">
        <f>'Gajeo Clusters p'!B58</f>
        <v>1</v>
      </c>
      <c r="K26" s="111">
        <f>I26/I27</f>
        <v>0.003076923076923077</v>
      </c>
      <c r="L26" s="37" t="s">
        <v>99</v>
      </c>
    </row>
    <row r="27" spans="4:9" ht="13.5" thickTop="1">
      <c r="D27" s="38" t="s">
        <v>189</v>
      </c>
      <c r="I27" s="106">
        <f>I18</f>
        <v>325</v>
      </c>
    </row>
    <row r="28" spans="4:9" ht="13.5" thickBot="1">
      <c r="D28" s="38"/>
      <c r="I28" s="59"/>
    </row>
    <row r="29" spans="1:12" ht="13.5" thickBot="1">
      <c r="A29" s="2" t="s">
        <v>95</v>
      </c>
      <c r="D29" s="32" t="s">
        <v>90</v>
      </c>
      <c r="E29" s="31"/>
      <c r="F29" s="31"/>
      <c r="G29" s="63" t="s">
        <v>92</v>
      </c>
      <c r="I29" s="109">
        <f>SUM('Gajeo Clusters p'!L13:L15)*H11</f>
        <v>908431</v>
      </c>
      <c r="K29" s="47">
        <f>I29/I30</f>
        <v>2795.1723076923076</v>
      </c>
      <c r="L29" s="37" t="s">
        <v>2</v>
      </c>
    </row>
    <row r="30" spans="4:9" ht="13.5" thickTop="1">
      <c r="D30" s="38" t="s">
        <v>91</v>
      </c>
      <c r="I30" s="110">
        <f>I18</f>
        <v>325</v>
      </c>
    </row>
    <row r="33" spans="1:4" ht="13.5" thickBot="1">
      <c r="A33" s="4" t="s">
        <v>102</v>
      </c>
      <c r="B33" s="33"/>
      <c r="C33" s="33"/>
      <c r="D33" s="33"/>
    </row>
    <row r="34" spans="9:12" ht="13.5" thickBot="1">
      <c r="I34" s="48"/>
      <c r="J34" s="49"/>
      <c r="K34" s="49"/>
      <c r="L34" s="50"/>
    </row>
    <row r="35" spans="1:14" ht="13.5" thickBot="1">
      <c r="A35" s="35" t="s">
        <v>79</v>
      </c>
      <c r="B35" t="s">
        <v>80</v>
      </c>
      <c r="D35" s="36" t="s">
        <v>81</v>
      </c>
      <c r="I35" s="51" t="s">
        <v>79</v>
      </c>
      <c r="J35" s="52">
        <v>1</v>
      </c>
      <c r="K35" s="57" t="str">
        <f>'Pre-pesadas'!E12</f>
        <v>+ 0.08</v>
      </c>
      <c r="L35" s="58" t="str">
        <f>'Pre-pesadas'!H12</f>
        <v>+ 0.08</v>
      </c>
      <c r="N35" s="56">
        <f>J35+K35+L35</f>
        <v>1.1600000000000001</v>
      </c>
    </row>
    <row r="36" spans="1:12" ht="13.5" thickBot="1">
      <c r="A36" s="35"/>
      <c r="I36" s="53"/>
      <c r="J36" s="54"/>
      <c r="K36" s="54"/>
      <c r="L36" s="55"/>
    </row>
    <row r="37" spans="1:6" ht="12.75">
      <c r="A37" s="34" t="s">
        <v>98</v>
      </c>
      <c r="D37" s="37" t="s">
        <v>82</v>
      </c>
      <c r="E37" s="7">
        <f>C7*N35</f>
        <v>12.544240000000002</v>
      </c>
      <c r="F37" t="s">
        <v>2</v>
      </c>
    </row>
    <row r="40" spans="2:6" ht="12.75">
      <c r="B40" s="65" t="s">
        <v>94</v>
      </c>
      <c r="C40" s="64" t="s">
        <v>96</v>
      </c>
      <c r="D40" s="66">
        <f>K29*N35</f>
        <v>3242.399876923077</v>
      </c>
      <c r="E40">
        <f>D40/D41-1</f>
        <v>0.03390875076467825</v>
      </c>
      <c r="F40" t="s">
        <v>99</v>
      </c>
    </row>
    <row r="41" spans="3:4" ht="12.75">
      <c r="C41" s="3" t="s">
        <v>97</v>
      </c>
      <c r="D41" s="3">
        <f>(H7*2)*E37</f>
        <v>3136.0600000000004</v>
      </c>
    </row>
    <row r="43" spans="1:8" ht="12.75">
      <c r="A43" s="68" t="s">
        <v>100</v>
      </c>
      <c r="B43" s="67"/>
      <c r="C43" s="62"/>
      <c r="D43" s="62"/>
      <c r="E43" s="62"/>
      <c r="F43" s="62"/>
      <c r="G43" s="62"/>
      <c r="H43" s="62"/>
    </row>
    <row r="45" spans="1:2" ht="12.75">
      <c r="A45" s="2" t="s">
        <v>52</v>
      </c>
      <c r="B45" s="6" t="s">
        <v>53</v>
      </c>
    </row>
    <row r="47" spans="1:6" ht="12.75">
      <c r="A47" s="2" t="s">
        <v>52</v>
      </c>
      <c r="B47" s="3">
        <f>K17</f>
        <v>0.04</v>
      </c>
      <c r="C47" s="66">
        <f>K20</f>
        <v>0.027692307692307693</v>
      </c>
      <c r="D47" s="3">
        <f>K23</f>
        <v>0</v>
      </c>
      <c r="E47" s="3">
        <f>K26</f>
        <v>0.003076923076923077</v>
      </c>
      <c r="F47">
        <f>E40</f>
        <v>0.03390875076467825</v>
      </c>
    </row>
    <row r="49" spans="1:3" ht="12.75">
      <c r="A49" s="2" t="s">
        <v>52</v>
      </c>
      <c r="B49">
        <f>B47+C47+D47+E47+F47</f>
        <v>0.10467798153390902</v>
      </c>
      <c r="C49" t="s">
        <v>93</v>
      </c>
    </row>
    <row r="52" ht="12.75">
      <c r="A52" s="68" t="s">
        <v>103</v>
      </c>
    </row>
    <row r="54" spans="1:6" ht="12.75">
      <c r="A54" s="2" t="s">
        <v>104</v>
      </c>
      <c r="D54" t="s">
        <v>105</v>
      </c>
      <c r="E54" s="69">
        <f>E37</f>
        <v>12.544240000000002</v>
      </c>
      <c r="F54" s="66">
        <f>B49+1</f>
        <v>1.104677981533909</v>
      </c>
    </row>
    <row r="56" spans="1:5" ht="12.75">
      <c r="A56" s="2" t="s">
        <v>104</v>
      </c>
      <c r="D56">
        <f>E54*F54</f>
        <v>13.857345723076925</v>
      </c>
      <c r="E56" t="s">
        <v>2</v>
      </c>
    </row>
    <row r="58" ht="12.75">
      <c r="A58" s="68" t="s">
        <v>106</v>
      </c>
    </row>
    <row r="60" spans="1:3" ht="12.75">
      <c r="A60" s="3" t="s">
        <v>108</v>
      </c>
      <c r="B60" s="70" t="s">
        <v>109</v>
      </c>
      <c r="C60" s="66"/>
    </row>
    <row r="61" ht="12.75">
      <c r="B61" s="3" t="s">
        <v>110</v>
      </c>
    </row>
    <row r="63" spans="1:3" ht="12.75">
      <c r="A63" s="3" t="s">
        <v>108</v>
      </c>
      <c r="B63">
        <f>80*SQRT(H7)/H9</f>
        <v>2.9616794403970723</v>
      </c>
      <c r="C63" t="s">
        <v>88</v>
      </c>
    </row>
    <row r="65" ht="12.75">
      <c r="A65" s="68" t="s">
        <v>107</v>
      </c>
    </row>
    <row r="67" spans="1:5" ht="12.75">
      <c r="A67" t="s">
        <v>117</v>
      </c>
      <c r="B67" s="31" t="s">
        <v>119</v>
      </c>
      <c r="C67" s="31"/>
      <c r="D67" s="31"/>
      <c r="E67" s="31"/>
    </row>
    <row r="68" ht="12.75">
      <c r="C68">
        <v>8</v>
      </c>
    </row>
    <row r="70" spans="1:3" ht="12.75">
      <c r="A70" t="s">
        <v>118</v>
      </c>
      <c r="B70" s="31" t="s">
        <v>120</v>
      </c>
      <c r="C70" s="31"/>
    </row>
    <row r="71" ht="12.75">
      <c r="B71">
        <v>4</v>
      </c>
    </row>
    <row r="73" spans="1:5" ht="12.75">
      <c r="A73" s="2" t="s">
        <v>121</v>
      </c>
      <c r="D73" s="74" t="s">
        <v>115</v>
      </c>
      <c r="E73" s="6"/>
    </row>
    <row r="74" ht="12.75">
      <c r="D74" s="75" t="s">
        <v>116</v>
      </c>
    </row>
  </sheetData>
  <printOptions/>
  <pageMargins left="0.75" right="0.75" top="1" bottom="1" header="0.5" footer="0.5"/>
  <pageSetup horizontalDpi="200" verticalDpi="200" orientation="portrait" r:id="rId5"/>
  <drawing r:id="rId4"/>
  <legacyDrawing r:id="rId3"/>
  <oleObjects>
    <oleObject progId="Equation.3" shapeId="728333" r:id="rId1"/>
    <oleObject progId="Equation.3" shapeId="7283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CPilligua</cp:lastModifiedBy>
  <cp:lastPrinted>2006-07-25T21:29:29Z</cp:lastPrinted>
  <dcterms:created xsi:type="dcterms:W3CDTF">1996-10-14T23:33:28Z</dcterms:created>
  <dcterms:modified xsi:type="dcterms:W3CDTF">2007-09-04T14:14:01Z</dcterms:modified>
  <cp:category/>
  <cp:version/>
  <cp:contentType/>
  <cp:contentStatus/>
</cp:coreProperties>
</file>