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3995" windowHeight="8955" firstSheet="10" activeTab="15"/>
  </bookViews>
  <sheets>
    <sheet name="PROYECCION CLIENTES" sheetId="1" r:id="rId1"/>
    <sheet name="PRECIO DEL PRODUCTO" sheetId="2" r:id="rId2"/>
    <sheet name="META DE VENTAS" sheetId="3" r:id="rId3"/>
    <sheet name="MERCADO OBJETIVO" sheetId="4" r:id="rId4"/>
    <sheet name="PRESUPUESTO DE GASTOS" sheetId="5" r:id="rId5"/>
    <sheet name="COSTOS OPERATIVOS" sheetId="6" r:id="rId6"/>
    <sheet name="PRESUPUESTO INGRESO" sheetId="7" r:id="rId7"/>
    <sheet name="PRESUPUESTO COSTO" sheetId="8" r:id="rId8"/>
    <sheet name="FLUJO DE CAJA" sheetId="9" r:id="rId9"/>
    <sheet name="ACTIVOS FIJOS" sheetId="10" r:id="rId10"/>
    <sheet name="DEPRECIACION" sheetId="11" r:id="rId11"/>
    <sheet name="PERSONAL" sheetId="12" r:id="rId12"/>
    <sheet name="BALANCE" sheetId="13" r:id="rId13"/>
    <sheet name="E.RESULTADO" sheetId="14" r:id="rId14"/>
    <sheet name="REVALORIZACION PATRIMONIO" sheetId="15" r:id="rId15"/>
    <sheet name="NETO" sheetId="16" r:id="rId16"/>
  </sheets>
  <definedNames>
    <definedName name="_xlnm.Print_Area" localSheetId="2">'META DE VENTAS'!$A$1:$Q$15</definedName>
    <definedName name="_xlnm.Print_Area" localSheetId="7">'PRESUPUESTO COSTO'!$A$1:$P$32</definedName>
  </definedNames>
  <calcPr fullCalcOnLoad="1"/>
</workbook>
</file>

<file path=xl/sharedStrings.xml><?xml version="1.0" encoding="utf-8"?>
<sst xmlns="http://schemas.openxmlformats.org/spreadsheetml/2006/main" count="427" uniqueCount="320">
  <si>
    <t>cuadro # 1</t>
  </si>
  <si>
    <t>Producto:</t>
  </si>
  <si>
    <t>Servicios:</t>
  </si>
  <si>
    <t>% mercado</t>
  </si>
  <si>
    <t xml:space="preserve">Mercado </t>
  </si>
  <si>
    <t>potencial</t>
  </si>
  <si>
    <t>Proyeccion  de  clientes en el primer ano</t>
  </si>
  <si>
    <t>Precios del producto  y   servicio</t>
  </si>
  <si>
    <t>P/S</t>
  </si>
  <si>
    <t>Precio</t>
  </si>
  <si>
    <t>cuadro  #  3</t>
  </si>
  <si>
    <t>Proyeccion  de   ventas</t>
  </si>
  <si>
    <t>Ano1</t>
  </si>
  <si>
    <t>Ano2</t>
  </si>
  <si>
    <t>Ano3</t>
  </si>
  <si>
    <t>Descripcion</t>
  </si>
  <si>
    <t>Presupuesto  de  ingresos</t>
  </si>
  <si>
    <t xml:space="preserve">       precio unitario</t>
  </si>
  <si>
    <t xml:space="preserve">       venta total</t>
  </si>
  <si>
    <t xml:space="preserve">        precio unitario</t>
  </si>
  <si>
    <t xml:space="preserve">        venta total</t>
  </si>
  <si>
    <t>ventas brutas</t>
  </si>
  <si>
    <t>12% IVA</t>
  </si>
  <si>
    <t>1% RF</t>
  </si>
  <si>
    <t>Ventas netas</t>
  </si>
  <si>
    <t>cuadro  #  4</t>
  </si>
  <si>
    <t>Presupuesto de inversion  en activos  fijos</t>
  </si>
  <si>
    <t>Equipos</t>
  </si>
  <si>
    <t>Muebles y enseres</t>
  </si>
  <si>
    <t>Inversion amortizable</t>
  </si>
  <si>
    <t>cantidad</t>
  </si>
  <si>
    <t>P. unitario</t>
  </si>
  <si>
    <t>Total</t>
  </si>
  <si>
    <t>cuadro   #  6</t>
  </si>
  <si>
    <t>cuadro  #   9</t>
  </si>
  <si>
    <t>Presupuesto gastos de personal</t>
  </si>
  <si>
    <t>Secretaria</t>
  </si>
  <si>
    <t>13 sueldo</t>
  </si>
  <si>
    <t>14 sueldo</t>
  </si>
  <si>
    <t>NOTAS</t>
  </si>
  <si>
    <t>en el IESS junto con el 9.35% que se descuenta del sueldo del empledo.</t>
  </si>
  <si>
    <r>
      <t>Aporte patronal:</t>
    </r>
    <r>
      <rPr>
        <sz val="10"/>
        <rFont val="Arial"/>
        <family val="0"/>
      </rPr>
      <t xml:space="preserve"> Consiste en el aporte del 11.15% (del sueldo basico del empleado) que realiza la empresa para depositar</t>
    </r>
  </si>
  <si>
    <t>13vo.sueldo</t>
  </si>
  <si>
    <t>14vo.sueldo</t>
  </si>
  <si>
    <t>4.-</t>
  </si>
  <si>
    <t>1.-</t>
  </si>
  <si>
    <t>2.-</t>
  </si>
  <si>
    <t>3.-</t>
  </si>
  <si>
    <t>(9dic.)</t>
  </si>
  <si>
    <t>(abril)</t>
  </si>
  <si>
    <t>Ap.patronal</t>
  </si>
  <si>
    <t>Fondo R.</t>
  </si>
  <si>
    <t xml:space="preserve">Total </t>
  </si>
  <si>
    <t>1er ano</t>
  </si>
  <si>
    <t>por el periodo comprendido desde el 1 de julio del ano anterior hasta el 30 de junio del ano a pagarse.</t>
  </si>
  <si>
    <r>
      <t>Fondo de reserva</t>
    </r>
    <r>
      <rPr>
        <sz val="10"/>
        <rFont val="Arial"/>
        <family val="0"/>
      </rPr>
      <t xml:space="preserve">: La empresa esta obligada a depositar los FR de los empleados hasta el 30 de septiembre de cada ano </t>
    </r>
  </si>
  <si>
    <t>2do ano</t>
  </si>
  <si>
    <t>3er ano</t>
  </si>
  <si>
    <t>C</t>
  </si>
  <si>
    <t>S. annual</t>
  </si>
  <si>
    <t>S. mensual</t>
  </si>
  <si>
    <t>cuadro   #   11</t>
  </si>
  <si>
    <t>Presupuesto de gastos  de   operacion</t>
  </si>
  <si>
    <t>Arriendo</t>
  </si>
  <si>
    <t>Impuestos municipales</t>
  </si>
  <si>
    <t>Otros impuestos</t>
  </si>
  <si>
    <t>Gastos legales de constitucion</t>
  </si>
  <si>
    <t>Depreciacion de equipos</t>
  </si>
  <si>
    <t>Amortizacion</t>
  </si>
  <si>
    <t>Total gastos</t>
  </si>
  <si>
    <t>mensual</t>
  </si>
  <si>
    <t>1er.ano</t>
  </si>
  <si>
    <t>2do.ano</t>
  </si>
  <si>
    <t>3er.ano</t>
  </si>
  <si>
    <t>objetivo</t>
  </si>
  <si>
    <t>cuadro   #  2</t>
  </si>
  <si>
    <t>Sumando los  2  segmentos</t>
  </si>
  <si>
    <t>Personas naturales, juridicas, colegios profesionales</t>
  </si>
  <si>
    <t>mercado</t>
  </si>
  <si>
    <t>Bomberos</t>
  </si>
  <si>
    <t xml:space="preserve">C. Comercio  </t>
  </si>
  <si>
    <t>cuadro  #  12</t>
  </si>
  <si>
    <t>Presupuesto de gastos de administracion y ventas</t>
  </si>
  <si>
    <t>gastos de publicidad</t>
  </si>
  <si>
    <t>asesoria contable</t>
  </si>
  <si>
    <t>gastos de transporte</t>
  </si>
  <si>
    <t>gastos papeleria</t>
  </si>
  <si>
    <t>depreciacion muebles y enseres</t>
  </si>
  <si>
    <t>Total gastos ad. Y ventas</t>
  </si>
  <si>
    <t>2do. Ano</t>
  </si>
  <si>
    <t>3er. Ano</t>
  </si>
  <si>
    <t>cuadro  #  13</t>
  </si>
  <si>
    <t>Analisis de costos</t>
  </si>
  <si>
    <t>Costos fijos</t>
  </si>
  <si>
    <t>Mano de obra</t>
  </si>
  <si>
    <t>Servicios publicos</t>
  </si>
  <si>
    <t>Seguro</t>
  </si>
  <si>
    <t>Costos legales constitucion</t>
  </si>
  <si>
    <t>C. Comercio</t>
  </si>
  <si>
    <t>Depreciacion equipos y muebles</t>
  </si>
  <si>
    <t xml:space="preserve">Asesoria contable </t>
  </si>
  <si>
    <t>Gastos papeleria</t>
  </si>
  <si>
    <t>Costos variables</t>
  </si>
  <si>
    <t>Materia prima</t>
  </si>
  <si>
    <t>Publicidad</t>
  </si>
  <si>
    <t>Transporte</t>
  </si>
  <si>
    <t>Costo total</t>
  </si>
  <si>
    <t>Requerimiento cap. Trabajo</t>
  </si>
  <si>
    <t xml:space="preserve">     Total costos variables</t>
  </si>
  <si>
    <t xml:space="preserve">     Total costos fijos</t>
  </si>
  <si>
    <t xml:space="preserve">Servicios publicos </t>
  </si>
  <si>
    <t>Seguros</t>
  </si>
  <si>
    <t>telefonos</t>
  </si>
  <si>
    <t>Cuadro  #  8</t>
  </si>
  <si>
    <t>cuadro  #  14</t>
  </si>
  <si>
    <t>Flujo de caja</t>
  </si>
  <si>
    <t>caja inicial</t>
  </si>
  <si>
    <t>Mas: Ingresos</t>
  </si>
  <si>
    <t>Total disponible</t>
  </si>
  <si>
    <t>Menos</t>
  </si>
  <si>
    <t xml:space="preserve">  activos fijos</t>
  </si>
  <si>
    <t xml:space="preserve">  mano de obra</t>
  </si>
  <si>
    <t xml:space="preserve">  gastos fabricacion</t>
  </si>
  <si>
    <t xml:space="preserve">  arriendo</t>
  </si>
  <si>
    <t xml:space="preserve">  serv.publicos</t>
  </si>
  <si>
    <t xml:space="preserve">  seguro</t>
  </si>
  <si>
    <t xml:space="preserve">  publicidad</t>
  </si>
  <si>
    <t xml:space="preserve">  asesoria contable</t>
  </si>
  <si>
    <t xml:space="preserve">  transporte</t>
  </si>
  <si>
    <t xml:space="preserve">  papeleria</t>
  </si>
  <si>
    <t xml:space="preserve">  Impuestos</t>
  </si>
  <si>
    <t xml:space="preserve">  escritura const.</t>
  </si>
  <si>
    <t xml:space="preserve">  C.Comercio</t>
  </si>
  <si>
    <t xml:space="preserve">  Bomberos</t>
  </si>
  <si>
    <t xml:space="preserve">  IVA</t>
  </si>
  <si>
    <t xml:space="preserve">  RF</t>
  </si>
  <si>
    <t xml:space="preserve">  I.R.</t>
  </si>
  <si>
    <t>Total egresos</t>
  </si>
  <si>
    <t>Neto disponible</t>
  </si>
  <si>
    <t>Mas aporte socios</t>
  </si>
  <si>
    <t>Caja final</t>
  </si>
  <si>
    <t xml:space="preserve">  gastos Ad.y venta</t>
  </si>
  <si>
    <t>inicio</t>
  </si>
  <si>
    <t>costo servicio</t>
  </si>
  <si>
    <t>costo total</t>
  </si>
  <si>
    <t xml:space="preserve">  costo servi.</t>
  </si>
  <si>
    <t>cuadro   #  15</t>
  </si>
  <si>
    <t>Estado de resultados</t>
  </si>
  <si>
    <t xml:space="preserve">   menos: costo serv.</t>
  </si>
  <si>
    <t xml:space="preserve">   menos: costo mano obra</t>
  </si>
  <si>
    <t xml:space="preserve">   menos: gastos operacion</t>
  </si>
  <si>
    <t xml:space="preserve">   menos:gastos adm. Ventas</t>
  </si>
  <si>
    <t xml:space="preserve">             </t>
  </si>
  <si>
    <t xml:space="preserve">   Utilidad gravable</t>
  </si>
  <si>
    <t>Utilidad neta</t>
  </si>
  <si>
    <t>cuadro  #  16</t>
  </si>
  <si>
    <t>Balance  General</t>
  </si>
  <si>
    <t>Inicio</t>
  </si>
  <si>
    <t>Activo</t>
  </si>
  <si>
    <t>Activo corriente</t>
  </si>
  <si>
    <t xml:space="preserve">   caja y bancos</t>
  </si>
  <si>
    <t xml:space="preserve">          Subtotal</t>
  </si>
  <si>
    <t xml:space="preserve">   Cuentas por cobrar</t>
  </si>
  <si>
    <t xml:space="preserve">   Anticipo I.R.</t>
  </si>
  <si>
    <t>Activo fijos</t>
  </si>
  <si>
    <t>Maquinaria y equipo</t>
  </si>
  <si>
    <t xml:space="preserve">  menos: depreciacion</t>
  </si>
  <si>
    <t xml:space="preserve">  mas: ajuste inflacion</t>
  </si>
  <si>
    <t>Equipos oficina</t>
  </si>
  <si>
    <t xml:space="preserve">  menos:depreciacion</t>
  </si>
  <si>
    <t>Software</t>
  </si>
  <si>
    <t xml:space="preserve">  Menos:amortizacion</t>
  </si>
  <si>
    <t xml:space="preserve">          Subtotal act.fijos</t>
  </si>
  <si>
    <t>Total activos</t>
  </si>
  <si>
    <t>Pasivos</t>
  </si>
  <si>
    <t xml:space="preserve">  Pasivo corriente</t>
  </si>
  <si>
    <t xml:space="preserve">  Prestaciones sociales por pagar</t>
  </si>
  <si>
    <t xml:space="preserve">  Cuentas por pagar</t>
  </si>
  <si>
    <t xml:space="preserve">  I.R.por pagar</t>
  </si>
  <si>
    <t xml:space="preserve">  R.F. por pagar</t>
  </si>
  <si>
    <t xml:space="preserve">  IVA por pagar</t>
  </si>
  <si>
    <t>Total  pasivos</t>
  </si>
  <si>
    <t>Patrimonio</t>
  </si>
  <si>
    <t xml:space="preserve">   Capital</t>
  </si>
  <si>
    <t xml:space="preserve">   Revaloriz. Patrimonio</t>
  </si>
  <si>
    <t xml:space="preserve">   Rsultados ejercicios anteriores</t>
  </si>
  <si>
    <t xml:space="preserve">   Utilidades/perdidas del ejercicio</t>
  </si>
  <si>
    <t>Reserva legal</t>
  </si>
  <si>
    <t>Total patrimonio</t>
  </si>
  <si>
    <t>Total Pasivo y Patrimonio</t>
  </si>
  <si>
    <t xml:space="preserve">            Subtotal</t>
  </si>
  <si>
    <t xml:space="preserve">             Subtotal</t>
  </si>
  <si>
    <t>Costo adicional para ofrecer   el Producto y los servicios</t>
  </si>
  <si>
    <t>Gastos de  depreciacion y  amortizacion</t>
  </si>
  <si>
    <t>periodo</t>
  </si>
  <si>
    <t>Ano</t>
  </si>
  <si>
    <t>%</t>
  </si>
  <si>
    <t>Depr/Amort.</t>
  </si>
  <si>
    <t>acumulada</t>
  </si>
  <si>
    <t>Ajuste</t>
  </si>
  <si>
    <t>Valor</t>
  </si>
  <si>
    <t>actual</t>
  </si>
  <si>
    <t>Costo</t>
  </si>
  <si>
    <t>fiscal</t>
  </si>
  <si>
    <t>3 anos</t>
  </si>
  <si>
    <t>Muebles y</t>
  </si>
  <si>
    <t>enseres</t>
  </si>
  <si>
    <t>10 anos</t>
  </si>
  <si>
    <t>Inversion</t>
  </si>
  <si>
    <t>amortizable</t>
  </si>
  <si>
    <t>Deprecia/</t>
  </si>
  <si>
    <t>amortiz.</t>
  </si>
  <si>
    <t>Distrib. Excedentes</t>
  </si>
  <si>
    <t>Flujo de caja neto</t>
  </si>
  <si>
    <t>Ano 0</t>
  </si>
  <si>
    <t>Ano  1</t>
  </si>
  <si>
    <t>Ano  2</t>
  </si>
  <si>
    <t>Ano  3</t>
  </si>
  <si>
    <t>Utilidad bruta</t>
  </si>
  <si>
    <t>mas:depreciacion</t>
  </si>
  <si>
    <t>mas: amortizacion</t>
  </si>
  <si>
    <t>menos: correccion monetaria</t>
  </si>
  <si>
    <t>1.-Flujo fondos neto</t>
  </si>
  <si>
    <t>Inversiones en activos fijos</t>
  </si>
  <si>
    <t>Inv.capital trabajo</t>
  </si>
  <si>
    <t>2.-Inver.netas del periodo</t>
  </si>
  <si>
    <t>3.-Liquidacion del negocio</t>
  </si>
  <si>
    <t xml:space="preserve">    </t>
  </si>
  <si>
    <t>4.-Flujos caja total netos</t>
  </si>
  <si>
    <t>(=1-2+3)</t>
  </si>
  <si>
    <t>TIR</t>
  </si>
  <si>
    <t>Balance del proyecto</t>
  </si>
  <si>
    <t>Periodo pago descontado</t>
  </si>
  <si>
    <t>cuadro  #   17</t>
  </si>
  <si>
    <t>VAN (12%)</t>
  </si>
  <si>
    <t xml:space="preserve">   menos utilidad trabaja(15%)</t>
  </si>
  <si>
    <t xml:space="preserve">   Subtotal</t>
  </si>
  <si>
    <t xml:space="preserve">   menos I.R.  (25%)</t>
  </si>
  <si>
    <t xml:space="preserve">     Subtotal</t>
  </si>
  <si>
    <t xml:space="preserve">     menos reserva legal (10%)</t>
  </si>
  <si>
    <t xml:space="preserve">  reparto utilidades</t>
  </si>
  <si>
    <t xml:space="preserve">  ajuste utilidades</t>
  </si>
  <si>
    <t>cuadro  #  0</t>
  </si>
  <si>
    <t>Clientes potenciales 1er ano</t>
  </si>
  <si>
    <t># clientes</t>
  </si>
  <si>
    <t>S. Individual.</t>
  </si>
  <si>
    <t xml:space="preserve">   numero ventas</t>
  </si>
  <si>
    <t xml:space="preserve">  costo promed,venta promed.</t>
  </si>
  <si>
    <t xml:space="preserve">  costo variable unitario venta pro</t>
  </si>
  <si>
    <t xml:space="preserve">  precio promedio unitario sin IVA</t>
  </si>
  <si>
    <t>margen unitario promedio</t>
  </si>
  <si>
    <t>punto equilibrio</t>
  </si>
  <si>
    <t>Sistema de Deteccion de Intrusos</t>
  </si>
  <si>
    <t>Auditoria de Sistemas</t>
  </si>
  <si>
    <t>Mantenimiento del SDI</t>
  </si>
  <si>
    <t>Empresas  con 3 PCs o menos</t>
  </si>
  <si>
    <t>Gerente de Proyectos</t>
  </si>
  <si>
    <t>Gerente Tecnico</t>
  </si>
  <si>
    <t>Contador</t>
  </si>
  <si>
    <t>Tecnicos</t>
  </si>
  <si>
    <t>Conserje/Mensajero</t>
  </si>
  <si>
    <t>Escritorios esquineros</t>
  </si>
  <si>
    <t>Sillas Gerenciales</t>
  </si>
  <si>
    <t>Compañias en el Guayas</t>
  </si>
  <si>
    <t>Compañias con mas de 3 PCs</t>
  </si>
  <si>
    <t>segmento 1</t>
  </si>
  <si>
    <t>segmento 2</t>
  </si>
  <si>
    <t>Compañias con hasta  3 PCs</t>
  </si>
  <si>
    <t>Interesados sin servicio</t>
  </si>
  <si>
    <t>Vendedores</t>
  </si>
  <si>
    <t>Interesados en Seguridad Informatica</t>
  </si>
  <si>
    <t>Empresas con mas de 4 PCs</t>
  </si>
  <si>
    <t>Escritorios Gerenciales</t>
  </si>
  <si>
    <t>Sillas para escritorios</t>
  </si>
  <si>
    <t>Archivadores</t>
  </si>
  <si>
    <t>Calculadoras</t>
  </si>
  <si>
    <t>Extintor</t>
  </si>
  <si>
    <t>Varios oficina</t>
  </si>
  <si>
    <t>Vehiculo</t>
  </si>
  <si>
    <t>Computador Portatil</t>
  </si>
  <si>
    <t>Computadores</t>
  </si>
  <si>
    <t>Impresoras</t>
  </si>
  <si>
    <t>UPS</t>
  </si>
  <si>
    <t>Telefonos fijos</t>
  </si>
  <si>
    <t xml:space="preserve">Telefonos celulares </t>
  </si>
  <si>
    <t>Mercado objetivo</t>
  </si>
  <si>
    <t>VEHICULO</t>
  </si>
  <si>
    <t>5 años</t>
  </si>
  <si>
    <t>5 anos</t>
  </si>
  <si>
    <t>REVALORIZACION DEL PATRIMONIO</t>
  </si>
  <si>
    <t>Periodo</t>
  </si>
  <si>
    <t>PAGG</t>
  </si>
  <si>
    <t>Total ajustado</t>
  </si>
  <si>
    <t xml:space="preserve">   Inventario</t>
  </si>
  <si>
    <t>futuras capitalizaciones</t>
  </si>
  <si>
    <t>Items</t>
  </si>
  <si>
    <t>Observación</t>
  </si>
  <si>
    <t>Computador</t>
  </si>
  <si>
    <t>Opcional</t>
  </si>
  <si>
    <t>Punto de red</t>
  </si>
  <si>
    <t>Softward</t>
  </si>
  <si>
    <t>What´s Up</t>
  </si>
  <si>
    <t>Base Celular</t>
  </si>
  <si>
    <t>Movistar</t>
  </si>
  <si>
    <t>valor mensual a pagar</t>
  </si>
  <si>
    <t>Skytel</t>
  </si>
  <si>
    <t>Valor mensual a pagar</t>
  </si>
  <si>
    <t>TOTAL</t>
  </si>
  <si>
    <t>costos </t>
  </si>
  <si>
    <t>Precio Venta</t>
  </si>
  <si>
    <t>Costos del Producto SDI</t>
  </si>
  <si>
    <t>Costos del Servicio 1</t>
  </si>
  <si>
    <t>Costos del Servicio 2</t>
  </si>
  <si>
    <t xml:space="preserve">Movilización personal </t>
  </si>
  <si>
    <t>por 3 semanas</t>
  </si>
  <si>
    <t>Herramientas informaticas</t>
  </si>
  <si>
    <t>2 ó 3 visitas</t>
  </si>
  <si>
    <t>cuadro  # 5</t>
  </si>
  <si>
    <t>1,4 años</t>
  </si>
  <si>
    <t>1 año 3 meses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</si>
</sst>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0.000"/>
    <numFmt numFmtId="188" formatCode="_(* #,##0.000_);_(* \(#,##0.000\);_(* &quot;-&quot;??_);_(@_)"/>
    <numFmt numFmtId="189" formatCode="0.000%"/>
    <numFmt numFmtId="190" formatCode="_(* #,##0.0000_);_(* \(#,##0.0000\);_(* &quot;-&quot;??_);_(@_)"/>
    <numFmt numFmtId="191" formatCode="0.0%"/>
    <numFmt numFmtId="192" formatCode="[$-C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3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85" fontId="0" fillId="0" borderId="10" xfId="48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0" fillId="0" borderId="10" xfId="48" applyFont="1" applyBorder="1" applyAlignment="1">
      <alignment/>
    </xf>
    <xf numFmtId="185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5" fontId="5" fillId="0" borderId="10" xfId="48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5" fontId="5" fillId="0" borderId="10" xfId="48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85" fontId="4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10" xfId="0" applyNumberFormat="1" applyBorder="1" applyAlignment="1">
      <alignment/>
    </xf>
    <xf numFmtId="43" fontId="2" fillId="0" borderId="10" xfId="48" applyFont="1" applyBorder="1" applyAlignment="1">
      <alignment/>
    </xf>
    <xf numFmtId="185" fontId="2" fillId="0" borderId="10" xfId="48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5" fontId="0" fillId="0" borderId="0" xfId="48" applyNumberFormat="1" applyFont="1" applyBorder="1" applyAlignment="1">
      <alignment/>
    </xf>
    <xf numFmtId="185" fontId="0" fillId="0" borderId="0" xfId="0" applyNumberFormat="1" applyBorder="1" applyAlignment="1">
      <alignment/>
    </xf>
    <xf numFmtId="43" fontId="0" fillId="0" borderId="0" xfId="48" applyFont="1" applyBorder="1" applyAlignment="1">
      <alignment/>
    </xf>
    <xf numFmtId="43" fontId="0" fillId="0" borderId="0" xfId="0" applyNumberFormat="1" applyAlignment="1">
      <alignment/>
    </xf>
    <xf numFmtId="43" fontId="5" fillId="0" borderId="10" xfId="48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5" fontId="0" fillId="0" borderId="0" xfId="48" applyNumberFormat="1" applyFont="1" applyAlignment="1">
      <alignment/>
    </xf>
    <xf numFmtId="10" fontId="0" fillId="0" borderId="10" xfId="0" applyNumberFormat="1" applyBorder="1" applyAlignment="1">
      <alignment/>
    </xf>
    <xf numFmtId="43" fontId="0" fillId="0" borderId="0" xfId="48" applyFont="1" applyAlignment="1">
      <alignment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189" fontId="2" fillId="0" borderId="10" xfId="54" applyNumberFormat="1" applyFont="1" applyBorder="1" applyAlignment="1">
      <alignment/>
    </xf>
    <xf numFmtId="185" fontId="5" fillId="0" borderId="10" xfId="48" applyNumberFormat="1" applyFont="1" applyBorder="1" applyAlignment="1">
      <alignment/>
    </xf>
    <xf numFmtId="185" fontId="4" fillId="0" borderId="10" xfId="48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0" fontId="0" fillId="0" borderId="10" xfId="48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85" fontId="0" fillId="0" borderId="0" xfId="48" applyNumberFormat="1" applyFont="1" applyAlignment="1">
      <alignment horizontal="center"/>
    </xf>
    <xf numFmtId="185" fontId="0" fillId="0" borderId="10" xfId="48" applyNumberFormat="1" applyFont="1" applyBorder="1" applyAlignment="1">
      <alignment horizontal="center"/>
    </xf>
    <xf numFmtId="185" fontId="0" fillId="0" borderId="10" xfId="48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43" fontId="0" fillId="0" borderId="17" xfId="48" applyFont="1" applyBorder="1" applyAlignment="1">
      <alignment/>
    </xf>
    <xf numFmtId="0" fontId="0" fillId="0" borderId="18" xfId="0" applyBorder="1" applyAlignment="1">
      <alignment/>
    </xf>
    <xf numFmtId="166" fontId="0" fillId="0" borderId="10" xfId="48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185" fontId="0" fillId="0" borderId="19" xfId="0" applyNumberFormat="1" applyBorder="1" applyAlignment="1">
      <alignment/>
    </xf>
    <xf numFmtId="4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2" fillId="0" borderId="14" xfId="0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10" xfId="48" applyFont="1" applyFill="1" applyBorder="1" applyAlignment="1">
      <alignment/>
    </xf>
    <xf numFmtId="43" fontId="2" fillId="0" borderId="10" xfId="48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Border="1" applyAlignment="1">
      <alignment/>
    </xf>
    <xf numFmtId="185" fontId="5" fillId="0" borderId="0" xfId="0" applyNumberFormat="1" applyFont="1" applyAlignment="1">
      <alignment/>
    </xf>
    <xf numFmtId="43" fontId="0" fillId="0" borderId="10" xfId="48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177" fontId="0" fillId="0" borderId="10" xfId="0" applyNumberForma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48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4" fontId="46" fillId="33" borderId="15" xfId="0" applyNumberFormat="1" applyFont="1" applyFill="1" applyBorder="1" applyAlignment="1">
      <alignment horizontal="right"/>
    </xf>
    <xf numFmtId="0" fontId="47" fillId="33" borderId="14" xfId="0" applyFont="1" applyFill="1" applyBorder="1" applyAlignment="1">
      <alignment horizontal="center"/>
    </xf>
    <xf numFmtId="4" fontId="47" fillId="33" borderId="15" xfId="0" applyNumberFormat="1" applyFont="1" applyFill="1" applyBorder="1" applyAlignment="1">
      <alignment horizontal="right"/>
    </xf>
    <xf numFmtId="0" fontId="47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4" fontId="47" fillId="33" borderId="18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" fontId="46" fillId="0" borderId="15" xfId="0" applyNumberFormat="1" applyFont="1" applyBorder="1" applyAlignment="1">
      <alignment horizontal="right"/>
    </xf>
    <xf numFmtId="0" fontId="47" fillId="0" borderId="14" xfId="0" applyFont="1" applyBorder="1" applyAlignment="1">
      <alignment horizontal="center"/>
    </xf>
    <xf numFmtId="4" fontId="47" fillId="0" borderId="15" xfId="0" applyNumberFormat="1" applyFont="1" applyBorder="1" applyAlignment="1">
      <alignment horizontal="right"/>
    </xf>
    <xf numFmtId="0" fontId="47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4" fontId="47" fillId="0" borderId="18" xfId="0" applyNumberFormat="1" applyFont="1" applyBorder="1" applyAlignment="1">
      <alignment horizontal="right"/>
    </xf>
    <xf numFmtId="0" fontId="0" fillId="0" borderId="0" xfId="0" applyFont="1" applyAlignment="1">
      <alignment/>
    </xf>
    <xf numFmtId="39" fontId="2" fillId="0" borderId="10" xfId="48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29.7109375" style="0" customWidth="1"/>
    <col min="2" max="2" width="10.28125" style="0" customWidth="1"/>
    <col min="3" max="3" width="11.00390625" style="0" customWidth="1"/>
    <col min="4" max="4" width="13.8515625" style="0" customWidth="1"/>
  </cols>
  <sheetData>
    <row r="1" ht="12.75">
      <c r="A1" t="s">
        <v>0</v>
      </c>
    </row>
    <row r="3" spans="1:4" ht="15.75">
      <c r="A3" s="121" t="s">
        <v>6</v>
      </c>
      <c r="B3" s="121"/>
      <c r="C3" s="121"/>
      <c r="D3" s="121"/>
    </row>
    <row r="5" ht="12.75">
      <c r="A5" s="23" t="s">
        <v>271</v>
      </c>
    </row>
    <row r="6" spans="1:4" ht="12.75">
      <c r="A6" s="2"/>
      <c r="B6" s="2" t="s">
        <v>4</v>
      </c>
      <c r="C6" s="2" t="s">
        <v>3</v>
      </c>
      <c r="D6" s="2" t="s">
        <v>78</v>
      </c>
    </row>
    <row r="7" spans="1:4" ht="12.75">
      <c r="A7" s="8" t="s">
        <v>8</v>
      </c>
      <c r="B7" s="2" t="s">
        <v>5</v>
      </c>
      <c r="C7" s="2"/>
      <c r="D7" s="2" t="s">
        <v>74</v>
      </c>
    </row>
    <row r="8" spans="1:4" ht="12.75">
      <c r="A8" s="3" t="s">
        <v>1</v>
      </c>
      <c r="B8" s="3"/>
      <c r="C8" s="3"/>
      <c r="D8" s="3"/>
    </row>
    <row r="9" spans="1:4" ht="12.75">
      <c r="A9" s="3" t="s">
        <v>252</v>
      </c>
      <c r="B9" s="4">
        <v>4468</v>
      </c>
      <c r="C9" s="5">
        <v>0.05</v>
      </c>
      <c r="D9" s="66">
        <f>B9*C9</f>
        <v>223.4</v>
      </c>
    </row>
    <row r="10" spans="1:4" ht="12.75">
      <c r="A10" s="3"/>
      <c r="B10" s="4"/>
      <c r="C10" s="5"/>
      <c r="D10" s="66"/>
    </row>
    <row r="11" spans="1:4" ht="12.75">
      <c r="A11" s="3"/>
      <c r="B11" s="4"/>
      <c r="C11" s="7"/>
      <c r="D11" s="66">
        <f>B11*C11</f>
        <v>0</v>
      </c>
    </row>
    <row r="12" spans="1:4" ht="12.75">
      <c r="A12" s="3" t="s">
        <v>2</v>
      </c>
      <c r="B12" s="4"/>
      <c r="C12" s="7"/>
      <c r="D12" s="66">
        <f>B12*C12</f>
        <v>0</v>
      </c>
    </row>
    <row r="13" spans="1:4" ht="12.75">
      <c r="A13" s="3" t="s">
        <v>253</v>
      </c>
      <c r="B13" s="4">
        <f>B9</f>
        <v>4468</v>
      </c>
      <c r="C13" s="5">
        <v>0.03</v>
      </c>
      <c r="D13" s="66">
        <f>B13*C13</f>
        <v>134.04</v>
      </c>
    </row>
    <row r="14" spans="1:4" ht="12.75">
      <c r="A14" s="54" t="s">
        <v>254</v>
      </c>
      <c r="B14" s="4">
        <f>B9</f>
        <v>4468</v>
      </c>
      <c r="C14" s="5">
        <v>0.03</v>
      </c>
      <c r="D14" s="66">
        <f>B14*C14</f>
        <v>134.04</v>
      </c>
    </row>
    <row r="15" spans="1:4" ht="12.75">
      <c r="A15" s="3"/>
      <c r="B15" s="4"/>
      <c r="C15" s="5"/>
      <c r="D15" s="66"/>
    </row>
    <row r="16" ht="12.75">
      <c r="D16" s="45"/>
    </row>
    <row r="17" spans="1:4" ht="12.75">
      <c r="A17" s="23"/>
      <c r="D17" s="45"/>
    </row>
    <row r="18" spans="1:4" ht="12.75">
      <c r="A18" s="23" t="s">
        <v>255</v>
      </c>
      <c r="D18" s="64"/>
    </row>
    <row r="19" spans="1:4" ht="12.75">
      <c r="A19" s="3" t="s">
        <v>1</v>
      </c>
      <c r="B19" s="3"/>
      <c r="C19" s="7"/>
      <c r="D19" s="65"/>
    </row>
    <row r="20" spans="1:4" ht="12.75">
      <c r="A20" s="3" t="s">
        <v>252</v>
      </c>
      <c r="B20" s="4">
        <v>499</v>
      </c>
      <c r="C20" s="5">
        <v>0.05</v>
      </c>
      <c r="D20" s="65">
        <f>B20*C20</f>
        <v>24.950000000000003</v>
      </c>
    </row>
    <row r="21" spans="1:4" ht="12.75">
      <c r="A21" s="3"/>
      <c r="B21" s="4"/>
      <c r="C21" s="5"/>
      <c r="D21" s="65"/>
    </row>
    <row r="22" spans="1:4" ht="12.75">
      <c r="A22" s="3"/>
      <c r="B22" s="4"/>
      <c r="C22" s="7"/>
      <c r="D22" s="65">
        <f>B22*C22</f>
        <v>0</v>
      </c>
    </row>
    <row r="23" spans="1:4" ht="12.75">
      <c r="A23" s="3" t="s">
        <v>2</v>
      </c>
      <c r="B23" s="4"/>
      <c r="C23" s="7"/>
      <c r="D23" s="65">
        <f>B23*C23</f>
        <v>0</v>
      </c>
    </row>
    <row r="24" spans="1:4" ht="12.75">
      <c r="A24" s="3" t="s">
        <v>253</v>
      </c>
      <c r="B24" s="4">
        <f>B20</f>
        <v>499</v>
      </c>
      <c r="C24" s="5">
        <v>0.01</v>
      </c>
      <c r="D24" s="65">
        <f>B24*C24</f>
        <v>4.99</v>
      </c>
    </row>
    <row r="25" spans="1:4" ht="12.75">
      <c r="A25" s="54" t="s">
        <v>254</v>
      </c>
      <c r="B25" s="4">
        <f>B24</f>
        <v>499</v>
      </c>
      <c r="C25" s="5">
        <v>0.01</v>
      </c>
      <c r="D25" s="65">
        <f>B25*C25</f>
        <v>4.99</v>
      </c>
    </row>
    <row r="26" spans="1:4" ht="12.75">
      <c r="A26" s="3"/>
      <c r="B26" s="4"/>
      <c r="C26" s="5"/>
      <c r="D26" s="65"/>
    </row>
    <row r="27" ht="12.75">
      <c r="D27" s="56"/>
    </row>
    <row r="29" spans="1:4" ht="12.75">
      <c r="A29" s="122" t="s">
        <v>76</v>
      </c>
      <c r="B29" s="122"/>
      <c r="C29" s="122"/>
      <c r="D29" s="122"/>
    </row>
    <row r="30" spans="1:4" ht="12.75">
      <c r="A30" s="27"/>
      <c r="B30" s="27"/>
      <c r="C30" s="27"/>
      <c r="D30" s="27"/>
    </row>
    <row r="31" spans="1:4" ht="12.75">
      <c r="A31" s="3" t="s">
        <v>1</v>
      </c>
      <c r="B31" s="3"/>
      <c r="C31" s="3"/>
      <c r="D31" s="3"/>
    </row>
    <row r="32" spans="1:4" ht="12.75">
      <c r="A32" s="3" t="s">
        <v>252</v>
      </c>
      <c r="B32" s="3"/>
      <c r="C32" s="3"/>
      <c r="D32" s="4">
        <f>D9+D20</f>
        <v>248.35000000000002</v>
      </c>
    </row>
    <row r="33" spans="1:4" ht="12.75">
      <c r="A33" s="3"/>
      <c r="B33" s="3"/>
      <c r="C33" s="3"/>
      <c r="D33" s="4">
        <f aca="true" t="shared" si="0" ref="D33:D38">D10+D21</f>
        <v>0</v>
      </c>
    </row>
    <row r="34" spans="1:4" ht="12.75">
      <c r="A34" s="3"/>
      <c r="B34" s="3"/>
      <c r="C34" s="3"/>
      <c r="D34" s="4">
        <f t="shared" si="0"/>
        <v>0</v>
      </c>
    </row>
    <row r="35" spans="1:4" ht="12.75">
      <c r="A35" s="3" t="s">
        <v>2</v>
      </c>
      <c r="B35" s="3"/>
      <c r="C35" s="3"/>
      <c r="D35" s="4">
        <f t="shared" si="0"/>
        <v>0</v>
      </c>
    </row>
    <row r="36" spans="1:4" ht="12.75">
      <c r="A36" s="3" t="s">
        <v>253</v>
      </c>
      <c r="B36" s="3"/>
      <c r="C36" s="3"/>
      <c r="D36" s="4">
        <f t="shared" si="0"/>
        <v>139.03</v>
      </c>
    </row>
    <row r="37" spans="1:4" ht="12.75">
      <c r="A37" s="54" t="s">
        <v>254</v>
      </c>
      <c r="B37" s="3"/>
      <c r="C37" s="3"/>
      <c r="D37" s="4">
        <f t="shared" si="0"/>
        <v>139.03</v>
      </c>
    </row>
    <row r="38" spans="1:4" ht="12.75">
      <c r="A38" s="3"/>
      <c r="B38" s="3"/>
      <c r="C38" s="3"/>
      <c r="D38" s="4">
        <f t="shared" si="0"/>
        <v>0</v>
      </c>
    </row>
    <row r="39" spans="1:4" ht="12.75">
      <c r="A39" s="27"/>
      <c r="B39" s="39"/>
      <c r="C39" s="27"/>
      <c r="D39" s="27"/>
    </row>
    <row r="40" spans="1:4" ht="12.75">
      <c r="A40" s="27"/>
      <c r="B40" s="39"/>
      <c r="C40" s="27"/>
      <c r="D40" s="27"/>
    </row>
    <row r="41" spans="1:4" ht="12.75">
      <c r="A41" s="27"/>
      <c r="B41" s="39"/>
      <c r="C41" s="27"/>
      <c r="D41" s="27"/>
    </row>
  </sheetData>
  <sheetProtection/>
  <mergeCells count="2">
    <mergeCell ref="A3:D3"/>
    <mergeCell ref="A29:D29"/>
  </mergeCells>
  <printOptions/>
  <pageMargins left="1.27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36" sqref="D36"/>
    </sheetView>
  </sheetViews>
  <sheetFormatPr defaultColWidth="11.421875" defaultRowHeight="12.75"/>
  <cols>
    <col min="1" max="1" width="22.421875" style="0" customWidth="1"/>
  </cols>
  <sheetData>
    <row r="1" ht="12.75">
      <c r="A1" t="s">
        <v>25</v>
      </c>
    </row>
    <row r="3" spans="1:4" ht="15.75">
      <c r="A3" s="121" t="s">
        <v>26</v>
      </c>
      <c r="B3" s="121"/>
      <c r="C3" s="121"/>
      <c r="D3" s="121"/>
    </row>
    <row r="6" spans="1:4" ht="12.75">
      <c r="A6" s="8"/>
      <c r="B6" s="8" t="s">
        <v>30</v>
      </c>
      <c r="C6" s="8" t="s">
        <v>31</v>
      </c>
      <c r="D6" s="8" t="s">
        <v>32</v>
      </c>
    </row>
    <row r="7" spans="1:4" ht="12.75">
      <c r="A7" s="2" t="s">
        <v>27</v>
      </c>
      <c r="B7" s="3"/>
      <c r="C7" s="3"/>
      <c r="D7" s="3"/>
    </row>
    <row r="8" spans="1:4" ht="12.75">
      <c r="A8" s="3" t="s">
        <v>279</v>
      </c>
      <c r="B8" s="3">
        <v>2</v>
      </c>
      <c r="C8" s="4">
        <v>1200</v>
      </c>
      <c r="D8" s="4">
        <f>B8*C8</f>
        <v>2400</v>
      </c>
    </row>
    <row r="9" spans="1:4" ht="12.75">
      <c r="A9" s="3" t="s">
        <v>280</v>
      </c>
      <c r="B9" s="3">
        <v>4</v>
      </c>
      <c r="C9" s="4">
        <v>700</v>
      </c>
      <c r="D9" s="4">
        <f aca="true" t="shared" si="0" ref="D9:D33">B9*C9</f>
        <v>2800</v>
      </c>
    </row>
    <row r="10" spans="1:4" ht="12.75">
      <c r="A10" s="3" t="s">
        <v>281</v>
      </c>
      <c r="B10" s="3">
        <v>1</v>
      </c>
      <c r="C10" s="4">
        <v>120</v>
      </c>
      <c r="D10" s="4">
        <f t="shared" si="0"/>
        <v>120</v>
      </c>
    </row>
    <row r="11" spans="1:4" ht="12.75">
      <c r="A11" s="3" t="s">
        <v>282</v>
      </c>
      <c r="B11" s="3">
        <v>4</v>
      </c>
      <c r="C11" s="4">
        <v>37</v>
      </c>
      <c r="D11" s="4">
        <f t="shared" si="0"/>
        <v>148</v>
      </c>
    </row>
    <row r="12" spans="1:4" ht="12.75">
      <c r="A12" s="3" t="s">
        <v>283</v>
      </c>
      <c r="B12" s="3">
        <v>4</v>
      </c>
      <c r="C12" s="4">
        <v>25</v>
      </c>
      <c r="D12" s="4">
        <f t="shared" si="0"/>
        <v>100</v>
      </c>
    </row>
    <row r="13" spans="1:4" ht="12.75">
      <c r="A13" s="3" t="s">
        <v>284</v>
      </c>
      <c r="B13" s="3">
        <v>3</v>
      </c>
      <c r="C13" s="4">
        <v>100</v>
      </c>
      <c r="D13" s="4">
        <f t="shared" si="0"/>
        <v>300</v>
      </c>
    </row>
    <row r="14" spans="1:4" ht="12.75">
      <c r="A14" s="3" t="s">
        <v>190</v>
      </c>
      <c r="B14" s="3"/>
      <c r="C14" s="4"/>
      <c r="D14" s="30">
        <f>SUM(D8:D13)</f>
        <v>5868</v>
      </c>
    </row>
    <row r="15" spans="1:4" ht="12.75">
      <c r="A15" s="3"/>
      <c r="B15" s="3"/>
      <c r="C15" s="4"/>
      <c r="D15" s="4"/>
    </row>
    <row r="16" spans="1:4" ht="12.75">
      <c r="A16" s="3"/>
      <c r="B16" s="3"/>
      <c r="C16" s="4"/>
      <c r="D16" s="4"/>
    </row>
    <row r="17" spans="1:4" ht="12.75">
      <c r="A17" s="2" t="s">
        <v>28</v>
      </c>
      <c r="B17" s="3"/>
      <c r="C17" s="4"/>
      <c r="D17" s="4"/>
    </row>
    <row r="18" spans="1:4" ht="12.75">
      <c r="A18" s="54" t="s">
        <v>272</v>
      </c>
      <c r="B18" s="3">
        <v>2</v>
      </c>
      <c r="C18" s="4">
        <v>120</v>
      </c>
      <c r="D18" s="4">
        <f t="shared" si="0"/>
        <v>240</v>
      </c>
    </row>
    <row r="19" spans="1:4" ht="12.75">
      <c r="A19" s="54" t="s">
        <v>261</v>
      </c>
      <c r="B19" s="3">
        <v>4</v>
      </c>
      <c r="C19" s="4">
        <v>80</v>
      </c>
      <c r="D19" s="4">
        <f t="shared" si="0"/>
        <v>320</v>
      </c>
    </row>
    <row r="20" spans="1:4" ht="12.75">
      <c r="A20" s="55" t="s">
        <v>262</v>
      </c>
      <c r="B20" s="3">
        <v>2</v>
      </c>
      <c r="C20" s="4">
        <v>150</v>
      </c>
      <c r="D20" s="4">
        <f t="shared" si="0"/>
        <v>300</v>
      </c>
    </row>
    <row r="21" spans="1:4" ht="12.75">
      <c r="A21" s="54" t="s">
        <v>273</v>
      </c>
      <c r="B21" s="3">
        <v>14</v>
      </c>
      <c r="C21" s="4">
        <v>50</v>
      </c>
      <c r="D21" s="4">
        <f t="shared" si="0"/>
        <v>700</v>
      </c>
    </row>
    <row r="22" spans="1:4" ht="12.75">
      <c r="A22" s="54" t="s">
        <v>274</v>
      </c>
      <c r="B22" s="3">
        <v>3</v>
      </c>
      <c r="C22" s="4">
        <v>90</v>
      </c>
      <c r="D22" s="4">
        <f t="shared" si="0"/>
        <v>270</v>
      </c>
    </row>
    <row r="23" spans="1:4" ht="12.75">
      <c r="A23" s="54" t="s">
        <v>275</v>
      </c>
      <c r="B23" s="3">
        <v>4</v>
      </c>
      <c r="C23" s="4">
        <v>14</v>
      </c>
      <c r="D23" s="4">
        <f t="shared" si="0"/>
        <v>56</v>
      </c>
    </row>
    <row r="24" spans="1:4" ht="12.75">
      <c r="A24" s="54" t="s">
        <v>276</v>
      </c>
      <c r="B24" s="3">
        <v>2</v>
      </c>
      <c r="C24" s="4">
        <v>40</v>
      </c>
      <c r="D24" s="4">
        <f t="shared" si="0"/>
        <v>80</v>
      </c>
    </row>
    <row r="25" spans="1:4" ht="12.75">
      <c r="A25" s="54" t="s">
        <v>277</v>
      </c>
      <c r="B25" s="3">
        <v>10</v>
      </c>
      <c r="C25" s="4">
        <v>50</v>
      </c>
      <c r="D25" s="4">
        <f t="shared" si="0"/>
        <v>500</v>
      </c>
    </row>
    <row r="26" spans="1:4" ht="12.75">
      <c r="A26" s="3" t="s">
        <v>191</v>
      </c>
      <c r="B26" s="3"/>
      <c r="C26" s="4"/>
      <c r="D26" s="30">
        <f>SUM(D18:D25)</f>
        <v>2466</v>
      </c>
    </row>
    <row r="27" spans="1:4" ht="12.75">
      <c r="A27" s="3"/>
      <c r="B27" s="3"/>
      <c r="C27" s="4"/>
      <c r="D27" s="30"/>
    </row>
    <row r="28" spans="1:4" ht="12.75">
      <c r="A28" s="2" t="s">
        <v>286</v>
      </c>
      <c r="B28" s="3"/>
      <c r="C28" s="4"/>
      <c r="D28" s="30"/>
    </row>
    <row r="29" spans="1:4" ht="12.75">
      <c r="A29" s="3" t="s">
        <v>278</v>
      </c>
      <c r="B29" s="3">
        <v>1</v>
      </c>
      <c r="C29" s="4">
        <v>15000</v>
      </c>
      <c r="D29" s="4">
        <f>B29*C29</f>
        <v>15000</v>
      </c>
    </row>
    <row r="30" spans="1:4" ht="12.75">
      <c r="A30" s="3" t="s">
        <v>191</v>
      </c>
      <c r="B30" s="3"/>
      <c r="C30" s="4"/>
      <c r="D30" s="30">
        <f>SUM(D29)</f>
        <v>15000</v>
      </c>
    </row>
    <row r="31" spans="1:4" ht="12.75">
      <c r="A31" s="3"/>
      <c r="B31" s="3"/>
      <c r="C31" s="4"/>
      <c r="D31" s="4"/>
    </row>
    <row r="32" spans="1:4" ht="12.75">
      <c r="A32" s="2" t="s">
        <v>29</v>
      </c>
      <c r="B32" s="3"/>
      <c r="C32" s="4"/>
      <c r="D32" s="4"/>
    </row>
    <row r="33" spans="1:4" ht="12.75">
      <c r="A33" s="3" t="s">
        <v>170</v>
      </c>
      <c r="B33" s="3">
        <v>20</v>
      </c>
      <c r="C33" s="4">
        <v>90</v>
      </c>
      <c r="D33" s="4">
        <f t="shared" si="0"/>
        <v>1800</v>
      </c>
    </row>
    <row r="34" spans="1:4" ht="12.75">
      <c r="A34" s="3" t="s">
        <v>191</v>
      </c>
      <c r="B34" s="3"/>
      <c r="C34" s="4"/>
      <c r="D34" s="30">
        <f>SUM(D33)</f>
        <v>1800</v>
      </c>
    </row>
    <row r="35" spans="1:4" ht="12.75">
      <c r="A35" s="3"/>
      <c r="B35" s="3"/>
      <c r="C35" s="3"/>
      <c r="D35" s="3"/>
    </row>
    <row r="36" spans="1:4" ht="12.75">
      <c r="A36" s="2" t="s">
        <v>32</v>
      </c>
      <c r="B36" s="2"/>
      <c r="C36" s="2"/>
      <c r="D36" s="22">
        <f>+D14+D26+D30+D34</f>
        <v>25134</v>
      </c>
    </row>
    <row r="37" spans="1:4" ht="12.75">
      <c r="A37" s="3"/>
      <c r="B37" s="3"/>
      <c r="C37" s="3"/>
      <c r="D37" s="3"/>
    </row>
  </sheetData>
  <sheetProtection/>
  <mergeCells count="1">
    <mergeCell ref="A3:D3"/>
  </mergeCells>
  <printOptions/>
  <pageMargins left="1.8333333333333333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workbookViewId="0" topLeftCell="A1">
      <selection activeCell="F47" sqref="F47:F48"/>
    </sheetView>
  </sheetViews>
  <sheetFormatPr defaultColWidth="11.421875" defaultRowHeight="12.75"/>
  <cols>
    <col min="3" max="3" width="5.8515625" style="0" customWidth="1"/>
  </cols>
  <sheetData>
    <row r="1" ht="12.75">
      <c r="A1" t="s">
        <v>33</v>
      </c>
    </row>
    <row r="3" spans="1:9" ht="15.75">
      <c r="A3" s="121" t="s">
        <v>193</v>
      </c>
      <c r="B3" s="121"/>
      <c r="C3" s="121"/>
      <c r="D3" s="121"/>
      <c r="E3" s="121"/>
      <c r="F3" s="121"/>
      <c r="G3" s="121"/>
      <c r="H3" s="121"/>
      <c r="I3" s="121"/>
    </row>
    <row r="5" spans="1:9" ht="12.75">
      <c r="A5" s="2" t="s">
        <v>15</v>
      </c>
      <c r="B5" s="2" t="s">
        <v>194</v>
      </c>
      <c r="C5" s="2" t="s">
        <v>195</v>
      </c>
      <c r="D5" s="8" t="s">
        <v>196</v>
      </c>
      <c r="E5" s="2" t="s">
        <v>200</v>
      </c>
      <c r="F5" s="2" t="s">
        <v>210</v>
      </c>
      <c r="G5" s="2" t="s">
        <v>202</v>
      </c>
      <c r="H5" s="2" t="s">
        <v>197</v>
      </c>
      <c r="I5" s="2" t="s">
        <v>199</v>
      </c>
    </row>
    <row r="6" spans="1:9" ht="12.75">
      <c r="A6" s="2"/>
      <c r="B6" s="2"/>
      <c r="C6" s="2"/>
      <c r="D6" s="2"/>
      <c r="E6" s="2" t="s">
        <v>201</v>
      </c>
      <c r="F6" s="2" t="s">
        <v>211</v>
      </c>
      <c r="G6" s="2" t="s">
        <v>203</v>
      </c>
      <c r="H6" s="2" t="s">
        <v>198</v>
      </c>
      <c r="I6" s="2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 t="s">
        <v>27</v>
      </c>
      <c r="B8" s="3" t="s">
        <v>204</v>
      </c>
      <c r="C8" s="3">
        <v>0</v>
      </c>
      <c r="D8" s="3"/>
      <c r="E8" s="3">
        <f>'ACTIVOS FIJOS'!D14</f>
        <v>5868</v>
      </c>
      <c r="F8" s="4"/>
      <c r="G8" s="4"/>
      <c r="H8" s="4"/>
      <c r="I8" s="4">
        <f>E8-H8</f>
        <v>5868</v>
      </c>
    </row>
    <row r="9" spans="1:9" ht="12.75">
      <c r="A9" s="3"/>
      <c r="B9" s="3"/>
      <c r="C9" s="3">
        <v>1</v>
      </c>
      <c r="D9" s="46">
        <v>0.3333334</v>
      </c>
      <c r="E9" s="3">
        <v>5868</v>
      </c>
      <c r="F9" s="4">
        <f>E9*D9</f>
        <v>1956.0003912</v>
      </c>
      <c r="G9" s="4">
        <f>E9-F9</f>
        <v>3911.9996088</v>
      </c>
      <c r="H9" s="4">
        <f>E8-G9</f>
        <v>1956.0003912000002</v>
      </c>
      <c r="I9" s="4">
        <f>E9-H9</f>
        <v>3911.9996088</v>
      </c>
    </row>
    <row r="10" spans="1:9" ht="12.75">
      <c r="A10" s="3"/>
      <c r="B10" s="3"/>
      <c r="C10" s="3">
        <v>2</v>
      </c>
      <c r="D10" s="46">
        <v>0.3333334</v>
      </c>
      <c r="E10" s="3">
        <v>5868</v>
      </c>
      <c r="F10" s="4">
        <f>E10*D10</f>
        <v>1956.0003912</v>
      </c>
      <c r="G10" s="4">
        <f>G9-F10</f>
        <v>1955.9992175999998</v>
      </c>
      <c r="H10" s="4">
        <f>E9-G10</f>
        <v>3912.0007824000004</v>
      </c>
      <c r="I10" s="4">
        <f>E10-H10</f>
        <v>1955.9992175999996</v>
      </c>
    </row>
    <row r="11" spans="1:9" ht="12.75">
      <c r="A11" s="3"/>
      <c r="B11" s="3"/>
      <c r="C11" s="3">
        <v>3</v>
      </c>
      <c r="D11" s="46">
        <v>0.3333334</v>
      </c>
      <c r="E11" s="3">
        <v>5868</v>
      </c>
      <c r="F11" s="4">
        <f>E11*D11</f>
        <v>1956.0003912</v>
      </c>
      <c r="G11" s="4">
        <f>G10-F11</f>
        <v>-0.0011736000001292268</v>
      </c>
      <c r="H11" s="4">
        <f>E10-G11</f>
        <v>5868.0011736</v>
      </c>
      <c r="I11" s="4">
        <f>E11-H11</f>
        <v>-0.0011735999996744795</v>
      </c>
    </row>
    <row r="12" spans="1:9" ht="12.75">
      <c r="A12" s="3"/>
      <c r="B12" s="3"/>
      <c r="C12" s="3"/>
      <c r="D12" s="46"/>
      <c r="E12" s="3"/>
      <c r="F12" s="4"/>
      <c r="G12" s="4"/>
      <c r="H12" s="4"/>
      <c r="I12" s="4"/>
    </row>
    <row r="13" spans="1:9" ht="12.75">
      <c r="A13" s="3" t="s">
        <v>205</v>
      </c>
      <c r="B13" s="3" t="s">
        <v>207</v>
      </c>
      <c r="C13" s="3">
        <v>0</v>
      </c>
      <c r="D13" s="3"/>
      <c r="E13" s="3">
        <f>SUM('ACTIVOS FIJOS'!D18:D23)</f>
        <v>1886</v>
      </c>
      <c r="F13" s="4"/>
      <c r="G13" s="4"/>
      <c r="H13" s="4"/>
      <c r="I13" s="4">
        <f>E13-H13</f>
        <v>1886</v>
      </c>
    </row>
    <row r="14" spans="1:9" ht="12.75">
      <c r="A14" s="3" t="s">
        <v>206</v>
      </c>
      <c r="B14" s="3"/>
      <c r="C14" s="3">
        <v>1</v>
      </c>
      <c r="D14" s="33">
        <v>0.1</v>
      </c>
      <c r="E14" s="3">
        <f>E13</f>
        <v>1886</v>
      </c>
      <c r="F14" s="4">
        <f>E14*D14</f>
        <v>188.60000000000002</v>
      </c>
      <c r="G14" s="4">
        <f>E14-F14</f>
        <v>1697.4</v>
      </c>
      <c r="H14" s="4">
        <f>E13-G14</f>
        <v>188.5999999999999</v>
      </c>
      <c r="I14" s="4">
        <f>E14-H14</f>
        <v>1697.4</v>
      </c>
    </row>
    <row r="15" spans="1:9" ht="12.75">
      <c r="A15" s="3"/>
      <c r="B15" s="3"/>
      <c r="C15" s="3">
        <v>2</v>
      </c>
      <c r="D15" s="33">
        <v>0.1</v>
      </c>
      <c r="E15" s="3">
        <f>E14</f>
        <v>1886</v>
      </c>
      <c r="F15" s="4">
        <f>E15*D15</f>
        <v>188.60000000000002</v>
      </c>
      <c r="G15" s="4">
        <f>G14-F15</f>
        <v>1508.8000000000002</v>
      </c>
      <c r="H15" s="4">
        <f>E14-G15</f>
        <v>377.1999999999998</v>
      </c>
      <c r="I15" s="4">
        <f>E15-H15</f>
        <v>1508.8000000000002</v>
      </c>
    </row>
    <row r="16" spans="1:9" ht="12.75">
      <c r="A16" s="3"/>
      <c r="B16" s="3"/>
      <c r="C16" s="3">
        <v>3</v>
      </c>
      <c r="D16" s="33">
        <v>0.1</v>
      </c>
      <c r="E16" s="3">
        <f>E15</f>
        <v>1886</v>
      </c>
      <c r="F16" s="4">
        <f>E16*D16</f>
        <v>188.60000000000002</v>
      </c>
      <c r="G16" s="4">
        <f>G15-F16</f>
        <v>1320.2000000000003</v>
      </c>
      <c r="H16" s="4">
        <f>E15-G16</f>
        <v>565.7999999999997</v>
      </c>
      <c r="I16" s="4">
        <f>E16-H16</f>
        <v>1320.2000000000003</v>
      </c>
    </row>
    <row r="17" spans="1:9" ht="12.75">
      <c r="A17" s="3"/>
      <c r="B17" s="3"/>
      <c r="C17" s="3">
        <v>4</v>
      </c>
      <c r="D17" s="33">
        <v>0.1</v>
      </c>
      <c r="E17" s="3">
        <f>E16</f>
        <v>1886</v>
      </c>
      <c r="F17" s="4">
        <f>E17*D17</f>
        <v>188.60000000000002</v>
      </c>
      <c r="G17" s="4">
        <f>G16-F17</f>
        <v>1131.6000000000004</v>
      </c>
      <c r="H17" s="4">
        <f>E16-G17</f>
        <v>754.3999999999996</v>
      </c>
      <c r="I17" s="4">
        <f>E17-H17</f>
        <v>1131.6000000000004</v>
      </c>
    </row>
    <row r="18" spans="1:9" ht="12.75">
      <c r="A18" s="3"/>
      <c r="B18" s="3"/>
      <c r="C18" s="3">
        <v>5</v>
      </c>
      <c r="D18" s="33">
        <v>0.1</v>
      </c>
      <c r="E18" s="3">
        <f aca="true" t="shared" si="0" ref="E18:E23">E17</f>
        <v>1886</v>
      </c>
      <c r="F18" s="4">
        <f aca="true" t="shared" si="1" ref="F18:F23">E18*D18</f>
        <v>188.60000000000002</v>
      </c>
      <c r="G18" s="4">
        <f aca="true" t="shared" si="2" ref="G18:G23">G17-F18</f>
        <v>943.0000000000003</v>
      </c>
      <c r="H18" s="4">
        <f aca="true" t="shared" si="3" ref="H18:H23">E17-G18</f>
        <v>942.9999999999997</v>
      </c>
      <c r="I18" s="4">
        <f aca="true" t="shared" si="4" ref="I18:I23">E18-H18</f>
        <v>943.0000000000003</v>
      </c>
    </row>
    <row r="19" spans="1:9" ht="12.75">
      <c r="A19" s="3"/>
      <c r="B19" s="3"/>
      <c r="C19" s="3">
        <v>6</v>
      </c>
      <c r="D19" s="33">
        <v>0.1</v>
      </c>
      <c r="E19" s="3">
        <f t="shared" si="0"/>
        <v>1886</v>
      </c>
      <c r="F19" s="4">
        <f t="shared" si="1"/>
        <v>188.60000000000002</v>
      </c>
      <c r="G19" s="4">
        <f t="shared" si="2"/>
        <v>754.4000000000003</v>
      </c>
      <c r="H19" s="4">
        <f t="shared" si="3"/>
        <v>1131.5999999999997</v>
      </c>
      <c r="I19" s="4">
        <f t="shared" si="4"/>
        <v>754.4000000000003</v>
      </c>
    </row>
    <row r="20" spans="1:9" ht="12.75">
      <c r="A20" s="3"/>
      <c r="B20" s="3"/>
      <c r="C20" s="3">
        <v>7</v>
      </c>
      <c r="D20" s="33">
        <v>0.1</v>
      </c>
      <c r="E20" s="3">
        <f t="shared" si="0"/>
        <v>1886</v>
      </c>
      <c r="F20" s="4">
        <f t="shared" si="1"/>
        <v>188.60000000000002</v>
      </c>
      <c r="G20" s="4">
        <f t="shared" si="2"/>
        <v>565.8000000000003</v>
      </c>
      <c r="H20" s="4">
        <f t="shared" si="3"/>
        <v>1320.1999999999998</v>
      </c>
      <c r="I20" s="4">
        <f t="shared" si="4"/>
        <v>565.8000000000002</v>
      </c>
    </row>
    <row r="21" spans="1:9" ht="12.75">
      <c r="A21" s="3"/>
      <c r="B21" s="3"/>
      <c r="C21" s="3">
        <v>8</v>
      </c>
      <c r="D21" s="33">
        <v>0.1</v>
      </c>
      <c r="E21" s="3">
        <f t="shared" si="0"/>
        <v>1886</v>
      </c>
      <c r="F21" s="4">
        <f t="shared" si="1"/>
        <v>188.60000000000002</v>
      </c>
      <c r="G21" s="4">
        <f t="shared" si="2"/>
        <v>377.2000000000003</v>
      </c>
      <c r="H21" s="4">
        <f t="shared" si="3"/>
        <v>1508.7999999999997</v>
      </c>
      <c r="I21" s="4">
        <f t="shared" si="4"/>
        <v>377.2000000000003</v>
      </c>
    </row>
    <row r="22" spans="1:9" ht="12.75">
      <c r="A22" s="3"/>
      <c r="B22" s="3"/>
      <c r="C22" s="3">
        <v>9</v>
      </c>
      <c r="D22" s="33">
        <v>0.1</v>
      </c>
      <c r="E22" s="3">
        <f t="shared" si="0"/>
        <v>1886</v>
      </c>
      <c r="F22" s="4">
        <f t="shared" si="1"/>
        <v>188.60000000000002</v>
      </c>
      <c r="G22" s="4">
        <f t="shared" si="2"/>
        <v>188.60000000000025</v>
      </c>
      <c r="H22" s="4">
        <f t="shared" si="3"/>
        <v>1697.3999999999996</v>
      </c>
      <c r="I22" s="4">
        <f t="shared" si="4"/>
        <v>188.60000000000036</v>
      </c>
    </row>
    <row r="23" spans="1:9" ht="12.75">
      <c r="A23" s="3"/>
      <c r="B23" s="3"/>
      <c r="C23" s="3">
        <v>10</v>
      </c>
      <c r="D23" s="33">
        <v>0.1</v>
      </c>
      <c r="E23" s="3">
        <f t="shared" si="0"/>
        <v>1886</v>
      </c>
      <c r="F23" s="4">
        <f t="shared" si="1"/>
        <v>188.60000000000002</v>
      </c>
      <c r="G23" s="4">
        <f t="shared" si="2"/>
        <v>2.2737367544323206E-13</v>
      </c>
      <c r="H23" s="4">
        <f t="shared" si="3"/>
        <v>1885.9999999999998</v>
      </c>
      <c r="I23" s="4">
        <f t="shared" si="4"/>
        <v>0</v>
      </c>
    </row>
    <row r="24" spans="1:9" ht="12.75">
      <c r="A24" s="3"/>
      <c r="B24" s="3"/>
      <c r="C24" s="3"/>
      <c r="D24" s="33"/>
      <c r="E24" s="3"/>
      <c r="F24" s="4"/>
      <c r="G24" s="4"/>
      <c r="H24" s="4"/>
      <c r="I24" s="4"/>
    </row>
    <row r="25" spans="1:9" ht="12.75">
      <c r="A25" s="24" t="s">
        <v>278</v>
      </c>
      <c r="B25" s="24" t="s">
        <v>287</v>
      </c>
      <c r="C25" s="3">
        <v>0</v>
      </c>
      <c r="D25" s="33"/>
      <c r="E25" s="3">
        <f>'ACTIVOS FIJOS'!D29</f>
        <v>15000</v>
      </c>
      <c r="F25" s="4"/>
      <c r="G25" s="4"/>
      <c r="H25" s="4"/>
      <c r="I25" s="4">
        <f aca="true" t="shared" si="5" ref="I25:I30">E25-H25</f>
        <v>15000</v>
      </c>
    </row>
    <row r="26" spans="1:9" ht="12.75">
      <c r="A26" s="3"/>
      <c r="B26" s="3"/>
      <c r="C26" s="3">
        <v>1</v>
      </c>
      <c r="D26" s="33">
        <v>0.2</v>
      </c>
      <c r="E26" s="3">
        <f>E25</f>
        <v>15000</v>
      </c>
      <c r="F26" s="4">
        <f>E26*D26</f>
        <v>3000</v>
      </c>
      <c r="G26" s="4">
        <f>E26-F26</f>
        <v>12000</v>
      </c>
      <c r="H26" s="4">
        <f>E25-G26</f>
        <v>3000</v>
      </c>
      <c r="I26" s="4">
        <f t="shared" si="5"/>
        <v>12000</v>
      </c>
    </row>
    <row r="27" spans="1:9" ht="12.75">
      <c r="A27" s="3"/>
      <c r="B27" s="3"/>
      <c r="C27" s="3">
        <v>2</v>
      </c>
      <c r="D27" s="33">
        <v>0.2</v>
      </c>
      <c r="E27" s="3">
        <f>E26</f>
        <v>15000</v>
      </c>
      <c r="F27" s="4">
        <f>E27*D27</f>
        <v>3000</v>
      </c>
      <c r="G27" s="4">
        <f>G26-F27</f>
        <v>9000</v>
      </c>
      <c r="H27" s="4">
        <f>E26-G27</f>
        <v>6000</v>
      </c>
      <c r="I27" s="4">
        <f t="shared" si="5"/>
        <v>9000</v>
      </c>
    </row>
    <row r="28" spans="1:9" ht="12.75">
      <c r="A28" s="3"/>
      <c r="B28" s="3"/>
      <c r="C28" s="3">
        <v>3</v>
      </c>
      <c r="D28" s="33">
        <v>0.2</v>
      </c>
      <c r="E28" s="3">
        <f>E27</f>
        <v>15000</v>
      </c>
      <c r="F28" s="4">
        <f>E28*D28</f>
        <v>3000</v>
      </c>
      <c r="G28" s="4">
        <f>G27-F28</f>
        <v>6000</v>
      </c>
      <c r="H28" s="4">
        <f>E27-G28</f>
        <v>9000</v>
      </c>
      <c r="I28" s="4">
        <f t="shared" si="5"/>
        <v>6000</v>
      </c>
    </row>
    <row r="29" spans="1:9" ht="12.75">
      <c r="A29" s="3"/>
      <c r="B29" s="3"/>
      <c r="C29" s="3">
        <v>4</v>
      </c>
      <c r="D29" s="33">
        <v>0.2</v>
      </c>
      <c r="E29" s="3">
        <f>E28</f>
        <v>15000</v>
      </c>
      <c r="F29" s="4">
        <f>E29*D29</f>
        <v>3000</v>
      </c>
      <c r="G29" s="4">
        <f>G28-F29</f>
        <v>3000</v>
      </c>
      <c r="H29" s="4">
        <f>E28-G29</f>
        <v>12000</v>
      </c>
      <c r="I29" s="4">
        <f t="shared" si="5"/>
        <v>3000</v>
      </c>
    </row>
    <row r="30" spans="1:9" ht="12.75">
      <c r="A30" s="3"/>
      <c r="B30" s="3"/>
      <c r="C30" s="3">
        <v>5</v>
      </c>
      <c r="D30" s="33">
        <v>0.2</v>
      </c>
      <c r="E30" s="3">
        <f>E29</f>
        <v>15000</v>
      </c>
      <c r="F30" s="4">
        <f>E30*D30</f>
        <v>3000</v>
      </c>
      <c r="G30" s="4">
        <f>G29-F30</f>
        <v>0</v>
      </c>
      <c r="H30" s="4">
        <f>E29-G30</f>
        <v>15000</v>
      </c>
      <c r="I30" s="4">
        <f t="shared" si="5"/>
        <v>0</v>
      </c>
    </row>
    <row r="31" spans="1:9" ht="12.75">
      <c r="A31" s="3"/>
      <c r="B31" s="3"/>
      <c r="C31" s="3"/>
      <c r="D31" s="33"/>
      <c r="E31" s="3"/>
      <c r="F31" s="4"/>
      <c r="G31" s="4"/>
      <c r="H31" s="4"/>
      <c r="I31" s="4"/>
    </row>
    <row r="32" spans="1:9" ht="12.75">
      <c r="A32" s="3"/>
      <c r="B32" s="3"/>
      <c r="C32" s="3"/>
      <c r="D32" s="3"/>
      <c r="E32" s="3"/>
      <c r="F32" s="4"/>
      <c r="G32" s="4"/>
      <c r="H32" s="4"/>
      <c r="I32" s="4"/>
    </row>
    <row r="33" spans="1:9" ht="12.75">
      <c r="A33" s="3" t="s">
        <v>208</v>
      </c>
      <c r="B33" s="24" t="s">
        <v>288</v>
      </c>
      <c r="C33" s="3">
        <v>0</v>
      </c>
      <c r="D33" s="33"/>
      <c r="E33" s="3">
        <f>'ACTIVOS FIJOS'!D34</f>
        <v>1800</v>
      </c>
      <c r="F33" s="4"/>
      <c r="G33" s="4"/>
      <c r="H33" s="4"/>
      <c r="I33" s="4">
        <f aca="true" t="shared" si="6" ref="I33:I38">E33-H33</f>
        <v>1800</v>
      </c>
    </row>
    <row r="34" spans="1:9" ht="12.75">
      <c r="A34" s="3" t="s">
        <v>209</v>
      </c>
      <c r="B34" s="3"/>
      <c r="C34" s="3">
        <v>1</v>
      </c>
      <c r="D34" s="33">
        <v>0.2</v>
      </c>
      <c r="E34" s="3">
        <f>E33</f>
        <v>1800</v>
      </c>
      <c r="F34" s="4">
        <f>E34*D34</f>
        <v>360</v>
      </c>
      <c r="G34" s="4">
        <f>E34-F34</f>
        <v>1440</v>
      </c>
      <c r="H34" s="4">
        <f>E33-G34</f>
        <v>360</v>
      </c>
      <c r="I34" s="4">
        <f t="shared" si="6"/>
        <v>1440</v>
      </c>
    </row>
    <row r="35" spans="1:9" ht="12.75">
      <c r="A35" s="3"/>
      <c r="B35" s="3"/>
      <c r="C35" s="3">
        <v>2</v>
      </c>
      <c r="D35" s="33">
        <v>0.2</v>
      </c>
      <c r="E35" s="3">
        <f>E34</f>
        <v>1800</v>
      </c>
      <c r="F35" s="4">
        <f>E35*D35</f>
        <v>360</v>
      </c>
      <c r="G35" s="4">
        <f>G34-F35</f>
        <v>1080</v>
      </c>
      <c r="H35" s="4">
        <f>E34-G35</f>
        <v>720</v>
      </c>
      <c r="I35" s="4">
        <f t="shared" si="6"/>
        <v>1080</v>
      </c>
    </row>
    <row r="36" spans="1:9" ht="12.75">
      <c r="A36" s="3"/>
      <c r="B36" s="3"/>
      <c r="C36" s="3">
        <v>3</v>
      </c>
      <c r="D36" s="33">
        <v>0.2</v>
      </c>
      <c r="E36" s="3">
        <f>E35</f>
        <v>1800</v>
      </c>
      <c r="F36" s="4">
        <f>E36*D36</f>
        <v>360</v>
      </c>
      <c r="G36" s="4">
        <f>G35-F36</f>
        <v>720</v>
      </c>
      <c r="H36" s="4">
        <f>E35-G36</f>
        <v>1080</v>
      </c>
      <c r="I36" s="4">
        <f t="shared" si="6"/>
        <v>720</v>
      </c>
    </row>
    <row r="37" spans="1:9" ht="12.75">
      <c r="A37" s="3"/>
      <c r="B37" s="3"/>
      <c r="C37" s="3">
        <v>4</v>
      </c>
      <c r="D37" s="33">
        <v>0.2</v>
      </c>
      <c r="E37" s="3">
        <f>E36</f>
        <v>1800</v>
      </c>
      <c r="F37" s="4">
        <f>E37*D37</f>
        <v>360</v>
      </c>
      <c r="G37" s="4">
        <f>G36-F37</f>
        <v>360</v>
      </c>
      <c r="H37" s="4">
        <f>E36-G37</f>
        <v>1440</v>
      </c>
      <c r="I37" s="4">
        <f t="shared" si="6"/>
        <v>360</v>
      </c>
    </row>
    <row r="38" spans="1:9" ht="12.75">
      <c r="A38" s="3"/>
      <c r="B38" s="3"/>
      <c r="C38" s="3">
        <v>5</v>
      </c>
      <c r="D38" s="33">
        <v>0.2</v>
      </c>
      <c r="E38" s="3">
        <f>E37</f>
        <v>1800</v>
      </c>
      <c r="F38" s="4">
        <f>E38*D38</f>
        <v>360</v>
      </c>
      <c r="G38" s="4">
        <f>G37-F38</f>
        <v>0</v>
      </c>
      <c r="H38" s="4">
        <f>E37-G38</f>
        <v>1800</v>
      </c>
      <c r="I38" s="4">
        <f t="shared" si="6"/>
        <v>0</v>
      </c>
    </row>
  </sheetData>
  <sheetProtection/>
  <mergeCells count="1">
    <mergeCell ref="A3:I3"/>
  </mergeCells>
  <printOptions/>
  <pageMargins left="1.5416666666666667" right="0.75" top="1.6770833333333333" bottom="1" header="0" footer="0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7" sqref="A27"/>
    </sheetView>
  </sheetViews>
  <sheetFormatPr defaultColWidth="11.421875" defaultRowHeight="12.75"/>
  <cols>
    <col min="1" max="1" width="5.57421875" style="0" customWidth="1"/>
    <col min="2" max="2" width="19.7109375" style="0" customWidth="1"/>
    <col min="3" max="3" width="4.7109375" style="0" customWidth="1"/>
    <col min="4" max="4" width="9.28125" style="0" customWidth="1"/>
    <col min="5" max="5" width="11.00390625" style="0" customWidth="1"/>
    <col min="6" max="6" width="10.00390625" style="0" customWidth="1"/>
    <col min="7" max="7" width="9.28125" style="0" customWidth="1"/>
    <col min="8" max="8" width="9.421875" style="0" customWidth="1"/>
    <col min="10" max="10" width="9.57421875" style="0" customWidth="1"/>
    <col min="11" max="11" width="10.8515625" style="0" bestFit="1" customWidth="1"/>
    <col min="12" max="12" width="10.7109375" style="0" customWidth="1"/>
    <col min="13" max="13" width="10.421875" style="0" customWidth="1"/>
  </cols>
  <sheetData>
    <row r="1" ht="12.75">
      <c r="B1" t="s">
        <v>34</v>
      </c>
    </row>
    <row r="3" spans="1:13" ht="15.75">
      <c r="A3" s="128" t="s">
        <v>35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s="23" customFormat="1" ht="12.75">
      <c r="A4" s="2"/>
      <c r="B4" s="2" t="s">
        <v>15</v>
      </c>
      <c r="C4" s="2" t="s">
        <v>58</v>
      </c>
      <c r="D4" s="2" t="s">
        <v>245</v>
      </c>
      <c r="E4" s="2" t="s">
        <v>60</v>
      </c>
      <c r="F4" s="2" t="s">
        <v>59</v>
      </c>
      <c r="G4" s="2" t="s">
        <v>37</v>
      </c>
      <c r="H4" s="2" t="s">
        <v>38</v>
      </c>
      <c r="I4" s="2" t="s">
        <v>50</v>
      </c>
      <c r="J4" s="2" t="s">
        <v>51</v>
      </c>
      <c r="K4" s="2" t="s">
        <v>52</v>
      </c>
      <c r="L4" s="2"/>
      <c r="M4" s="2"/>
    </row>
    <row r="5" spans="1:13" s="23" customFormat="1" ht="12.75">
      <c r="A5" s="2"/>
      <c r="B5" s="2"/>
      <c r="C5" s="2"/>
      <c r="D5" s="2"/>
      <c r="E5" s="2"/>
      <c r="F5" s="2"/>
      <c r="G5" s="24" t="s">
        <v>48</v>
      </c>
      <c r="H5" s="24" t="s">
        <v>49</v>
      </c>
      <c r="I5" s="25">
        <v>0.1115</v>
      </c>
      <c r="J5" s="2"/>
      <c r="K5" s="2" t="s">
        <v>53</v>
      </c>
      <c r="L5" s="2" t="s">
        <v>56</v>
      </c>
      <c r="M5" s="2" t="s">
        <v>57</v>
      </c>
    </row>
    <row r="6" spans="1:15" ht="12.75">
      <c r="A6" s="3">
        <v>1</v>
      </c>
      <c r="B6" s="3" t="s">
        <v>256</v>
      </c>
      <c r="C6" s="3">
        <v>1</v>
      </c>
      <c r="D6" s="4">
        <v>1000</v>
      </c>
      <c r="E6" s="4">
        <f>C6*D6</f>
        <v>1000</v>
      </c>
      <c r="F6" s="4">
        <f>E6*12</f>
        <v>12000</v>
      </c>
      <c r="G6" s="4">
        <f>F6/12</f>
        <v>1000</v>
      </c>
      <c r="H6" s="4">
        <f>218*C6</f>
        <v>218</v>
      </c>
      <c r="I6" s="9">
        <f>F6*11.15%</f>
        <v>1338</v>
      </c>
      <c r="J6" s="9">
        <f>F6/12</f>
        <v>1000</v>
      </c>
      <c r="K6" s="9">
        <f>F6+G6+H6+I6+J6</f>
        <v>15556</v>
      </c>
      <c r="L6" s="28">
        <f>K6*1.03</f>
        <v>16022.68</v>
      </c>
      <c r="M6" s="28">
        <f>L6*1.03</f>
        <v>16503.3604</v>
      </c>
      <c r="O6" s="49"/>
    </row>
    <row r="7" spans="1:15" ht="12.75">
      <c r="A7" s="3">
        <v>2</v>
      </c>
      <c r="B7" s="3" t="s">
        <v>257</v>
      </c>
      <c r="C7" s="3">
        <v>1</v>
      </c>
      <c r="D7" s="4">
        <v>1000</v>
      </c>
      <c r="E7" s="4">
        <f aca="true" t="shared" si="0" ref="E7:E12">C7*D7</f>
        <v>1000</v>
      </c>
      <c r="F7" s="4">
        <f aca="true" t="shared" si="1" ref="F7:F12">E7*12</f>
        <v>12000</v>
      </c>
      <c r="G7" s="4">
        <f aca="true" t="shared" si="2" ref="G7:G12">F7/12</f>
        <v>1000</v>
      </c>
      <c r="H7" s="4">
        <f aca="true" t="shared" si="3" ref="H7:H12">218*C7</f>
        <v>218</v>
      </c>
      <c r="I7" s="9">
        <f aca="true" t="shared" si="4" ref="I7:I12">F7*11.15%</f>
        <v>1338</v>
      </c>
      <c r="J7" s="9">
        <f aca="true" t="shared" si="5" ref="J7:J12">F7/12</f>
        <v>1000</v>
      </c>
      <c r="K7" s="9">
        <f aca="true" t="shared" si="6" ref="K7:K12">F7+G7+H7+I7+J7</f>
        <v>15556</v>
      </c>
      <c r="L7" s="28">
        <f aca="true" t="shared" si="7" ref="L7:M15">K7*1.03</f>
        <v>16022.68</v>
      </c>
      <c r="M7" s="28">
        <f t="shared" si="7"/>
        <v>16503.3604</v>
      </c>
      <c r="O7" s="49"/>
    </row>
    <row r="8" spans="1:15" ht="12.75">
      <c r="A8" s="3">
        <v>3</v>
      </c>
      <c r="B8" s="3" t="s">
        <v>258</v>
      </c>
      <c r="C8" s="3">
        <v>1</v>
      </c>
      <c r="D8" s="4">
        <v>300</v>
      </c>
      <c r="E8" s="4">
        <f t="shared" si="0"/>
        <v>300</v>
      </c>
      <c r="F8" s="4">
        <f t="shared" si="1"/>
        <v>3600</v>
      </c>
      <c r="G8" s="4">
        <f t="shared" si="2"/>
        <v>300</v>
      </c>
      <c r="H8" s="4">
        <f t="shared" si="3"/>
        <v>218</v>
      </c>
      <c r="I8" s="9">
        <f t="shared" si="4"/>
        <v>401.40000000000003</v>
      </c>
      <c r="J8" s="9">
        <f t="shared" si="5"/>
        <v>300</v>
      </c>
      <c r="K8" s="9">
        <f t="shared" si="6"/>
        <v>4819.4</v>
      </c>
      <c r="L8" s="28">
        <f t="shared" si="7"/>
        <v>4963.982</v>
      </c>
      <c r="M8" s="28">
        <f t="shared" si="7"/>
        <v>5112.90146</v>
      </c>
      <c r="O8" s="49"/>
    </row>
    <row r="9" spans="1:15" ht="12.75">
      <c r="A9" s="3">
        <v>4</v>
      </c>
      <c r="B9" s="3" t="s">
        <v>259</v>
      </c>
      <c r="C9" s="3">
        <v>2</v>
      </c>
      <c r="D9" s="4">
        <v>300</v>
      </c>
      <c r="E9" s="4">
        <f t="shared" si="0"/>
        <v>600</v>
      </c>
      <c r="F9" s="4">
        <f t="shared" si="1"/>
        <v>7200</v>
      </c>
      <c r="G9" s="4">
        <f t="shared" si="2"/>
        <v>600</v>
      </c>
      <c r="H9" s="4">
        <f t="shared" si="3"/>
        <v>436</v>
      </c>
      <c r="I9" s="9">
        <f t="shared" si="4"/>
        <v>802.8000000000001</v>
      </c>
      <c r="J9" s="9">
        <f t="shared" si="5"/>
        <v>600</v>
      </c>
      <c r="K9" s="9">
        <f t="shared" si="6"/>
        <v>9638.8</v>
      </c>
      <c r="L9" s="28">
        <f t="shared" si="7"/>
        <v>9927.964</v>
      </c>
      <c r="M9" s="28">
        <f t="shared" si="7"/>
        <v>10225.80292</v>
      </c>
      <c r="O9" s="49"/>
    </row>
    <row r="10" spans="1:15" ht="12.75">
      <c r="A10" s="3">
        <v>5</v>
      </c>
      <c r="B10" s="3" t="s">
        <v>36</v>
      </c>
      <c r="C10" s="3">
        <v>1</v>
      </c>
      <c r="D10" s="4">
        <v>250</v>
      </c>
      <c r="E10" s="4">
        <f t="shared" si="0"/>
        <v>250</v>
      </c>
      <c r="F10" s="4">
        <f t="shared" si="1"/>
        <v>3000</v>
      </c>
      <c r="G10" s="4">
        <f t="shared" si="2"/>
        <v>250</v>
      </c>
      <c r="H10" s="4">
        <f t="shared" si="3"/>
        <v>218</v>
      </c>
      <c r="I10" s="9">
        <f t="shared" si="4"/>
        <v>334.5</v>
      </c>
      <c r="J10" s="9">
        <f t="shared" si="5"/>
        <v>250</v>
      </c>
      <c r="K10" s="9">
        <f t="shared" si="6"/>
        <v>4052.5</v>
      </c>
      <c r="L10" s="28">
        <f t="shared" si="7"/>
        <v>4174.075</v>
      </c>
      <c r="M10" s="28">
        <f t="shared" si="7"/>
        <v>4299.29725</v>
      </c>
      <c r="O10" s="49"/>
    </row>
    <row r="11" spans="1:15" ht="12.75">
      <c r="A11" s="3">
        <v>6</v>
      </c>
      <c r="B11" s="3" t="s">
        <v>260</v>
      </c>
      <c r="C11" s="3">
        <v>1</v>
      </c>
      <c r="D11" s="4">
        <v>200</v>
      </c>
      <c r="E11" s="4">
        <f t="shared" si="0"/>
        <v>200</v>
      </c>
      <c r="F11" s="4">
        <f t="shared" si="1"/>
        <v>2400</v>
      </c>
      <c r="G11" s="4">
        <f t="shared" si="2"/>
        <v>200</v>
      </c>
      <c r="H11" s="4">
        <f t="shared" si="3"/>
        <v>218</v>
      </c>
      <c r="I11" s="9">
        <f t="shared" si="4"/>
        <v>267.6</v>
      </c>
      <c r="J11" s="9">
        <f t="shared" si="5"/>
        <v>200</v>
      </c>
      <c r="K11" s="9">
        <f t="shared" si="6"/>
        <v>3285.6</v>
      </c>
      <c r="L11" s="28">
        <f t="shared" si="7"/>
        <v>3384.168</v>
      </c>
      <c r="M11" s="28">
        <f t="shared" si="7"/>
        <v>3485.69304</v>
      </c>
      <c r="O11" s="49"/>
    </row>
    <row r="12" spans="1:15" ht="12.75">
      <c r="A12" s="3">
        <v>7</v>
      </c>
      <c r="B12" s="24" t="s">
        <v>269</v>
      </c>
      <c r="C12" s="3">
        <v>2</v>
      </c>
      <c r="D12" s="4">
        <v>600</v>
      </c>
      <c r="E12" s="4">
        <f t="shared" si="0"/>
        <v>1200</v>
      </c>
      <c r="F12" s="4">
        <f t="shared" si="1"/>
        <v>14400</v>
      </c>
      <c r="G12" s="4">
        <f t="shared" si="2"/>
        <v>1200</v>
      </c>
      <c r="H12" s="4">
        <f t="shared" si="3"/>
        <v>436</v>
      </c>
      <c r="I12" s="9">
        <f t="shared" si="4"/>
        <v>1605.6000000000001</v>
      </c>
      <c r="J12" s="9">
        <f t="shared" si="5"/>
        <v>1200</v>
      </c>
      <c r="K12" s="9">
        <f t="shared" si="6"/>
        <v>18841.6</v>
      </c>
      <c r="L12" s="28">
        <f t="shared" si="7"/>
        <v>19406.847999999998</v>
      </c>
      <c r="M12" s="28">
        <f t="shared" si="7"/>
        <v>19989.05344</v>
      </c>
      <c r="O12" s="49"/>
    </row>
    <row r="13" spans="1:13" ht="12.75">
      <c r="A13" s="3"/>
      <c r="B13" s="3"/>
      <c r="C13" s="3"/>
      <c r="D13" s="9"/>
      <c r="E13" s="9"/>
      <c r="F13" s="9"/>
      <c r="G13" s="9"/>
      <c r="H13" s="9"/>
      <c r="I13" s="9"/>
      <c r="J13" s="9"/>
      <c r="K13" s="9"/>
      <c r="L13" s="28">
        <f t="shared" si="7"/>
        <v>0</v>
      </c>
      <c r="M13" s="28">
        <f t="shared" si="7"/>
        <v>0</v>
      </c>
    </row>
    <row r="14" spans="1:13" ht="12.75">
      <c r="A14" s="3"/>
      <c r="B14" s="3"/>
      <c r="C14" s="3"/>
      <c r="D14" s="9"/>
      <c r="E14" s="9"/>
      <c r="F14" s="9"/>
      <c r="G14" s="9"/>
      <c r="H14" s="9"/>
      <c r="I14" s="9"/>
      <c r="J14" s="9"/>
      <c r="K14" s="9"/>
      <c r="L14" s="28">
        <f t="shared" si="7"/>
        <v>0</v>
      </c>
      <c r="M14" s="28">
        <f t="shared" si="7"/>
        <v>0</v>
      </c>
    </row>
    <row r="15" spans="1:13" ht="12.75">
      <c r="A15" s="3"/>
      <c r="B15" s="2" t="s">
        <v>32</v>
      </c>
      <c r="C15" s="2"/>
      <c r="D15" s="30">
        <f aca="true" t="shared" si="8" ref="D15:K15">SUM(D6:D14)</f>
        <v>3650</v>
      </c>
      <c r="E15" s="30">
        <f t="shared" si="8"/>
        <v>4550</v>
      </c>
      <c r="F15" s="30">
        <f t="shared" si="8"/>
        <v>54600</v>
      </c>
      <c r="G15" s="30">
        <f t="shared" si="8"/>
        <v>4550</v>
      </c>
      <c r="H15" s="30">
        <f t="shared" si="8"/>
        <v>1962</v>
      </c>
      <c r="I15" s="30">
        <f t="shared" si="8"/>
        <v>6087.9000000000015</v>
      </c>
      <c r="J15" s="29">
        <f t="shared" si="8"/>
        <v>4550</v>
      </c>
      <c r="K15" s="29">
        <f t="shared" si="8"/>
        <v>71749.9</v>
      </c>
      <c r="L15" s="31">
        <f t="shared" si="7"/>
        <v>73902.397</v>
      </c>
      <c r="M15" s="31">
        <f t="shared" si="7"/>
        <v>76119.46891</v>
      </c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89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0" ht="12.75">
      <c r="A19" s="26" t="s">
        <v>39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.75" customHeight="1">
      <c r="A20" s="27" t="s">
        <v>45</v>
      </c>
      <c r="B20" s="26" t="s">
        <v>41</v>
      </c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27"/>
      <c r="B21" s="27" t="s">
        <v>40</v>
      </c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27" t="s">
        <v>46</v>
      </c>
      <c r="B22" s="26" t="s">
        <v>42</v>
      </c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27" t="s">
        <v>47</v>
      </c>
      <c r="B23" s="26" t="s">
        <v>43</v>
      </c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27" t="s">
        <v>44</v>
      </c>
      <c r="B24" s="26" t="s">
        <v>55</v>
      </c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27"/>
      <c r="B25" s="27" t="s">
        <v>54</v>
      </c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/>
  <mergeCells count="1">
    <mergeCell ref="A3:M3"/>
  </mergeCells>
  <printOptions/>
  <pageMargins left="0.43" right="0.18" top="1" bottom="1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1">
      <selection activeCell="D55" sqref="D55:E55"/>
    </sheetView>
  </sheetViews>
  <sheetFormatPr defaultColWidth="11.421875" defaultRowHeight="12.75"/>
  <cols>
    <col min="1" max="1" width="28.421875" style="0" customWidth="1"/>
    <col min="2" max="2" width="15.421875" style="0" bestFit="1" customWidth="1"/>
    <col min="3" max="3" width="13.57421875" style="0" customWidth="1"/>
    <col min="4" max="4" width="15.140625" style="0" bestFit="1" customWidth="1"/>
    <col min="5" max="5" width="16.140625" style="0" bestFit="1" customWidth="1"/>
    <col min="7" max="7" width="11.8515625" style="47" bestFit="1" customWidth="1"/>
  </cols>
  <sheetData>
    <row r="1" ht="12.75">
      <c r="A1" t="s">
        <v>155</v>
      </c>
    </row>
    <row r="3" spans="1:5" ht="15.75">
      <c r="A3" s="121" t="s">
        <v>156</v>
      </c>
      <c r="B3" s="121"/>
      <c r="C3" s="121"/>
      <c r="D3" s="121"/>
      <c r="E3" s="121"/>
    </row>
    <row r="5" spans="1:5" ht="12.75">
      <c r="A5" s="2" t="s">
        <v>15</v>
      </c>
      <c r="B5" s="2" t="s">
        <v>157</v>
      </c>
      <c r="C5" s="2" t="s">
        <v>53</v>
      </c>
      <c r="D5" s="2" t="s">
        <v>72</v>
      </c>
      <c r="E5" s="2" t="s">
        <v>73</v>
      </c>
    </row>
    <row r="6" spans="1:5" ht="12.75">
      <c r="A6" s="3"/>
      <c r="B6" s="3"/>
      <c r="C6" s="3"/>
      <c r="D6" s="3"/>
      <c r="E6" s="3"/>
    </row>
    <row r="7" spans="1:5" ht="12.75">
      <c r="A7" s="2" t="s">
        <v>158</v>
      </c>
      <c r="B7" s="3"/>
      <c r="C7" s="3"/>
      <c r="D7" s="3"/>
      <c r="E7" s="3"/>
    </row>
    <row r="8" spans="1:5" ht="12.75">
      <c r="A8" s="2" t="s">
        <v>159</v>
      </c>
      <c r="B8" s="3"/>
      <c r="C8" s="3"/>
      <c r="D8" s="3"/>
      <c r="E8" s="3"/>
    </row>
    <row r="9" spans="1:7" s="85" customFormat="1" ht="12.75">
      <c r="A9" s="78" t="s">
        <v>160</v>
      </c>
      <c r="B9" s="91">
        <f>'FLUJO DE CAJA'!B34</f>
        <v>9600</v>
      </c>
      <c r="C9" s="92">
        <f>'FLUJO DE CAJA'!O34</f>
        <v>82598.70000000013</v>
      </c>
      <c r="D9" s="92">
        <f>'FLUJO DE CAJA'!P34</f>
        <v>193638.4747403296</v>
      </c>
      <c r="E9" s="92">
        <f>'FLUJO DE CAJA'!Q34</f>
        <v>327895.09440286906</v>
      </c>
      <c r="G9" s="97"/>
    </row>
    <row r="10" spans="1:7" s="85" customFormat="1" ht="12.75">
      <c r="A10" s="78" t="s">
        <v>162</v>
      </c>
      <c r="B10" s="91"/>
      <c r="C10" s="78"/>
      <c r="D10" s="78"/>
      <c r="E10" s="78"/>
      <c r="G10" s="97"/>
    </row>
    <row r="11" spans="1:7" s="85" customFormat="1" ht="12.75">
      <c r="A11" s="78" t="s">
        <v>163</v>
      </c>
      <c r="B11" s="91"/>
      <c r="C11" s="92">
        <f>'PRESUPUESTO INGRESO'!N31</f>
        <v>3916.8</v>
      </c>
      <c r="D11" s="92">
        <f>'PRESUPUESTO INGRESO'!O31</f>
        <v>4269.312</v>
      </c>
      <c r="E11" s="92">
        <f>'PRESUPUESTO INGRESO'!P31</f>
        <v>4653.550080000002</v>
      </c>
      <c r="G11" s="97"/>
    </row>
    <row r="12" spans="1:7" s="85" customFormat="1" ht="12.75">
      <c r="A12" s="93" t="s">
        <v>293</v>
      </c>
      <c r="B12" s="92">
        <f>SUM('ACTIVOS FIJOS'!D24:D25)</f>
        <v>580</v>
      </c>
      <c r="C12" s="96">
        <f>B12</f>
        <v>580</v>
      </c>
      <c r="D12" s="92">
        <f>B12</f>
        <v>580</v>
      </c>
      <c r="E12" s="92">
        <f>B12</f>
        <v>580</v>
      </c>
      <c r="G12" s="97"/>
    </row>
    <row r="13" spans="1:7" s="85" customFormat="1" ht="12.75">
      <c r="A13" s="78" t="s">
        <v>161</v>
      </c>
      <c r="B13" s="91">
        <f>SUM(B9:B12)</f>
        <v>10180</v>
      </c>
      <c r="C13" s="91">
        <f>SUM(C9:C12)</f>
        <v>87095.50000000013</v>
      </c>
      <c r="D13" s="91">
        <f>SUM(D9:D12)</f>
        <v>198487.7867403296</v>
      </c>
      <c r="E13" s="91">
        <f>SUM(E9:E12)</f>
        <v>333128.6444828691</v>
      </c>
      <c r="G13" s="97"/>
    </row>
    <row r="14" spans="1:7" s="85" customFormat="1" ht="12.75">
      <c r="A14" s="78"/>
      <c r="B14" s="91"/>
      <c r="C14" s="78"/>
      <c r="D14" s="78"/>
      <c r="E14" s="78"/>
      <c r="G14" s="97"/>
    </row>
    <row r="15" spans="1:7" s="85" customFormat="1" ht="12.75">
      <c r="A15" s="53" t="s">
        <v>164</v>
      </c>
      <c r="B15" s="91"/>
      <c r="C15" s="94"/>
      <c r="D15" s="78"/>
      <c r="E15" s="78"/>
      <c r="G15" s="97"/>
    </row>
    <row r="16" spans="1:7" s="85" customFormat="1" ht="12.75">
      <c r="A16" s="78" t="s">
        <v>165</v>
      </c>
      <c r="B16" s="91">
        <f>'ACTIVOS FIJOS'!D14</f>
        <v>5868</v>
      </c>
      <c r="C16" s="91">
        <f>B16</f>
        <v>5868</v>
      </c>
      <c r="D16" s="91">
        <f>C16</f>
        <v>5868</v>
      </c>
      <c r="E16" s="91">
        <f>D16</f>
        <v>5868</v>
      </c>
      <c r="G16" s="97"/>
    </row>
    <row r="17" spans="1:7" s="85" customFormat="1" ht="12.75">
      <c r="A17" s="78" t="s">
        <v>166</v>
      </c>
      <c r="B17" s="91"/>
      <c r="C17" s="91">
        <f>-(DEPRECIACION!H9)</f>
        <v>-1956.0003912000002</v>
      </c>
      <c r="D17" s="91">
        <f>-(DEPRECIACION!H10)</f>
        <v>-3912.0007824000004</v>
      </c>
      <c r="E17" s="91">
        <f>-(DEPRECIACION!H11)</f>
        <v>-5868.0011736</v>
      </c>
      <c r="G17" s="97"/>
    </row>
    <row r="18" spans="1:7" s="85" customFormat="1" ht="12.75">
      <c r="A18" s="78" t="s">
        <v>167</v>
      </c>
      <c r="B18" s="91"/>
      <c r="C18" s="91"/>
      <c r="D18" s="91"/>
      <c r="E18" s="91"/>
      <c r="G18" s="97"/>
    </row>
    <row r="19" spans="1:7" s="85" customFormat="1" ht="12.75">
      <c r="A19" s="78" t="s">
        <v>168</v>
      </c>
      <c r="B19" s="91">
        <f>SUM('ACTIVOS FIJOS'!D18:D23)</f>
        <v>1886</v>
      </c>
      <c r="C19" s="91">
        <f>B19</f>
        <v>1886</v>
      </c>
      <c r="D19" s="91">
        <f>C19</f>
        <v>1886</v>
      </c>
      <c r="E19" s="91">
        <f>D19</f>
        <v>1886</v>
      </c>
      <c r="G19" s="97"/>
    </row>
    <row r="20" spans="1:7" s="85" customFormat="1" ht="12.75">
      <c r="A20" s="78" t="s">
        <v>169</v>
      </c>
      <c r="B20" s="91"/>
      <c r="C20" s="91">
        <f>-(DEPRECIACION!H14)</f>
        <v>-188.5999999999999</v>
      </c>
      <c r="D20" s="91">
        <f>-(DEPRECIACION!H15)</f>
        <v>-377.1999999999998</v>
      </c>
      <c r="E20" s="91">
        <f>-(DEPRECIACION!H16)</f>
        <v>-565.7999999999997</v>
      </c>
      <c r="G20" s="97"/>
    </row>
    <row r="21" spans="1:7" s="85" customFormat="1" ht="12.75">
      <c r="A21" s="78" t="s">
        <v>167</v>
      </c>
      <c r="B21" s="91"/>
      <c r="C21" s="91"/>
      <c r="D21" s="91"/>
      <c r="E21" s="91"/>
      <c r="G21" s="97"/>
    </row>
    <row r="22" spans="1:7" s="85" customFormat="1" ht="12.75">
      <c r="A22" s="78" t="s">
        <v>278</v>
      </c>
      <c r="B22" s="91">
        <f>DEPRECIACION!E25</f>
        <v>15000</v>
      </c>
      <c r="C22" s="91">
        <f>B22</f>
        <v>15000</v>
      </c>
      <c r="D22" s="91">
        <f>C22</f>
        <v>15000</v>
      </c>
      <c r="E22" s="91">
        <f>D22</f>
        <v>15000</v>
      </c>
      <c r="G22" s="97"/>
    </row>
    <row r="23" spans="1:7" s="85" customFormat="1" ht="12.75">
      <c r="A23" s="78" t="s">
        <v>169</v>
      </c>
      <c r="B23" s="91"/>
      <c r="C23" s="91">
        <f>-(DEPRECIACION!H26)</f>
        <v>-3000</v>
      </c>
      <c r="D23" s="91">
        <f>-(DEPRECIACION!H27)</f>
        <v>-6000</v>
      </c>
      <c r="E23" s="91">
        <f>-(DEPRECIACION!H28)</f>
        <v>-9000</v>
      </c>
      <c r="G23" s="97"/>
    </row>
    <row r="24" spans="1:7" s="85" customFormat="1" ht="12.75">
      <c r="A24" s="78" t="s">
        <v>167</v>
      </c>
      <c r="B24" s="91"/>
      <c r="C24" s="86"/>
      <c r="D24" s="91"/>
      <c r="E24" s="91"/>
      <c r="G24" s="97"/>
    </row>
    <row r="25" spans="1:7" s="85" customFormat="1" ht="12.75">
      <c r="A25" s="78" t="s">
        <v>170</v>
      </c>
      <c r="B25" s="91">
        <f>DEPRECIACION!E33</f>
        <v>1800</v>
      </c>
      <c r="C25" s="91">
        <f>B25</f>
        <v>1800</v>
      </c>
      <c r="D25" s="91">
        <f>C25</f>
        <v>1800</v>
      </c>
      <c r="E25" s="91">
        <f>D25</f>
        <v>1800</v>
      </c>
      <c r="G25" s="97"/>
    </row>
    <row r="26" spans="1:7" s="85" customFormat="1" ht="12.75">
      <c r="A26" s="78" t="s">
        <v>171</v>
      </c>
      <c r="B26" s="91"/>
      <c r="C26" s="91">
        <f>-(DEPRECIACION!H34)</f>
        <v>-360</v>
      </c>
      <c r="D26" s="91">
        <f>-(DEPRECIACION!H35)</f>
        <v>-720</v>
      </c>
      <c r="E26" s="91">
        <f>-(DEPRECIACION!H36)</f>
        <v>-1080</v>
      </c>
      <c r="G26" s="97"/>
    </row>
    <row r="27" spans="1:7" s="85" customFormat="1" ht="12.75">
      <c r="A27" s="78" t="s">
        <v>167</v>
      </c>
      <c r="B27" s="91"/>
      <c r="C27" s="91"/>
      <c r="D27" s="91"/>
      <c r="E27" s="91"/>
      <c r="G27" s="97"/>
    </row>
    <row r="28" spans="1:7" s="85" customFormat="1" ht="12.75">
      <c r="A28" s="78" t="s">
        <v>172</v>
      </c>
      <c r="B28" s="91">
        <f>SUM(B16:B27)</f>
        <v>24554</v>
      </c>
      <c r="C28" s="91">
        <f>SUM(C16:C27)</f>
        <v>19049.3996088</v>
      </c>
      <c r="D28" s="91">
        <f>SUM(D16:D27)</f>
        <v>13544.7992176</v>
      </c>
      <c r="E28" s="91">
        <f>SUM(E16:E27)</f>
        <v>8040.198826400001</v>
      </c>
      <c r="G28" s="97"/>
    </row>
    <row r="29" spans="1:7" s="85" customFormat="1" ht="12.75">
      <c r="A29" s="53" t="s">
        <v>173</v>
      </c>
      <c r="B29" s="95">
        <f>B13+B28</f>
        <v>34734</v>
      </c>
      <c r="C29" s="95">
        <f>C13+C28</f>
        <v>106144.89960880013</v>
      </c>
      <c r="D29" s="95">
        <f>D13+D28</f>
        <v>212032.5859579296</v>
      </c>
      <c r="E29" s="95">
        <f>E13+E28</f>
        <v>341168.84330926905</v>
      </c>
      <c r="G29" s="97"/>
    </row>
    <row r="30" spans="1:7" s="85" customFormat="1" ht="12.75">
      <c r="A30" s="78"/>
      <c r="B30" s="78"/>
      <c r="C30" s="86"/>
      <c r="D30" s="86"/>
      <c r="E30" s="86"/>
      <c r="G30" s="97"/>
    </row>
    <row r="31" spans="1:7" s="85" customFormat="1" ht="12.75">
      <c r="A31" s="53" t="s">
        <v>174</v>
      </c>
      <c r="B31" s="78"/>
      <c r="C31" s="86"/>
      <c r="D31" s="86"/>
      <c r="E31" s="86"/>
      <c r="G31" s="97"/>
    </row>
    <row r="32" spans="1:7" s="85" customFormat="1" ht="12.75">
      <c r="A32" s="78" t="s">
        <v>175</v>
      </c>
      <c r="B32" s="78"/>
      <c r="C32" s="86"/>
      <c r="D32" s="86"/>
      <c r="E32" s="86"/>
      <c r="G32" s="97"/>
    </row>
    <row r="33" spans="1:7" s="85" customFormat="1" ht="12.75">
      <c r="A33" s="78" t="s">
        <v>176</v>
      </c>
      <c r="B33" s="91"/>
      <c r="C33" s="91">
        <f>PERSONAL!J15</f>
        <v>4550</v>
      </c>
      <c r="D33" s="91">
        <f>C33*1.03</f>
        <v>4686.5</v>
      </c>
      <c r="E33" s="91">
        <f>D33*1.03</f>
        <v>4827.095</v>
      </c>
      <c r="G33" s="97"/>
    </row>
    <row r="34" spans="1:7" s="85" customFormat="1" ht="12.75">
      <c r="A34" s="78" t="s">
        <v>177</v>
      </c>
      <c r="B34" s="86"/>
      <c r="C34" s="86"/>
      <c r="D34" s="86"/>
      <c r="E34" s="86"/>
      <c r="G34" s="97"/>
    </row>
    <row r="35" spans="1:7" s="85" customFormat="1" ht="12.75">
      <c r="A35" s="78" t="s">
        <v>178</v>
      </c>
      <c r="B35" s="91"/>
      <c r="C35" s="91">
        <f>'E.RESULTADO'!B18-'PRESUPUESTO INGRESO'!N31</f>
        <v>10913.893666869997</v>
      </c>
      <c r="D35" s="91">
        <f>'E.RESULTADO'!C18-'PRESUPUESTO INGRESO'!O31</f>
        <v>13970.422476876107</v>
      </c>
      <c r="E35" s="91">
        <f>'E.RESULTADO'!D18-'PRESUPUESTO INGRESO'!P31</f>
        <v>17393.112831182407</v>
      </c>
      <c r="G35" s="97"/>
    </row>
    <row r="36" spans="1:7" s="85" customFormat="1" ht="12.75">
      <c r="A36" s="78" t="s">
        <v>179</v>
      </c>
      <c r="B36" s="91"/>
      <c r="C36" s="91">
        <f>'PRESUPUESTO COSTO'!N30/12</f>
        <v>189.4</v>
      </c>
      <c r="D36" s="91">
        <f>'PRESUPUESTO COSTO'!O30/12</f>
        <v>203.042</v>
      </c>
      <c r="E36" s="91">
        <f>'PRESUPUESTO COSTO'!P30/12</f>
        <v>217.69654000000003</v>
      </c>
      <c r="G36" s="97"/>
    </row>
    <row r="37" spans="1:7" s="85" customFormat="1" ht="12.75">
      <c r="A37" s="78" t="s">
        <v>180</v>
      </c>
      <c r="B37" s="91"/>
      <c r="C37" s="91">
        <f>('PRESUPUESTO INGRESO'!N30-'PRESUPUESTO COSTO'!N29)/12</f>
        <v>1644</v>
      </c>
      <c r="D37" s="91">
        <f>('PRESUPUESTO INGRESO'!O30-'PRESUPUESTO COSTO'!O29)/12</f>
        <v>1832.808</v>
      </c>
      <c r="E37" s="91">
        <f>('PRESUPUESTO INGRESO'!P30-'PRESUPUESTO COSTO'!P29)/12</f>
        <v>2041.1916000000012</v>
      </c>
      <c r="G37" s="97"/>
    </row>
    <row r="38" spans="1:7" s="85" customFormat="1" ht="12.75">
      <c r="A38" s="78" t="s">
        <v>240</v>
      </c>
      <c r="B38" s="91"/>
      <c r="C38" s="91">
        <f>'E.RESULTADO'!B16</f>
        <v>10468.724941319999</v>
      </c>
      <c r="D38" s="91">
        <f>'E.RESULTADO'!C16</f>
        <v>12875.106689559603</v>
      </c>
      <c r="E38" s="91">
        <f>'E.RESULTADO'!D16</f>
        <v>15562.350290246402</v>
      </c>
      <c r="G38" s="97"/>
    </row>
    <row r="39" spans="1:7" s="85" customFormat="1" ht="12.75">
      <c r="A39" s="78" t="s">
        <v>241</v>
      </c>
      <c r="B39" s="86"/>
      <c r="C39" s="86"/>
      <c r="D39" s="86"/>
      <c r="E39" s="86"/>
      <c r="G39" s="97"/>
    </row>
    <row r="40" spans="1:7" s="85" customFormat="1" ht="12.75">
      <c r="A40" s="53" t="s">
        <v>181</v>
      </c>
      <c r="B40" s="87"/>
      <c r="C40" s="87">
        <f>SUM(C33:C39)</f>
        <v>27766.018608189996</v>
      </c>
      <c r="D40" s="87">
        <f>SUM(D33:D39)</f>
        <v>33567.87916643571</v>
      </c>
      <c r="E40" s="87">
        <f>SUM(E33:E39)</f>
        <v>40041.44626142881</v>
      </c>
      <c r="G40" s="97"/>
    </row>
    <row r="41" spans="1:7" s="85" customFormat="1" ht="12.75">
      <c r="A41" s="78"/>
      <c r="B41" s="86"/>
      <c r="C41" s="86"/>
      <c r="D41" s="86"/>
      <c r="E41" s="86"/>
      <c r="G41" s="97"/>
    </row>
    <row r="42" spans="1:7" s="85" customFormat="1" ht="12.75">
      <c r="A42" s="53" t="s">
        <v>182</v>
      </c>
      <c r="B42" s="86"/>
      <c r="C42" s="86"/>
      <c r="D42" s="86"/>
      <c r="E42" s="86"/>
      <c r="G42" s="97"/>
    </row>
    <row r="43" spans="1:7" s="85" customFormat="1" ht="12.75">
      <c r="A43" s="78" t="s">
        <v>183</v>
      </c>
      <c r="B43" s="86">
        <v>35000</v>
      </c>
      <c r="C43" s="86">
        <v>35000</v>
      </c>
      <c r="D43" s="86">
        <v>35000</v>
      </c>
      <c r="E43" s="86">
        <v>35000</v>
      </c>
      <c r="G43" s="97"/>
    </row>
    <row r="44" spans="1:7" s="85" customFormat="1" ht="12.75">
      <c r="A44" s="88" t="s">
        <v>184</v>
      </c>
      <c r="B44" s="86"/>
      <c r="C44" s="86">
        <f>'REVALORIZACION PATRIMONIO'!E7</f>
        <v>3473.4</v>
      </c>
      <c r="D44" s="86">
        <f>'REVALORIZACION PATRIMONIO'!E8+C44</f>
        <v>14784.688290054899</v>
      </c>
      <c r="E44" s="86">
        <f>'REVALORIZACION PATRIMONIO'!E9</f>
        <v>29157.75890488831</v>
      </c>
      <c r="G44" s="97"/>
    </row>
    <row r="45" spans="1:7" s="85" customFormat="1" ht="12.75">
      <c r="A45" s="78" t="s">
        <v>185</v>
      </c>
      <c r="B45" s="86"/>
      <c r="C45" s="86"/>
      <c r="D45" s="86">
        <f>C46+C45-'FLUJO DE CAJA'!P33</f>
        <v>14015.005515192148</v>
      </c>
      <c r="E45" s="86">
        <f>D46+D45-'FLUJO DE CAJA'!Q33</f>
        <v>67290.14020633415</v>
      </c>
      <c r="G45" s="97"/>
    </row>
    <row r="46" spans="1:7" s="85" customFormat="1" ht="12.75">
      <c r="A46" s="88" t="s">
        <v>186</v>
      </c>
      <c r="B46" s="86">
        <f>B29-B43</f>
        <v>-266</v>
      </c>
      <c r="C46" s="86">
        <f>'E.RESULTADO'!B22-BALANCE!C47</f>
        <v>38040.729255521546</v>
      </c>
      <c r="D46" s="86">
        <f>'E.RESULTADO'!C22+C46-D47</f>
        <v>82823.50454368131</v>
      </c>
      <c r="E46" s="86">
        <f>'E.RESULTADO'!D22+D46-E47</f>
        <v>132906.543466431</v>
      </c>
      <c r="G46" s="97"/>
    </row>
    <row r="47" spans="1:7" s="85" customFormat="1" ht="12.75">
      <c r="A47" s="78" t="s">
        <v>187</v>
      </c>
      <c r="B47" s="86"/>
      <c r="C47" s="86">
        <f>'E.RESULTADO'!B22*0.05</f>
        <v>2002.1436450274498</v>
      </c>
      <c r="D47" s="86">
        <f>('E.RESULTADO'!C22*0.05)+C47</f>
        <v>4464.507799405724</v>
      </c>
      <c r="E47" s="86">
        <f>('E.RESULTADO'!D22*0.05)+(C47+D47)</f>
        <v>9442.950937442798</v>
      </c>
      <c r="G47" s="97"/>
    </row>
    <row r="48" spans="1:7" s="85" customFormat="1" ht="12.75">
      <c r="A48" s="78" t="s">
        <v>294</v>
      </c>
      <c r="B48" s="86"/>
      <c r="C48" s="86">
        <v>-137.39</v>
      </c>
      <c r="D48" s="86">
        <v>27377</v>
      </c>
      <c r="E48" s="86">
        <v>27330</v>
      </c>
      <c r="G48" s="97"/>
    </row>
    <row r="49" spans="1:7" s="85" customFormat="1" ht="12.75">
      <c r="A49" s="53" t="s">
        <v>188</v>
      </c>
      <c r="B49" s="87">
        <f>SUM(B43:B47)</f>
        <v>34734</v>
      </c>
      <c r="C49" s="87">
        <f>SUM(C43:C48)</f>
        <v>78378.882900549</v>
      </c>
      <c r="D49" s="87">
        <f>SUM(D43:D48)</f>
        <v>178464.70614833408</v>
      </c>
      <c r="E49" s="87">
        <f>SUM(E43:E48)</f>
        <v>301127.3935150962</v>
      </c>
      <c r="G49" s="97"/>
    </row>
    <row r="50" spans="1:5" ht="12.75">
      <c r="A50" s="3"/>
      <c r="B50" s="9"/>
      <c r="C50" s="9"/>
      <c r="D50" s="9"/>
      <c r="E50" s="9"/>
    </row>
    <row r="51" spans="1:5" ht="12.75">
      <c r="A51" s="2" t="s">
        <v>189</v>
      </c>
      <c r="B51" s="29">
        <f>B40+B49</f>
        <v>34734</v>
      </c>
      <c r="C51" s="29">
        <f>C40+C49</f>
        <v>106144.90150873899</v>
      </c>
      <c r="D51" s="29">
        <f>D40+D49</f>
        <v>212032.5853147698</v>
      </c>
      <c r="E51" s="29">
        <f>+E40+E49</f>
        <v>341168.83977652504</v>
      </c>
    </row>
    <row r="52" spans="1:5" ht="12.75">
      <c r="A52" s="3"/>
      <c r="B52" s="3"/>
      <c r="C52" s="9"/>
      <c r="D52" s="9"/>
      <c r="E52" s="9"/>
    </row>
    <row r="53" spans="3:5" ht="12.75">
      <c r="C53" s="47"/>
      <c r="D53" s="47"/>
      <c r="E53" s="47"/>
    </row>
    <row r="54" spans="3:5" ht="12.75">
      <c r="C54" s="40"/>
      <c r="D54" s="40"/>
      <c r="E54" s="40"/>
    </row>
    <row r="55" spans="3:5" ht="12.75">
      <c r="C55" s="84"/>
      <c r="D55" s="84"/>
      <c r="E55" s="84"/>
    </row>
    <row r="56" ht="12.75">
      <c r="D56" s="47"/>
    </row>
  </sheetData>
  <sheetProtection/>
  <mergeCells count="1">
    <mergeCell ref="A3:E3"/>
  </mergeCell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1" sqref="G21"/>
    </sheetView>
  </sheetViews>
  <sheetFormatPr defaultColWidth="11.421875" defaultRowHeight="12.75"/>
  <cols>
    <col min="1" max="1" width="25.7109375" style="0" customWidth="1"/>
    <col min="2" max="3" width="16.57421875" style="0" bestFit="1" customWidth="1"/>
    <col min="4" max="4" width="14.421875" style="0" customWidth="1"/>
    <col min="6" max="6" width="11.8515625" style="0" bestFit="1" customWidth="1"/>
  </cols>
  <sheetData>
    <row r="1" ht="12.75">
      <c r="A1" t="s">
        <v>146</v>
      </c>
    </row>
    <row r="3" spans="1:4" ht="18">
      <c r="A3" s="130" t="s">
        <v>147</v>
      </c>
      <c r="B3" s="130"/>
      <c r="C3" s="130"/>
      <c r="D3" s="130"/>
    </row>
    <row r="5" spans="1:4" ht="12.75">
      <c r="A5" s="8" t="s">
        <v>15</v>
      </c>
      <c r="B5" s="8" t="s">
        <v>53</v>
      </c>
      <c r="C5" s="8" t="s">
        <v>56</v>
      </c>
      <c r="D5" s="8" t="s">
        <v>57</v>
      </c>
    </row>
    <row r="6" spans="1:4" ht="12.75">
      <c r="A6" s="3"/>
      <c r="B6" s="3"/>
      <c r="C6" s="3"/>
      <c r="D6" s="3"/>
    </row>
    <row r="7" spans="1:4" ht="12.75">
      <c r="A7" s="2" t="s">
        <v>24</v>
      </c>
      <c r="B7" s="29">
        <f>'PRESUPUESTO INGRESO'!N29</f>
        <v>391680</v>
      </c>
      <c r="C7" s="29">
        <f>'PRESUPUESTO INGRESO'!O29</f>
        <v>426931.2</v>
      </c>
      <c r="D7" s="29">
        <f>'PRESUPUESTO INGRESO'!P29</f>
        <v>465355.00800000015</v>
      </c>
    </row>
    <row r="8" spans="1:6" ht="12.75">
      <c r="A8" s="3" t="s">
        <v>148</v>
      </c>
      <c r="B8" s="9">
        <f>'PRESUPUESTO COSTO'!N28</f>
        <v>227280</v>
      </c>
      <c r="C8" s="9">
        <f>'PRESUPUESTO COSTO'!O28</f>
        <v>243650.4</v>
      </c>
      <c r="D8" s="9">
        <f>'PRESUPUESTO COSTO'!P28</f>
        <v>261235.84800000003</v>
      </c>
      <c r="F8" s="84"/>
    </row>
    <row r="9" spans="1:4" ht="12.75">
      <c r="A9" s="3" t="s">
        <v>149</v>
      </c>
      <c r="B9" s="9">
        <f>PERSONAL!K15</f>
        <v>71749.9</v>
      </c>
      <c r="C9" s="9">
        <f>PERSONAL!L15</f>
        <v>73902.397</v>
      </c>
      <c r="D9" s="9">
        <f>PERSONAL!M15</f>
        <v>76119.46891</v>
      </c>
    </row>
    <row r="10" spans="1:4" ht="12.75">
      <c r="A10" s="3" t="s">
        <v>150</v>
      </c>
      <c r="B10" s="9">
        <f>'PRESUPUESTO DE GASTOS'!C17</f>
        <v>12470.0003912</v>
      </c>
      <c r="C10" s="9">
        <f>'PRESUPUESTO DE GASTOS'!D17</f>
        <v>12844.100402935997</v>
      </c>
      <c r="D10" s="9">
        <f>'PRESUPUESTO DE GASTOS'!E17</f>
        <v>13229.423415024083</v>
      </c>
    </row>
    <row r="11" spans="1:4" ht="12.75">
      <c r="A11" s="3" t="s">
        <v>151</v>
      </c>
      <c r="B11" s="9">
        <f>'PRESUPUESTO DE GASTOS'!C34</f>
        <v>10388.6</v>
      </c>
      <c r="C11" s="9">
        <f>'PRESUPUESTO DE GASTOS'!D34</f>
        <v>10700.258</v>
      </c>
      <c r="D11" s="9">
        <f>'PRESUPUESTO DE GASTOS'!E34</f>
        <v>11021.26574</v>
      </c>
    </row>
    <row r="12" spans="1:4" ht="12.75">
      <c r="A12" s="3" t="s">
        <v>152</v>
      </c>
      <c r="B12" s="9"/>
      <c r="C12" s="9"/>
      <c r="D12" s="9"/>
    </row>
    <row r="13" spans="1:4" ht="12.75">
      <c r="A13" s="2" t="s">
        <v>238</v>
      </c>
      <c r="B13" s="29">
        <f>SUM(B8:B12)</f>
        <v>321888.5003912</v>
      </c>
      <c r="C13" s="29">
        <f>SUM(C8:C12)</f>
        <v>341097.155402936</v>
      </c>
      <c r="D13" s="29">
        <f>SUM(D8:D12)</f>
        <v>361606.0060650241</v>
      </c>
    </row>
    <row r="14" spans="1:4" ht="12.75">
      <c r="A14" s="3"/>
      <c r="B14" s="9"/>
      <c r="C14" s="9"/>
      <c r="D14" s="9"/>
    </row>
    <row r="15" spans="1:4" ht="12.75">
      <c r="A15" s="2" t="s">
        <v>218</v>
      </c>
      <c r="B15" s="29">
        <f>B7-B13</f>
        <v>69791.49960879999</v>
      </c>
      <c r="C15" s="29">
        <f>C7-C13</f>
        <v>85834.04459706403</v>
      </c>
      <c r="D15" s="29">
        <f>D7-D13</f>
        <v>103749.00193497603</v>
      </c>
    </row>
    <row r="16" spans="1:4" ht="12.75">
      <c r="A16" s="3" t="s">
        <v>235</v>
      </c>
      <c r="B16" s="9">
        <f>B15*0.15</f>
        <v>10468.724941319999</v>
      </c>
      <c r="C16" s="9">
        <f>C15*0.15</f>
        <v>12875.106689559603</v>
      </c>
      <c r="D16" s="9">
        <f>D15*0.15</f>
        <v>15562.350290246402</v>
      </c>
    </row>
    <row r="17" spans="1:4" ht="12.75">
      <c r="A17" s="2" t="s">
        <v>153</v>
      </c>
      <c r="B17" s="29">
        <f>B15-B16</f>
        <v>59322.77466747999</v>
      </c>
      <c r="C17" s="29">
        <f>C15-C16</f>
        <v>72958.93790750443</v>
      </c>
      <c r="D17" s="29">
        <f>D15-D16</f>
        <v>88186.65164472963</v>
      </c>
    </row>
    <row r="18" spans="1:4" ht="12.75">
      <c r="A18" s="3" t="s">
        <v>237</v>
      </c>
      <c r="B18" s="9">
        <f>B17*0.25</f>
        <v>14830.693666869998</v>
      </c>
      <c r="C18" s="9">
        <f>C17*0.25</f>
        <v>18239.734476876107</v>
      </c>
      <c r="D18" s="9">
        <f>D17*0.25</f>
        <v>22046.662911182408</v>
      </c>
    </row>
    <row r="19" spans="1:4" ht="12.75">
      <c r="A19" s="2" t="s">
        <v>236</v>
      </c>
      <c r="B19" s="29">
        <f>B17-B18</f>
        <v>44492.08100060999</v>
      </c>
      <c r="C19" s="29">
        <f>C17-C18</f>
        <v>54719.20343062832</v>
      </c>
      <c r="D19" s="29">
        <f>D17-D18</f>
        <v>66139.98873354722</v>
      </c>
    </row>
    <row r="20" spans="1:4" ht="12.75">
      <c r="A20" s="3" t="s">
        <v>239</v>
      </c>
      <c r="B20" s="28">
        <f>B19*0.1</f>
        <v>4449.208100061</v>
      </c>
      <c r="C20" s="28">
        <f>C19*0.1</f>
        <v>5471.920343062832</v>
      </c>
      <c r="D20" s="28">
        <f>D19*0.1</f>
        <v>6613.998873354722</v>
      </c>
    </row>
    <row r="21" spans="1:4" ht="12.75">
      <c r="A21" s="3"/>
      <c r="B21" s="3"/>
      <c r="C21" s="3"/>
      <c r="D21" s="3"/>
    </row>
    <row r="22" spans="1:4" ht="12.75">
      <c r="A22" s="53" t="s">
        <v>154</v>
      </c>
      <c r="B22" s="31">
        <f>B19-B20</f>
        <v>40042.872900548995</v>
      </c>
      <c r="C22" s="31">
        <f>C19-C20</f>
        <v>49247.28308756548</v>
      </c>
      <c r="D22" s="31">
        <f>D19-D20</f>
        <v>59525.989860192494</v>
      </c>
    </row>
    <row r="23" spans="1:4" ht="12.75">
      <c r="A23" s="3"/>
      <c r="B23" s="3"/>
      <c r="C23" s="3"/>
      <c r="D23" s="3"/>
    </row>
  </sheetData>
  <sheetProtection/>
  <mergeCells count="1">
    <mergeCell ref="A3:D3"/>
  </mergeCells>
  <printOptions/>
  <pageMargins left="1.0833333333333333" right="0.75" top="2.03125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E33" sqref="E33"/>
    </sheetView>
  </sheetViews>
  <sheetFormatPr defaultColWidth="11.421875" defaultRowHeight="12.75"/>
  <cols>
    <col min="5" max="5" width="12.7109375" style="0" customWidth="1"/>
  </cols>
  <sheetData>
    <row r="2" spans="1:5" ht="12.75">
      <c r="A2" s="124" t="s">
        <v>289</v>
      </c>
      <c r="B2" s="124"/>
      <c r="C2" s="124"/>
      <c r="D2" s="124"/>
      <c r="E2" s="124"/>
    </row>
    <row r="4" spans="1:5" ht="12.75">
      <c r="A4" s="3" t="s">
        <v>290</v>
      </c>
      <c r="B4" s="3" t="s">
        <v>291</v>
      </c>
      <c r="C4" s="3" t="s">
        <v>200</v>
      </c>
      <c r="D4" s="3" t="s">
        <v>199</v>
      </c>
      <c r="E4" s="3" t="s">
        <v>292</v>
      </c>
    </row>
    <row r="5" spans="1:5" ht="12.75">
      <c r="A5" s="3"/>
      <c r="B5" s="3"/>
      <c r="C5" s="3"/>
      <c r="D5" s="3"/>
      <c r="E5" s="3"/>
    </row>
    <row r="6" spans="1:5" ht="12.75">
      <c r="A6" s="3">
        <v>0</v>
      </c>
      <c r="B6" s="33">
        <v>0.1</v>
      </c>
      <c r="C6" s="28">
        <f>BALANCE!B49</f>
        <v>34734</v>
      </c>
      <c r="D6" s="3"/>
      <c r="E6" s="3"/>
    </row>
    <row r="7" spans="1:5" ht="12.75">
      <c r="A7" s="3">
        <v>1</v>
      </c>
      <c r="B7" s="33">
        <v>0.1</v>
      </c>
      <c r="C7" s="28">
        <f>BALANCE!C49</f>
        <v>78378.882900549</v>
      </c>
      <c r="D7" s="28">
        <f>B7*C6</f>
        <v>3473.4</v>
      </c>
      <c r="E7" s="28">
        <f>D7</f>
        <v>3473.4</v>
      </c>
    </row>
    <row r="8" spans="1:5" ht="12.75">
      <c r="A8" s="3">
        <v>2</v>
      </c>
      <c r="B8" s="33">
        <v>0.1</v>
      </c>
      <c r="C8" s="28">
        <f>BALANCE!D49</f>
        <v>178464.70614833408</v>
      </c>
      <c r="D8" s="28">
        <f>B8*C7</f>
        <v>7837.8882900549</v>
      </c>
      <c r="E8" s="28">
        <f>D8+E7</f>
        <v>11311.2882900549</v>
      </c>
    </row>
    <row r="9" spans="1:5" ht="12.75">
      <c r="A9" s="3">
        <v>3</v>
      </c>
      <c r="B9" s="33">
        <v>0.1</v>
      </c>
      <c r="C9" s="28">
        <f>BALANCE!E49</f>
        <v>301127.3935150962</v>
      </c>
      <c r="D9" s="28">
        <f>B9*C8</f>
        <v>17846.470614833408</v>
      </c>
      <c r="E9" s="28">
        <f>D9+E8</f>
        <v>29157.75890488831</v>
      </c>
    </row>
  </sheetData>
  <sheetProtection/>
  <mergeCells count="1">
    <mergeCell ref="A2:E2"/>
  </mergeCell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workbookViewId="0" topLeftCell="A1">
      <selection activeCell="H24" sqref="H24"/>
    </sheetView>
  </sheetViews>
  <sheetFormatPr defaultColWidth="11.421875" defaultRowHeight="12.75"/>
  <cols>
    <col min="1" max="1" width="25.140625" style="0" customWidth="1"/>
    <col min="2" max="2" width="12.57421875" style="0" customWidth="1"/>
    <col min="3" max="3" width="14.28125" style="0" customWidth="1"/>
    <col min="4" max="4" width="13.57421875" style="0" customWidth="1"/>
    <col min="5" max="5" width="15.421875" style="0" customWidth="1"/>
  </cols>
  <sheetData>
    <row r="1" spans="1:5" ht="12.75">
      <c r="A1" s="3" t="s">
        <v>233</v>
      </c>
      <c r="B1" s="3"/>
      <c r="C1" s="3"/>
      <c r="D1" s="3"/>
      <c r="E1" s="3"/>
    </row>
    <row r="2" spans="1:5" ht="18">
      <c r="A2" s="131" t="s">
        <v>213</v>
      </c>
      <c r="B2" s="131"/>
      <c r="C2" s="131"/>
      <c r="D2" s="131"/>
      <c r="E2" s="131"/>
    </row>
    <row r="3" spans="1:5" ht="12.75">
      <c r="A3" s="3"/>
      <c r="B3" s="3"/>
      <c r="C3" s="3"/>
      <c r="D3" s="3"/>
      <c r="E3" s="3"/>
    </row>
    <row r="4" spans="1:5" ht="12.75">
      <c r="A4" s="2"/>
      <c r="B4" s="2" t="s">
        <v>214</v>
      </c>
      <c r="C4" s="2" t="s">
        <v>215</v>
      </c>
      <c r="D4" s="2" t="s">
        <v>216</v>
      </c>
      <c r="E4" s="2" t="s">
        <v>217</v>
      </c>
    </row>
    <row r="5" spans="1:5" ht="12.75">
      <c r="A5" s="3" t="s">
        <v>218</v>
      </c>
      <c r="B5" s="4"/>
      <c r="C5" s="9">
        <f>'E.RESULTADO'!B17</f>
        <v>59322.77466747999</v>
      </c>
      <c r="D5" s="9">
        <f>'E.RESULTADO'!C17</f>
        <v>72958.93790750443</v>
      </c>
      <c r="E5" s="9">
        <f>'E.RESULTADO'!D17</f>
        <v>88186.65164472963</v>
      </c>
    </row>
    <row r="6" spans="1:5" ht="12.75">
      <c r="A6" s="3" t="s">
        <v>219</v>
      </c>
      <c r="B6" s="4"/>
      <c r="C6" s="9">
        <f>DEPRECIACION!H9+DEPRECIACION!H14+DEPRECIACION!H26</f>
        <v>5144.6003912</v>
      </c>
      <c r="D6" s="9">
        <f>DEPRECIACION!H10+DEPRECIACION!H15+DEPRECIACION!H27</f>
        <v>10289.2007824</v>
      </c>
      <c r="E6" s="9">
        <f>DEPRECIACION!H11+DEPRECIACION!H16+DEPRECIACION!H28</f>
        <v>15433.801173599999</v>
      </c>
    </row>
    <row r="7" spans="1:5" ht="12.75">
      <c r="A7" s="3" t="s">
        <v>220</v>
      </c>
      <c r="B7" s="4"/>
      <c r="C7" s="9">
        <f>DEPRECIACION!H34</f>
        <v>360</v>
      </c>
      <c r="D7" s="9">
        <f>DEPRECIACION!H35</f>
        <v>720</v>
      </c>
      <c r="E7" s="9">
        <f>DEPRECIACION!H36</f>
        <v>1080</v>
      </c>
    </row>
    <row r="8" spans="1:5" ht="12.75">
      <c r="A8" s="3" t="s">
        <v>221</v>
      </c>
      <c r="B8" s="4"/>
      <c r="C8" s="9"/>
      <c r="D8" s="9"/>
      <c r="E8" s="9"/>
    </row>
    <row r="9" spans="1:5" ht="12.75">
      <c r="A9" s="3"/>
      <c r="B9" s="3"/>
      <c r="C9" s="9"/>
      <c r="D9" s="9"/>
      <c r="E9" s="9"/>
    </row>
    <row r="10" spans="1:5" ht="12.75">
      <c r="A10" s="2" t="s">
        <v>222</v>
      </c>
      <c r="B10" s="30"/>
      <c r="C10" s="29">
        <f>SUM(C5:C9)</f>
        <v>64827.375058679994</v>
      </c>
      <c r="D10" s="29">
        <f>SUM(D5:D9)</f>
        <v>83968.13868990443</v>
      </c>
      <c r="E10" s="29">
        <f>SUM(E5:E9)</f>
        <v>104700.45281832964</v>
      </c>
    </row>
    <row r="11" spans="1:5" ht="12.75">
      <c r="A11" s="3"/>
      <c r="B11" s="4"/>
      <c r="C11" s="9"/>
      <c r="D11" s="9"/>
      <c r="E11" s="9"/>
    </row>
    <row r="12" spans="1:5" ht="12.75">
      <c r="A12" s="3" t="s">
        <v>223</v>
      </c>
      <c r="B12" s="4">
        <f>'FLUJO DE CAJA'!B10</f>
        <v>25134</v>
      </c>
      <c r="C12" s="9"/>
      <c r="D12" s="9"/>
      <c r="E12" s="9"/>
    </row>
    <row r="13" spans="1:5" ht="12.75">
      <c r="A13" s="3" t="s">
        <v>224</v>
      </c>
      <c r="B13" s="4">
        <f>'FLUJO DE CAJA'!B34+'FLUJO DE CAJA'!B23</f>
        <v>9866</v>
      </c>
      <c r="C13" s="9"/>
      <c r="D13" s="9">
        <f>'COSTOS OPERATIVOS'!D35-NETO!B13</f>
        <v>-2370.3967075</v>
      </c>
      <c r="E13" s="9"/>
    </row>
    <row r="14" spans="1:5" ht="12.75">
      <c r="A14" s="3"/>
      <c r="B14" s="4"/>
      <c r="C14" s="9"/>
      <c r="D14" s="9"/>
      <c r="E14" s="9"/>
    </row>
    <row r="15" spans="1:5" ht="12.75">
      <c r="A15" s="2" t="s">
        <v>225</v>
      </c>
      <c r="B15" s="30">
        <f>SUM(B12:B14)</f>
        <v>35000</v>
      </c>
      <c r="C15" s="29">
        <f>SUM(C12:C14)</f>
        <v>0</v>
      </c>
      <c r="D15" s="29">
        <f>SUM(D12:D14)</f>
        <v>-2370.3967075</v>
      </c>
      <c r="E15" s="29">
        <f>SUM(E12:E14)</f>
        <v>0</v>
      </c>
    </row>
    <row r="16" spans="1:5" ht="12.75">
      <c r="A16" s="3"/>
      <c r="B16" s="4"/>
      <c r="C16" s="9"/>
      <c r="D16" s="9"/>
      <c r="E16" s="9"/>
    </row>
    <row r="17" spans="1:5" ht="12.75">
      <c r="A17" s="2" t="s">
        <v>226</v>
      </c>
      <c r="B17" s="30"/>
      <c r="C17" s="29"/>
      <c r="D17" s="29"/>
      <c r="E17" s="29">
        <f>'COSTOS OPERATIVOS'!D35+BALANCE!E28</f>
        <v>15535.802118900001</v>
      </c>
    </row>
    <row r="18" spans="1:5" ht="12.75">
      <c r="A18" s="3" t="s">
        <v>227</v>
      </c>
      <c r="B18" s="4"/>
      <c r="C18" s="9"/>
      <c r="D18" s="9"/>
      <c r="E18" s="9"/>
    </row>
    <row r="19" spans="1:5" ht="12.75">
      <c r="A19" s="2" t="s">
        <v>228</v>
      </c>
      <c r="B19" s="30"/>
      <c r="C19" s="29"/>
      <c r="D19" s="29"/>
      <c r="E19" s="29"/>
    </row>
    <row r="20" spans="1:5" ht="12.75">
      <c r="A20" s="3" t="s">
        <v>229</v>
      </c>
      <c r="B20" s="4">
        <f>B10-B15+B17</f>
        <v>-35000</v>
      </c>
      <c r="C20" s="9">
        <f>C10-C15+C17</f>
        <v>64827.375058679994</v>
      </c>
      <c r="D20" s="9">
        <f>D10-D15+D17</f>
        <v>86338.53539740443</v>
      </c>
      <c r="E20" s="9">
        <f>E10-E15+E17</f>
        <v>120236.25493722963</v>
      </c>
    </row>
    <row r="21" spans="1:5" ht="12.75">
      <c r="A21" s="3"/>
      <c r="B21" s="4"/>
      <c r="C21" s="9"/>
      <c r="D21" s="9"/>
      <c r="E21" s="9"/>
    </row>
    <row r="22" spans="1:5" ht="12.75">
      <c r="A22" s="3" t="s">
        <v>230</v>
      </c>
      <c r="B22" s="50">
        <f>IRR(B20:E20)</f>
        <v>2.036949175970454</v>
      </c>
      <c r="C22" s="9"/>
      <c r="D22" s="9"/>
      <c r="E22" s="9"/>
    </row>
    <row r="23" spans="1:5" ht="12.75">
      <c r="A23" s="3" t="s">
        <v>234</v>
      </c>
      <c r="B23" s="4">
        <f>NPV(0.12,C20:E20)</f>
        <v>212291.92802473204</v>
      </c>
      <c r="C23" s="29">
        <f>B23+B20</f>
        <v>177291.92802473204</v>
      </c>
      <c r="D23" s="29"/>
      <c r="E23" s="9"/>
    </row>
    <row r="24" spans="1:5" ht="12.75">
      <c r="A24" s="3"/>
      <c r="B24" s="4"/>
      <c r="C24" s="9"/>
      <c r="D24" s="9"/>
      <c r="E24" s="9"/>
    </row>
    <row r="25" spans="1:5" ht="12.75">
      <c r="A25" s="3" t="s">
        <v>231</v>
      </c>
      <c r="B25" s="30">
        <f>B20</f>
        <v>-35000</v>
      </c>
      <c r="C25" s="29">
        <f>(B25*1.03)+C20</f>
        <v>28777.375058679994</v>
      </c>
      <c r="D25" s="29">
        <f>(C25*1.03)+D20</f>
        <v>115979.23170784482</v>
      </c>
      <c r="E25" s="29">
        <f>(D25*1.03)+E20</f>
        <v>239694.8635963098</v>
      </c>
    </row>
    <row r="26" spans="1:5" ht="12.75">
      <c r="A26" s="3" t="s">
        <v>232</v>
      </c>
      <c r="B26" s="120">
        <v>1.4</v>
      </c>
      <c r="C26" s="30" t="s">
        <v>318</v>
      </c>
      <c r="D26" s="30" t="s">
        <v>319</v>
      </c>
      <c r="E26" s="4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10"/>
      <c r="D28" s="3"/>
      <c r="E28" s="3"/>
    </row>
    <row r="30" spans="2:5" ht="12.75">
      <c r="B30" s="48"/>
      <c r="C30" s="47"/>
      <c r="D30" s="48"/>
      <c r="E30" s="48"/>
    </row>
    <row r="31" spans="2:5" ht="12.75">
      <c r="B31" s="48"/>
      <c r="C31" s="48"/>
      <c r="D31" s="48"/>
      <c r="E31" s="48"/>
    </row>
    <row r="32" spans="2:5" ht="12.75">
      <c r="B32" s="48"/>
      <c r="C32" s="48"/>
      <c r="D32" s="48"/>
      <c r="E32" s="48"/>
    </row>
    <row r="33" spans="2:5" ht="12.75">
      <c r="B33" s="48"/>
      <c r="C33" s="48"/>
      <c r="D33" s="49"/>
      <c r="E33" s="48"/>
    </row>
    <row r="34" spans="2:4" ht="12.75">
      <c r="B34" s="49"/>
      <c r="C34" s="48"/>
      <c r="D34" s="48"/>
    </row>
    <row r="35" ht="12.75">
      <c r="C35" s="40"/>
    </row>
    <row r="36" spans="1:5" ht="12.75">
      <c r="A36" s="124"/>
      <c r="B36" s="124"/>
      <c r="C36" s="124"/>
      <c r="D36" s="124"/>
      <c r="E36" s="124"/>
    </row>
    <row r="37" spans="1:5" ht="12.75">
      <c r="A37" s="27"/>
      <c r="B37" s="81"/>
      <c r="C37" s="27"/>
      <c r="D37" s="27"/>
      <c r="E37" s="27"/>
    </row>
    <row r="38" spans="1:5" ht="12.75">
      <c r="A38" s="27"/>
      <c r="B38" s="82"/>
      <c r="C38" s="37"/>
      <c r="D38" s="37"/>
      <c r="E38" s="37"/>
    </row>
    <row r="39" spans="1:5" ht="12.75">
      <c r="A39" s="27"/>
      <c r="B39" s="82"/>
      <c r="C39" s="37"/>
      <c r="D39" s="37"/>
      <c r="E39" s="37"/>
    </row>
    <row r="40" spans="1:5" ht="12.75">
      <c r="A40" s="27"/>
      <c r="B40" s="82"/>
      <c r="C40" s="37"/>
      <c r="D40" s="37"/>
      <c r="E40" s="37"/>
    </row>
    <row r="41" spans="1:5" ht="12.75">
      <c r="A41" s="27"/>
      <c r="B41" s="82"/>
      <c r="C41" s="37"/>
      <c r="D41" s="37"/>
      <c r="E41" s="3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</sheetData>
  <sheetProtection/>
  <mergeCells count="2">
    <mergeCell ref="A2:E2"/>
    <mergeCell ref="A36:E36"/>
  </mergeCells>
  <printOptions/>
  <pageMargins left="1.4375" right="0.75" top="2.0625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Layout" workbookViewId="0" topLeftCell="A1">
      <selection activeCell="A41" sqref="A41:C45"/>
    </sheetView>
  </sheetViews>
  <sheetFormatPr defaultColWidth="11.421875" defaultRowHeight="12.75"/>
  <cols>
    <col min="1" max="1" width="29.7109375" style="0" customWidth="1"/>
    <col min="2" max="2" width="21.421875" style="0" customWidth="1"/>
    <col min="3" max="3" width="9.421875" style="0" customWidth="1"/>
    <col min="4" max="4" width="5.7109375" style="0" customWidth="1"/>
    <col min="5" max="5" width="5.00390625" style="0" customWidth="1"/>
    <col min="6" max="6" width="5.140625" style="0" bestFit="1" customWidth="1"/>
    <col min="7" max="7" width="5.57421875" style="0" customWidth="1"/>
    <col min="8" max="8" width="5.00390625" style="0" customWidth="1"/>
    <col min="9" max="9" width="5.140625" style="0" customWidth="1"/>
    <col min="10" max="12" width="5.57421875" style="0" customWidth="1"/>
    <col min="13" max="14" width="5.140625" style="0" customWidth="1"/>
    <col min="15" max="15" width="6.7109375" style="0" customWidth="1"/>
    <col min="16" max="16" width="7.28125" style="0" customWidth="1"/>
    <col min="17" max="17" width="6.8515625" style="0" customWidth="1"/>
  </cols>
  <sheetData>
    <row r="1" ht="12.75">
      <c r="A1" t="s">
        <v>75</v>
      </c>
    </row>
    <row r="2" spans="5:17" ht="15.75"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4" ht="12.75">
      <c r="A3" s="124" t="s">
        <v>7</v>
      </c>
      <c r="B3" s="124"/>
      <c r="C3" s="124"/>
      <c r="D3" s="124"/>
    </row>
    <row r="4" spans="4:17" ht="13.5" thickBot="1">
      <c r="D4" s="2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>
      <c r="A5" s="68"/>
      <c r="B5" s="69" t="s">
        <v>9</v>
      </c>
      <c r="C5" s="70"/>
      <c r="D5" s="2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.75">
      <c r="A6" s="83" t="s">
        <v>1</v>
      </c>
      <c r="B6" s="3"/>
      <c r="C6" s="72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8" ht="12.75">
      <c r="A7" s="71" t="s">
        <v>252</v>
      </c>
      <c r="B7" s="77">
        <v>1170</v>
      </c>
      <c r="C7" s="72"/>
      <c r="D7" s="27"/>
      <c r="E7" s="37"/>
      <c r="F7" s="37"/>
      <c r="G7" s="37"/>
      <c r="H7" s="37"/>
      <c r="I7" s="37"/>
      <c r="J7" s="37"/>
      <c r="K7" s="37"/>
      <c r="L7" s="37"/>
      <c r="M7" s="37"/>
      <c r="N7" s="37"/>
      <c r="O7" s="35"/>
      <c r="P7" s="37"/>
      <c r="Q7" s="38"/>
      <c r="R7" s="1"/>
    </row>
    <row r="8" spans="1:18" ht="12.75">
      <c r="A8" s="71"/>
      <c r="B8" s="77"/>
      <c r="C8" s="72"/>
      <c r="D8" s="27"/>
      <c r="E8" s="37"/>
      <c r="F8" s="37"/>
      <c r="G8" s="37"/>
      <c r="H8" s="37"/>
      <c r="I8" s="37"/>
      <c r="J8" s="37"/>
      <c r="K8" s="37"/>
      <c r="L8" s="37"/>
      <c r="M8" s="35"/>
      <c r="N8" s="35"/>
      <c r="O8" s="35"/>
      <c r="P8" s="37"/>
      <c r="Q8" s="38"/>
      <c r="R8" s="1"/>
    </row>
    <row r="9" spans="1:18" ht="12.75">
      <c r="A9" s="71"/>
      <c r="B9" s="77"/>
      <c r="C9" s="72"/>
      <c r="D9" s="27"/>
      <c r="E9" s="37"/>
      <c r="F9" s="37"/>
      <c r="G9" s="37"/>
      <c r="H9" s="37"/>
      <c r="I9" s="37"/>
      <c r="J9" s="37"/>
      <c r="K9" s="37"/>
      <c r="L9" s="37"/>
      <c r="M9" s="35"/>
      <c r="N9" s="35"/>
      <c r="O9" s="35"/>
      <c r="P9" s="37"/>
      <c r="Q9" s="38"/>
      <c r="R9" s="1"/>
    </row>
    <row r="10" spans="1:18" ht="12.75">
      <c r="A10" s="83" t="s">
        <v>2</v>
      </c>
      <c r="B10" s="77"/>
      <c r="C10" s="72"/>
      <c r="D10" s="27"/>
      <c r="E10" s="37"/>
      <c r="F10" s="37"/>
      <c r="G10" s="37"/>
      <c r="H10" s="37"/>
      <c r="I10" s="37"/>
      <c r="J10" s="37"/>
      <c r="K10" s="37"/>
      <c r="L10" s="37"/>
      <c r="M10" s="35"/>
      <c r="N10" s="35"/>
      <c r="O10" s="35"/>
      <c r="P10" s="37"/>
      <c r="Q10" s="38"/>
      <c r="R10" s="1"/>
    </row>
    <row r="11" spans="1:18" ht="12.75">
      <c r="A11" s="71" t="s">
        <v>253</v>
      </c>
      <c r="B11" s="77">
        <v>650</v>
      </c>
      <c r="C11" s="72"/>
      <c r="D11" s="2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5"/>
      <c r="P11" s="37"/>
      <c r="Q11" s="38"/>
      <c r="R11" s="1"/>
    </row>
    <row r="12" spans="1:18" ht="12.75">
      <c r="A12" s="73" t="s">
        <v>254</v>
      </c>
      <c r="B12" s="77">
        <v>120</v>
      </c>
      <c r="C12" s="72"/>
      <c r="D12" s="27"/>
      <c r="E12" s="37"/>
      <c r="F12" s="37"/>
      <c r="G12" s="37"/>
      <c r="H12" s="37"/>
      <c r="I12" s="37"/>
      <c r="J12" s="37"/>
      <c r="K12" s="37"/>
      <c r="L12" s="37"/>
      <c r="M12" s="37"/>
      <c r="N12" s="35"/>
      <c r="O12" s="35"/>
      <c r="P12" s="37"/>
      <c r="Q12" s="38"/>
      <c r="R12" s="1"/>
    </row>
    <row r="13" spans="1:18" ht="13.5" thickBot="1">
      <c r="A13" s="74"/>
      <c r="B13" s="75"/>
      <c r="C13" s="76"/>
      <c r="D13" s="2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5"/>
      <c r="P13" s="37"/>
      <c r="Q13" s="38"/>
      <c r="R13" s="1"/>
    </row>
    <row r="15" spans="1:2" ht="12.75">
      <c r="A15" s="23"/>
      <c r="B15" s="23"/>
    </row>
    <row r="16" spans="1:2" ht="12.75">
      <c r="A16" s="23"/>
      <c r="B16" s="23"/>
    </row>
    <row r="17" spans="1:17" ht="12.75">
      <c r="A17" s="122" t="s">
        <v>310</v>
      </c>
      <c r="B17" s="122"/>
      <c r="C17" s="122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3.5" thickBot="1">
      <c r="A18" s="122"/>
      <c r="B18" s="122"/>
      <c r="C18" s="12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5"/>
      <c r="P18" s="35"/>
      <c r="Q18" s="35"/>
    </row>
    <row r="19" spans="1:17" ht="15">
      <c r="A19" s="101" t="s">
        <v>295</v>
      </c>
      <c r="B19" s="102" t="s">
        <v>296</v>
      </c>
      <c r="C19" s="103" t="s">
        <v>200</v>
      </c>
      <c r="D19" s="9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5"/>
      <c r="P19" s="35"/>
      <c r="Q19" s="35"/>
    </row>
    <row r="20" spans="1:17" ht="15">
      <c r="A20" s="112" t="s">
        <v>297</v>
      </c>
      <c r="B20" s="111" t="s">
        <v>298</v>
      </c>
      <c r="C20" s="113">
        <v>500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5"/>
      <c r="P20" s="35"/>
      <c r="Q20" s="35"/>
    </row>
    <row r="21" spans="1:17" ht="15">
      <c r="A21" s="112" t="s">
        <v>299</v>
      </c>
      <c r="B21" s="111" t="s">
        <v>298</v>
      </c>
      <c r="C21" s="113">
        <v>45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5"/>
      <c r="P21" s="35"/>
      <c r="Q21" s="35"/>
    </row>
    <row r="22" spans="1:17" ht="15">
      <c r="A22" s="112" t="s">
        <v>300</v>
      </c>
      <c r="B22" s="111" t="s">
        <v>301</v>
      </c>
      <c r="C22" s="113">
        <v>84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5"/>
      <c r="P22" s="35"/>
      <c r="Q22" s="35"/>
    </row>
    <row r="23" spans="1:17" ht="15">
      <c r="A23" s="112" t="s">
        <v>302</v>
      </c>
      <c r="B23" s="111" t="s">
        <v>298</v>
      </c>
      <c r="C23" s="113">
        <v>100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5"/>
      <c r="P23" s="35"/>
      <c r="Q23" s="35"/>
    </row>
    <row r="24" spans="1:17" ht="15">
      <c r="A24" s="112" t="s">
        <v>303</v>
      </c>
      <c r="B24" s="111" t="s">
        <v>304</v>
      </c>
      <c r="C24" s="113">
        <v>10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5"/>
      <c r="P24" s="35"/>
      <c r="Q24" s="35"/>
    </row>
    <row r="25" spans="1:3" ht="15">
      <c r="A25" s="112" t="s">
        <v>305</v>
      </c>
      <c r="B25" s="111" t="s">
        <v>306</v>
      </c>
      <c r="C25" s="113">
        <v>4.4</v>
      </c>
    </row>
    <row r="26" spans="1:17" ht="15.75">
      <c r="A26" s="114" t="s">
        <v>307</v>
      </c>
      <c r="B26" s="111" t="s">
        <v>308</v>
      </c>
      <c r="C26" s="115">
        <v>743.4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" ht="15.75" thickBot="1">
      <c r="A27" s="116"/>
      <c r="B27" s="117" t="s">
        <v>309</v>
      </c>
      <c r="C27" s="118">
        <v>1170</v>
      </c>
    </row>
    <row r="28" spans="1:17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2.75">
      <c r="A29" s="27"/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12.75">
      <c r="A30" s="122" t="s">
        <v>311</v>
      </c>
      <c r="B30" s="122"/>
      <c r="C30" s="12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13.5" thickBot="1">
      <c r="A31" s="123"/>
      <c r="B31" s="123"/>
      <c r="C31" s="12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5">
      <c r="A32" s="101" t="s">
        <v>295</v>
      </c>
      <c r="B32" s="102" t="s">
        <v>296</v>
      </c>
      <c r="C32" s="103" t="s">
        <v>200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5">
      <c r="A33" s="104" t="s">
        <v>313</v>
      </c>
      <c r="B33" s="100" t="s">
        <v>314</v>
      </c>
      <c r="C33" s="105">
        <v>150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5">
      <c r="A34" s="104" t="s">
        <v>315</v>
      </c>
      <c r="B34" s="100"/>
      <c r="C34" s="105">
        <v>150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3" ht="15">
      <c r="A35" s="106" t="s">
        <v>307</v>
      </c>
      <c r="B35" s="100"/>
      <c r="C35" s="107">
        <v>300</v>
      </c>
    </row>
    <row r="36" spans="1:3" ht="15.75" thickBot="1">
      <c r="A36" s="108"/>
      <c r="B36" s="109" t="s">
        <v>309</v>
      </c>
      <c r="C36" s="110">
        <v>650</v>
      </c>
    </row>
    <row r="37" spans="1:3" ht="12.75">
      <c r="A37" s="99"/>
      <c r="B37" s="99"/>
      <c r="C37" s="99"/>
    </row>
    <row r="38" spans="1:3" ht="12.75">
      <c r="A38" s="99"/>
      <c r="B38" s="99"/>
      <c r="C38" s="99"/>
    </row>
    <row r="39" spans="1:3" ht="12.75">
      <c r="A39" s="123" t="s">
        <v>312</v>
      </c>
      <c r="B39" s="123"/>
      <c r="C39" s="123"/>
    </row>
    <row r="40" spans="1:3" ht="13.5" thickBot="1">
      <c r="A40" s="123"/>
      <c r="B40" s="123"/>
      <c r="C40" s="123"/>
    </row>
    <row r="41" spans="1:3" ht="15">
      <c r="A41" s="101" t="s">
        <v>295</v>
      </c>
      <c r="B41" s="102" t="s">
        <v>296</v>
      </c>
      <c r="C41" s="103" t="s">
        <v>200</v>
      </c>
    </row>
    <row r="42" spans="1:3" ht="15">
      <c r="A42" s="104" t="s">
        <v>313</v>
      </c>
      <c r="B42" s="100" t="s">
        <v>316</v>
      </c>
      <c r="C42" s="105">
        <v>20</v>
      </c>
    </row>
    <row r="43" spans="1:3" ht="15">
      <c r="A43" s="104" t="s">
        <v>315</v>
      </c>
      <c r="B43" s="100"/>
      <c r="C43" s="105">
        <v>20</v>
      </c>
    </row>
    <row r="44" spans="1:3" ht="15">
      <c r="A44" s="106" t="s">
        <v>307</v>
      </c>
      <c r="B44" s="100" t="s">
        <v>308</v>
      </c>
      <c r="C44" s="107">
        <v>40</v>
      </c>
    </row>
    <row r="45" spans="1:3" ht="15.75" thickBot="1">
      <c r="A45" s="108"/>
      <c r="B45" s="109" t="s">
        <v>309</v>
      </c>
      <c r="C45" s="110">
        <v>120</v>
      </c>
    </row>
    <row r="46" spans="1:3" ht="12.75">
      <c r="A46" s="99"/>
      <c r="B46" s="99"/>
      <c r="C46" s="99"/>
    </row>
    <row r="47" spans="1:3" ht="12.75">
      <c r="A47" s="99"/>
      <c r="B47" s="99"/>
      <c r="C47" s="99"/>
    </row>
  </sheetData>
  <sheetProtection/>
  <mergeCells count="7">
    <mergeCell ref="A40:C40"/>
    <mergeCell ref="A3:D3"/>
    <mergeCell ref="A18:C18"/>
    <mergeCell ref="A17:C17"/>
    <mergeCell ref="A30:C30"/>
    <mergeCell ref="A31:C31"/>
    <mergeCell ref="A39:C39"/>
  </mergeCells>
  <printOptions/>
  <pageMargins left="1.8645833333333333" right="0.75" top="0.83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9.57421875" style="0" customWidth="1"/>
    <col min="2" max="2" width="8.140625" style="0" customWidth="1"/>
    <col min="3" max="3" width="7.140625" style="0" customWidth="1"/>
    <col min="4" max="4" width="5.00390625" style="0" customWidth="1"/>
    <col min="5" max="5" width="4.8515625" style="0" customWidth="1"/>
    <col min="6" max="6" width="5.57421875" style="0" customWidth="1"/>
    <col min="7" max="7" width="5.00390625" style="0" customWidth="1"/>
    <col min="8" max="8" width="6.00390625" style="0" customWidth="1"/>
    <col min="9" max="9" width="5.00390625" style="0" customWidth="1"/>
    <col min="10" max="10" width="5.140625" style="0" customWidth="1"/>
    <col min="11" max="11" width="5.28125" style="0" customWidth="1"/>
    <col min="12" max="12" width="6.421875" style="0" customWidth="1"/>
    <col min="13" max="13" width="5.00390625" style="0" customWidth="1"/>
    <col min="14" max="14" width="6.421875" style="0" customWidth="1"/>
    <col min="15" max="15" width="7.7109375" style="0" customWidth="1"/>
    <col min="16" max="16" width="8.57421875" style="0" customWidth="1"/>
    <col min="17" max="17" width="7.7109375" style="0" customWidth="1"/>
  </cols>
  <sheetData>
    <row r="1" ht="12.75">
      <c r="A1" t="s">
        <v>10</v>
      </c>
    </row>
    <row r="2" spans="1:17" ht="15.75">
      <c r="A2" s="121" t="s">
        <v>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5.75">
      <c r="A3" s="121" t="s">
        <v>77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5" spans="1:17" ht="12.75">
      <c r="A5" s="8" t="s">
        <v>15</v>
      </c>
      <c r="B5" s="8"/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 t="s">
        <v>12</v>
      </c>
      <c r="P5" s="8" t="s">
        <v>13</v>
      </c>
      <c r="Q5" s="8" t="s">
        <v>14</v>
      </c>
    </row>
    <row r="6" spans="1:17" ht="12.75">
      <c r="A6" s="2" t="s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 t="s">
        <v>252</v>
      </c>
      <c r="B7" s="6">
        <f>'PROYECCION CLIENTES'!D32</f>
        <v>248.35000000000002</v>
      </c>
      <c r="C7" s="4">
        <v>20</v>
      </c>
      <c r="D7" s="4">
        <v>20</v>
      </c>
      <c r="E7" s="4">
        <v>20</v>
      </c>
      <c r="F7" s="4">
        <v>20</v>
      </c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4">
        <v>20</v>
      </c>
      <c r="M7" s="4">
        <v>20</v>
      </c>
      <c r="N7" s="4">
        <v>20</v>
      </c>
      <c r="O7" s="4">
        <f>SUM(C7:N7)</f>
        <v>240</v>
      </c>
      <c r="P7" s="4">
        <f>O7*1.09</f>
        <v>261.6</v>
      </c>
      <c r="Q7" s="10">
        <f>P7*1.09</f>
        <v>285.14400000000006</v>
      </c>
    </row>
    <row r="8" spans="1:17" ht="12.75">
      <c r="A8" s="3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aca="true" t="shared" si="0" ref="P8:Q10">O8*1.15</f>
        <v>0</v>
      </c>
      <c r="Q8" s="10">
        <f t="shared" si="0"/>
        <v>0</v>
      </c>
    </row>
    <row r="9" spans="1:17" ht="12.75">
      <c r="A9" s="3"/>
      <c r="B9" s="6">
        <f>'PROYECCION CLIENTES'!D34</f>
        <v>0</v>
      </c>
      <c r="C9" s="4">
        <f aca="true" t="shared" si="1" ref="C9:L10">O9/12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6">
        <f>(O9-R9)/2</f>
        <v>0</v>
      </c>
      <c r="N9" s="6">
        <f>(P9-S9)/2</f>
        <v>0</v>
      </c>
      <c r="O9" s="4"/>
      <c r="P9" s="4">
        <f t="shared" si="0"/>
        <v>0</v>
      </c>
      <c r="Q9" s="10">
        <f t="shared" si="0"/>
        <v>0</v>
      </c>
    </row>
    <row r="10" spans="1:17" ht="12.75">
      <c r="A10" s="2" t="s">
        <v>2</v>
      </c>
      <c r="B10" s="6">
        <f>'PROYECCION CLIENTES'!D35</f>
        <v>0</v>
      </c>
      <c r="C10" s="4">
        <f t="shared" si="1"/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6">
        <f>(O10-R10)/2</f>
        <v>0</v>
      </c>
      <c r="N10" s="6">
        <f>(P10-S10)/2</f>
        <v>0</v>
      </c>
      <c r="O10" s="4"/>
      <c r="P10" s="4">
        <f t="shared" si="0"/>
        <v>0</v>
      </c>
      <c r="Q10" s="10">
        <f t="shared" si="0"/>
        <v>0</v>
      </c>
    </row>
    <row r="11" spans="1:17" ht="12.75">
      <c r="A11" s="3" t="s">
        <v>253</v>
      </c>
      <c r="B11" s="6">
        <f>'PROYECCION CLIENTES'!D36</f>
        <v>139.03</v>
      </c>
      <c r="C11" s="4">
        <v>12</v>
      </c>
      <c r="D11" s="4">
        <v>12</v>
      </c>
      <c r="E11" s="4">
        <v>12</v>
      </c>
      <c r="F11" s="4">
        <v>12</v>
      </c>
      <c r="G11" s="4">
        <v>12</v>
      </c>
      <c r="H11" s="4">
        <v>12</v>
      </c>
      <c r="I11" s="4">
        <v>12</v>
      </c>
      <c r="J11" s="4">
        <v>12</v>
      </c>
      <c r="K11" s="4">
        <v>12</v>
      </c>
      <c r="L11" s="4">
        <v>12</v>
      </c>
      <c r="M11" s="4">
        <v>12</v>
      </c>
      <c r="N11" s="4">
        <v>12</v>
      </c>
      <c r="O11" s="4">
        <f>SUM(C11:N11)</f>
        <v>144</v>
      </c>
      <c r="P11" s="4">
        <f>O11*1.09</f>
        <v>156.96</v>
      </c>
      <c r="Q11" s="10">
        <f>P11*1.09</f>
        <v>171.08640000000003</v>
      </c>
    </row>
    <row r="12" spans="1:17" ht="12.75">
      <c r="A12" s="54" t="s">
        <v>254</v>
      </c>
      <c r="B12" s="6">
        <f>'PROYECCION CLIENTES'!D37</f>
        <v>139.03</v>
      </c>
      <c r="C12" s="4">
        <v>12</v>
      </c>
      <c r="D12" s="4">
        <v>12</v>
      </c>
      <c r="E12" s="4">
        <v>12</v>
      </c>
      <c r="F12" s="4">
        <v>12</v>
      </c>
      <c r="G12" s="4">
        <v>12</v>
      </c>
      <c r="H12" s="4">
        <v>12</v>
      </c>
      <c r="I12" s="4">
        <v>12</v>
      </c>
      <c r="J12" s="4">
        <v>12</v>
      </c>
      <c r="K12" s="4">
        <v>12</v>
      </c>
      <c r="L12" s="4">
        <v>12</v>
      </c>
      <c r="M12" s="4">
        <v>12</v>
      </c>
      <c r="N12" s="4">
        <v>12</v>
      </c>
      <c r="O12" s="4">
        <f>SUM(C12:N12)</f>
        <v>144</v>
      </c>
      <c r="P12" s="4">
        <f>O12*1.09</f>
        <v>156.96</v>
      </c>
      <c r="Q12" s="10">
        <f>P12*1.09</f>
        <v>171.08640000000003</v>
      </c>
    </row>
    <row r="13" spans="1:17" ht="12.75">
      <c r="A13" s="3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0"/>
    </row>
    <row r="14" spans="1:17" ht="12.75">
      <c r="A14" s="78" t="s">
        <v>32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>
        <f>SUM(O7:O13)</f>
        <v>528</v>
      </c>
      <c r="P14" s="80">
        <f>SUM(P7:P13)</f>
        <v>575.5200000000001</v>
      </c>
      <c r="Q14" s="80">
        <f>SUM(Q7:Q13)</f>
        <v>627.3168000000001</v>
      </c>
    </row>
    <row r="15" spans="1:2" ht="12.75">
      <c r="A15" s="23"/>
      <c r="B15" s="23"/>
    </row>
    <row r="16" spans="1:2" ht="12.75">
      <c r="A16" s="23"/>
      <c r="B16" s="23"/>
    </row>
    <row r="17" spans="1:17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2.75">
      <c r="A18" s="27"/>
      <c r="B18" s="3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5"/>
      <c r="P18" s="35"/>
      <c r="Q18" s="35"/>
    </row>
    <row r="19" spans="1:17" ht="12.75">
      <c r="A19" s="27"/>
      <c r="B19" s="3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5"/>
      <c r="P19" s="35"/>
      <c r="Q19" s="35"/>
    </row>
    <row r="20" spans="1:17" ht="12.75">
      <c r="A20" s="27"/>
      <c r="B20" s="3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5"/>
      <c r="P20" s="35"/>
      <c r="Q20" s="35"/>
    </row>
    <row r="21" spans="1:17" ht="12.75">
      <c r="A21" s="27"/>
      <c r="B21" s="3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5"/>
      <c r="P21" s="35"/>
      <c r="Q21" s="35"/>
    </row>
    <row r="22" spans="1:17" ht="12.75">
      <c r="A22" s="27"/>
      <c r="B22" s="3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5"/>
      <c r="P22" s="35"/>
      <c r="Q22" s="35"/>
    </row>
    <row r="23" spans="1:17" ht="12.75">
      <c r="A23" s="27"/>
      <c r="B23" s="3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5"/>
      <c r="P23" s="35"/>
      <c r="Q23" s="35"/>
    </row>
    <row r="24" spans="1:17" ht="12.75">
      <c r="A24" s="27"/>
      <c r="B24" s="3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5"/>
      <c r="P24" s="35"/>
      <c r="Q24" s="35"/>
    </row>
    <row r="26" spans="1:17" ht="15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8" spans="1:17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2.75">
      <c r="A29" s="27"/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12.75">
      <c r="A30" s="27"/>
      <c r="B30" s="3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12.75">
      <c r="A31" s="27"/>
      <c r="B31" s="3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2.75">
      <c r="A32" s="27"/>
      <c r="B32" s="3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>
      <c r="A33" s="27"/>
      <c r="B33" s="3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2.75">
      <c r="A34" s="27"/>
      <c r="B34" s="3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2.75">
      <c r="A35" s="27"/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</sheetData>
  <sheetProtection/>
  <mergeCells count="2">
    <mergeCell ref="A2:Q2"/>
    <mergeCell ref="A3:Q3"/>
  </mergeCells>
  <printOptions/>
  <pageMargins left="0.75" right="0.75" top="1.61" bottom="1" header="0" footer="0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6" sqref="B6"/>
    </sheetView>
  </sheetViews>
  <sheetFormatPr defaultColWidth="11.421875" defaultRowHeight="12.75"/>
  <cols>
    <col min="1" max="1" width="30.8515625" style="0" customWidth="1"/>
    <col min="3" max="3" width="17.57421875" style="0" customWidth="1"/>
    <col min="4" max="4" width="11.7109375" style="56" customWidth="1"/>
    <col min="5" max="5" width="18.421875" style="60" customWidth="1"/>
  </cols>
  <sheetData>
    <row r="1" ht="12.75">
      <c r="A1" t="s">
        <v>242</v>
      </c>
    </row>
    <row r="3" spans="1:6" ht="15.75">
      <c r="A3" s="121" t="s">
        <v>285</v>
      </c>
      <c r="B3" s="121"/>
      <c r="C3" s="121"/>
      <c r="D3" s="121"/>
      <c r="E3" s="121"/>
      <c r="F3" s="121"/>
    </row>
    <row r="4" spans="1:6" ht="15.75">
      <c r="A4" s="32"/>
      <c r="B4" s="32"/>
      <c r="C4" s="32"/>
      <c r="D4" s="32"/>
      <c r="E4" s="61"/>
      <c r="F4" s="32"/>
    </row>
    <row r="5" spans="1:6" ht="12.75">
      <c r="A5" s="2"/>
      <c r="B5" s="2"/>
      <c r="C5" s="2"/>
      <c r="D5" s="125" t="s">
        <v>243</v>
      </c>
      <c r="E5" s="126"/>
      <c r="F5" s="2"/>
    </row>
    <row r="6" spans="1:6" ht="12.75">
      <c r="A6" s="2"/>
      <c r="B6" s="8" t="s">
        <v>196</v>
      </c>
      <c r="C6" s="2"/>
      <c r="D6" s="8" t="s">
        <v>196</v>
      </c>
      <c r="E6" s="62" t="s">
        <v>244</v>
      </c>
      <c r="F6" s="2"/>
    </row>
    <row r="7" spans="1:6" ht="12.75">
      <c r="A7" s="3" t="s">
        <v>263</v>
      </c>
      <c r="B7" s="3"/>
      <c r="C7" s="28">
        <v>19946</v>
      </c>
      <c r="D7" s="7"/>
      <c r="E7" s="63"/>
      <c r="F7" s="3"/>
    </row>
    <row r="8" spans="1:6" ht="12.75">
      <c r="A8" s="3" t="s">
        <v>264</v>
      </c>
      <c r="B8" s="33">
        <v>0.8</v>
      </c>
      <c r="C8" s="28">
        <f>C7*B8</f>
        <v>15956.800000000001</v>
      </c>
      <c r="D8" s="57"/>
      <c r="E8" s="63"/>
      <c r="F8" s="28"/>
    </row>
    <row r="9" spans="1:6" ht="12.75">
      <c r="A9" s="24" t="s">
        <v>267</v>
      </c>
      <c r="B9" s="33">
        <v>0.2</v>
      </c>
      <c r="C9" s="28">
        <f>C7*B9</f>
        <v>3989.2000000000003</v>
      </c>
      <c r="D9" s="7"/>
      <c r="E9" s="63"/>
      <c r="F9" s="28"/>
    </row>
    <row r="10" spans="1:6" ht="12.75">
      <c r="A10" s="3"/>
      <c r="B10" s="3"/>
      <c r="C10" s="3"/>
      <c r="D10" s="7"/>
      <c r="E10" s="63"/>
      <c r="F10" s="28"/>
    </row>
    <row r="11" spans="1:6" ht="12.75">
      <c r="A11" s="2" t="s">
        <v>265</v>
      </c>
      <c r="B11" s="3"/>
      <c r="C11" s="3"/>
      <c r="D11" s="7"/>
      <c r="E11" s="63"/>
      <c r="F11" s="28"/>
    </row>
    <row r="12" spans="1:6" ht="12.75">
      <c r="A12" s="24" t="s">
        <v>270</v>
      </c>
      <c r="B12" s="46">
        <v>0.4</v>
      </c>
      <c r="C12" s="28">
        <f>B12*C8</f>
        <v>6382.720000000001</v>
      </c>
      <c r="D12" s="58"/>
      <c r="E12" s="63"/>
      <c r="F12" s="28"/>
    </row>
    <row r="13" spans="1:6" ht="12.75">
      <c r="A13" s="24" t="s">
        <v>268</v>
      </c>
      <c r="B13" s="46">
        <v>0.7</v>
      </c>
      <c r="C13" s="28">
        <f>B13*C12</f>
        <v>4467.904</v>
      </c>
      <c r="D13" s="59">
        <v>0.05</v>
      </c>
      <c r="E13" s="63">
        <f>C13*D13</f>
        <v>223.39520000000005</v>
      </c>
      <c r="F13" s="28"/>
    </row>
    <row r="14" spans="1:6" ht="12.75">
      <c r="A14" s="3"/>
      <c r="B14" s="46"/>
      <c r="C14" s="28">
        <f>C9*B14</f>
        <v>0</v>
      </c>
      <c r="D14" s="59"/>
      <c r="E14" s="63"/>
      <c r="F14" s="28"/>
    </row>
    <row r="15" spans="1:6" ht="12.75">
      <c r="A15" s="2" t="s">
        <v>266</v>
      </c>
      <c r="B15" s="3"/>
      <c r="C15" s="3"/>
      <c r="D15" s="7"/>
      <c r="E15" s="63"/>
      <c r="F15" s="28"/>
    </row>
    <row r="16" spans="1:6" ht="12.75">
      <c r="A16" s="24" t="s">
        <v>270</v>
      </c>
      <c r="B16" s="33">
        <v>0.25</v>
      </c>
      <c r="C16" s="28">
        <f>B16*C9</f>
        <v>997.3000000000001</v>
      </c>
      <c r="D16" s="7"/>
      <c r="E16" s="63"/>
      <c r="F16" s="28"/>
    </row>
    <row r="17" spans="1:6" ht="12.75">
      <c r="A17" s="24" t="s">
        <v>268</v>
      </c>
      <c r="B17" s="33">
        <v>0.5</v>
      </c>
      <c r="C17" s="28">
        <f>B17*C16</f>
        <v>498.65000000000003</v>
      </c>
      <c r="D17" s="5">
        <v>0.05</v>
      </c>
      <c r="E17" s="63">
        <f>C17*D17</f>
        <v>24.932500000000005</v>
      </c>
      <c r="F17" s="28"/>
    </row>
    <row r="18" spans="1:6" ht="12.75">
      <c r="A18" s="3"/>
      <c r="B18" s="3"/>
      <c r="C18" s="3"/>
      <c r="D18" s="7"/>
      <c r="E18" s="63"/>
      <c r="F18" s="28"/>
    </row>
    <row r="19" spans="1:6" ht="12.75">
      <c r="A19" s="2" t="s">
        <v>32</v>
      </c>
      <c r="B19" s="3"/>
      <c r="C19" s="3"/>
      <c r="D19" s="7"/>
      <c r="E19" s="62">
        <f>SUM(E8:E18)</f>
        <v>248.32770000000005</v>
      </c>
      <c r="F19" s="28"/>
    </row>
    <row r="20" spans="1:6" ht="12.75">
      <c r="A20" s="3"/>
      <c r="B20" s="3"/>
      <c r="C20" s="3"/>
      <c r="D20" s="7"/>
      <c r="E20" s="63"/>
      <c r="F20" s="28"/>
    </row>
  </sheetData>
  <sheetProtection/>
  <mergeCells count="2">
    <mergeCell ref="A3:F3"/>
    <mergeCell ref="D5:E5"/>
  </mergeCells>
  <printOptions/>
  <pageMargins left="1.5625" right="0.75" top="1.46875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" sqref="C1"/>
    </sheetView>
  </sheetViews>
  <sheetFormatPr defaultColWidth="11.421875" defaultRowHeight="12.75"/>
  <cols>
    <col min="1" max="1" width="27.421875" style="0" customWidth="1"/>
    <col min="2" max="2" width="13.28125" style="0" bestFit="1" customWidth="1"/>
    <col min="3" max="3" width="14.8515625" style="0" bestFit="1" customWidth="1"/>
    <col min="4" max="4" width="15.140625" style="0" bestFit="1" customWidth="1"/>
    <col min="5" max="5" width="14.140625" style="0" bestFit="1" customWidth="1"/>
  </cols>
  <sheetData>
    <row r="1" ht="12.75">
      <c r="A1" t="s">
        <v>61</v>
      </c>
    </row>
    <row r="3" spans="1:5" ht="15.75">
      <c r="A3" s="121" t="s">
        <v>62</v>
      </c>
      <c r="B3" s="121"/>
      <c r="C3" s="121"/>
      <c r="D3" s="121"/>
      <c r="E3" s="121"/>
    </row>
    <row r="5" spans="1:5" ht="12.75">
      <c r="A5" s="3"/>
      <c r="B5" s="2" t="s">
        <v>70</v>
      </c>
      <c r="C5" s="2" t="s">
        <v>71</v>
      </c>
      <c r="D5" s="2" t="s">
        <v>72</v>
      </c>
      <c r="E5" s="2" t="s">
        <v>73</v>
      </c>
    </row>
    <row r="6" spans="1:5" ht="12.75">
      <c r="A6" s="3" t="s">
        <v>63</v>
      </c>
      <c r="B6" s="3">
        <v>400</v>
      </c>
      <c r="C6" s="9">
        <f>B6*12</f>
        <v>4800</v>
      </c>
      <c r="D6" s="9">
        <f>C6*1.03</f>
        <v>4944</v>
      </c>
      <c r="E6" s="9">
        <f>D6*1.03</f>
        <v>5092.32</v>
      </c>
    </row>
    <row r="7" spans="1:5" ht="12.75">
      <c r="A7" s="3" t="s">
        <v>110</v>
      </c>
      <c r="B7" s="3">
        <v>150</v>
      </c>
      <c r="C7" s="9">
        <f aca="true" t="shared" si="0" ref="C7:C12">B7*12</f>
        <v>1800</v>
      </c>
      <c r="D7" s="9">
        <f aca="true" t="shared" si="1" ref="D7:E15">C7*1.03</f>
        <v>1854</v>
      </c>
      <c r="E7" s="9">
        <f t="shared" si="1"/>
        <v>1909.6200000000001</v>
      </c>
    </row>
    <row r="8" spans="1:5" ht="12.75">
      <c r="A8" s="3" t="s">
        <v>111</v>
      </c>
      <c r="B8" s="3">
        <v>150</v>
      </c>
      <c r="C8" s="9">
        <f t="shared" si="0"/>
        <v>1800</v>
      </c>
      <c r="D8" s="9">
        <f t="shared" si="1"/>
        <v>1854</v>
      </c>
      <c r="E8" s="9">
        <f t="shared" si="1"/>
        <v>1909.6200000000001</v>
      </c>
    </row>
    <row r="9" spans="1:5" ht="12.75">
      <c r="A9" s="3" t="s">
        <v>64</v>
      </c>
      <c r="B9" s="3">
        <v>30</v>
      </c>
      <c r="C9" s="9">
        <f t="shared" si="0"/>
        <v>360</v>
      </c>
      <c r="D9" s="9">
        <f t="shared" si="1"/>
        <v>370.8</v>
      </c>
      <c r="E9" s="9">
        <f t="shared" si="1"/>
        <v>381.92400000000004</v>
      </c>
    </row>
    <row r="10" spans="1:5" ht="12.75">
      <c r="A10" s="3" t="s">
        <v>65</v>
      </c>
      <c r="B10" s="3">
        <v>30</v>
      </c>
      <c r="C10" s="9">
        <f t="shared" si="0"/>
        <v>360</v>
      </c>
      <c r="D10" s="9">
        <f t="shared" si="1"/>
        <v>370.8</v>
      </c>
      <c r="E10" s="9">
        <f t="shared" si="1"/>
        <v>381.92400000000004</v>
      </c>
    </row>
    <row r="11" spans="1:5" ht="12.75">
      <c r="A11" s="3" t="s">
        <v>66</v>
      </c>
      <c r="B11" s="3">
        <v>266</v>
      </c>
      <c r="C11" s="9">
        <f>B11</f>
        <v>266</v>
      </c>
      <c r="D11" s="9">
        <f t="shared" si="1"/>
        <v>273.98</v>
      </c>
      <c r="E11" s="9">
        <f t="shared" si="1"/>
        <v>282.1994</v>
      </c>
    </row>
    <row r="12" spans="1:5" ht="12.75">
      <c r="A12" s="3" t="s">
        <v>80</v>
      </c>
      <c r="B12" s="3">
        <v>54</v>
      </c>
      <c r="C12" s="9">
        <f t="shared" si="0"/>
        <v>648</v>
      </c>
      <c r="D12" s="9">
        <f t="shared" si="1"/>
        <v>667.44</v>
      </c>
      <c r="E12" s="9">
        <f t="shared" si="1"/>
        <v>687.4632</v>
      </c>
    </row>
    <row r="13" spans="1:5" ht="12.75">
      <c r="A13" s="3" t="s">
        <v>79</v>
      </c>
      <c r="B13" s="3"/>
      <c r="C13" s="9">
        <v>120</v>
      </c>
      <c r="D13" s="9">
        <f t="shared" si="1"/>
        <v>123.60000000000001</v>
      </c>
      <c r="E13" s="9">
        <f t="shared" si="1"/>
        <v>127.308</v>
      </c>
    </row>
    <row r="14" spans="1:5" ht="12.75">
      <c r="A14" s="3" t="s">
        <v>67</v>
      </c>
      <c r="B14" s="3"/>
      <c r="C14" s="9">
        <f>DEPRECIACION!F9</f>
        <v>1956.0003912</v>
      </c>
      <c r="D14" s="9">
        <f t="shared" si="1"/>
        <v>2014.680402936</v>
      </c>
      <c r="E14" s="9">
        <f t="shared" si="1"/>
        <v>2075.12081502408</v>
      </c>
    </row>
    <row r="15" spans="1:5" ht="12.75">
      <c r="A15" s="3" t="s">
        <v>68</v>
      </c>
      <c r="B15" s="3"/>
      <c r="C15" s="9">
        <f>DEPRECIACION!F34</f>
        <v>360</v>
      </c>
      <c r="D15" s="9">
        <f t="shared" si="1"/>
        <v>370.8</v>
      </c>
      <c r="E15" s="9">
        <f t="shared" si="1"/>
        <v>381.92400000000004</v>
      </c>
    </row>
    <row r="16" spans="1:5" ht="12.75">
      <c r="A16" s="3"/>
      <c r="B16" s="3"/>
      <c r="C16" s="9"/>
      <c r="D16" s="3"/>
      <c r="E16" s="3"/>
    </row>
    <row r="17" spans="1:5" s="23" customFormat="1" ht="12.75">
      <c r="A17" s="2" t="s">
        <v>69</v>
      </c>
      <c r="B17" s="9">
        <f>SUM(B6:B16)</f>
        <v>1080</v>
      </c>
      <c r="C17" s="9">
        <f>SUM(C6:C16)</f>
        <v>12470.0003912</v>
      </c>
      <c r="D17" s="9">
        <f>SUM(D6:D16)</f>
        <v>12844.100402935997</v>
      </c>
      <c r="E17" s="9">
        <f>SUM(E6:E16)</f>
        <v>13229.423415024083</v>
      </c>
    </row>
    <row r="18" ht="12.75">
      <c r="C18" s="40"/>
    </row>
    <row r="21" ht="12.75">
      <c r="A21" t="s">
        <v>81</v>
      </c>
    </row>
    <row r="23" spans="1:5" ht="15.75">
      <c r="A23" s="121" t="s">
        <v>82</v>
      </c>
      <c r="B23" s="121"/>
      <c r="C23" s="121"/>
      <c r="D23" s="121"/>
      <c r="E23" s="121"/>
    </row>
    <row r="25" spans="1:5" ht="12.75">
      <c r="A25" s="3"/>
      <c r="B25" s="2" t="s">
        <v>70</v>
      </c>
      <c r="C25" s="2" t="s">
        <v>53</v>
      </c>
      <c r="D25" s="2" t="s">
        <v>89</v>
      </c>
      <c r="E25" s="2" t="s">
        <v>90</v>
      </c>
    </row>
    <row r="26" spans="1:5" ht="12.75">
      <c r="A26" s="3" t="s">
        <v>83</v>
      </c>
      <c r="B26" s="9">
        <v>200</v>
      </c>
      <c r="C26" s="9">
        <f>B26*12</f>
        <v>2400</v>
      </c>
      <c r="D26" s="9">
        <f>C26*1.03</f>
        <v>2472</v>
      </c>
      <c r="E26" s="9">
        <f>D26*1.03</f>
        <v>2546.16</v>
      </c>
    </row>
    <row r="27" spans="1:5" ht="12.75">
      <c r="A27" s="3" t="s">
        <v>112</v>
      </c>
      <c r="B27" s="9">
        <v>150</v>
      </c>
      <c r="C27" s="9">
        <f>B27*12</f>
        <v>1800</v>
      </c>
      <c r="D27" s="9">
        <f>C27*1.03</f>
        <v>1854</v>
      </c>
      <c r="E27" s="9">
        <f>D27*1.03</f>
        <v>1909.6200000000001</v>
      </c>
    </row>
    <row r="28" spans="1:5" ht="12.75">
      <c r="A28" s="3" t="s">
        <v>84</v>
      </c>
      <c r="B28" s="9">
        <v>250</v>
      </c>
      <c r="C28" s="9">
        <f>B28*12</f>
        <v>3000</v>
      </c>
      <c r="D28" s="9">
        <f aca="true" t="shared" si="2" ref="D28:E34">C28*1.03</f>
        <v>3090</v>
      </c>
      <c r="E28" s="9">
        <f t="shared" si="2"/>
        <v>3182.7000000000003</v>
      </c>
    </row>
    <row r="29" spans="1:5" ht="12.75">
      <c r="A29" s="3" t="s">
        <v>85</v>
      </c>
      <c r="B29" s="9">
        <v>200</v>
      </c>
      <c r="C29" s="9">
        <f>B29*12</f>
        <v>2400</v>
      </c>
      <c r="D29" s="9">
        <f t="shared" si="2"/>
        <v>2472</v>
      </c>
      <c r="E29" s="9">
        <f t="shared" si="2"/>
        <v>2546.16</v>
      </c>
    </row>
    <row r="30" spans="1:5" ht="12.75">
      <c r="A30" s="3" t="s">
        <v>86</v>
      </c>
      <c r="B30" s="9">
        <v>50</v>
      </c>
      <c r="C30" s="9">
        <f>B30*12</f>
        <v>600</v>
      </c>
      <c r="D30" s="9">
        <f t="shared" si="2"/>
        <v>618</v>
      </c>
      <c r="E30" s="9">
        <f t="shared" si="2"/>
        <v>636.54</v>
      </c>
    </row>
    <row r="31" spans="1:5" ht="12.75">
      <c r="A31" s="3" t="s">
        <v>87</v>
      </c>
      <c r="B31" s="9"/>
      <c r="C31" s="9">
        <f>DEPRECIACION!F14</f>
        <v>188.60000000000002</v>
      </c>
      <c r="D31" s="9">
        <f t="shared" si="2"/>
        <v>194.25800000000004</v>
      </c>
      <c r="E31" s="9">
        <f t="shared" si="2"/>
        <v>200.08574000000004</v>
      </c>
    </row>
    <row r="32" spans="1:5" ht="12.75">
      <c r="A32" s="3"/>
      <c r="B32" s="9"/>
      <c r="C32" s="9"/>
      <c r="D32" s="9">
        <f t="shared" si="2"/>
        <v>0</v>
      </c>
      <c r="E32" s="9">
        <f t="shared" si="2"/>
        <v>0</v>
      </c>
    </row>
    <row r="33" spans="1:5" ht="12.75">
      <c r="A33" s="3"/>
      <c r="B33" s="9"/>
      <c r="C33" s="9"/>
      <c r="D33" s="9">
        <f t="shared" si="2"/>
        <v>0</v>
      </c>
      <c r="E33" s="9">
        <f t="shared" si="2"/>
        <v>0</v>
      </c>
    </row>
    <row r="34" spans="1:5" ht="12.75">
      <c r="A34" s="2" t="s">
        <v>88</v>
      </c>
      <c r="B34" s="29">
        <f>SUM(B26:B33)</f>
        <v>850</v>
      </c>
      <c r="C34" s="29">
        <f>SUM(C26:C33)</f>
        <v>10388.6</v>
      </c>
      <c r="D34" s="29">
        <f t="shared" si="2"/>
        <v>10700.258</v>
      </c>
      <c r="E34" s="29">
        <f t="shared" si="2"/>
        <v>11021.26574</v>
      </c>
    </row>
  </sheetData>
  <sheetProtection/>
  <mergeCells count="2">
    <mergeCell ref="A3:E3"/>
    <mergeCell ref="A23:E23"/>
  </mergeCells>
  <printOptions/>
  <pageMargins left="1.15625" right="0.75" top="1.5208333333333333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B31" sqref="B31"/>
    </sheetView>
  </sheetViews>
  <sheetFormatPr defaultColWidth="11.421875" defaultRowHeight="12.75"/>
  <cols>
    <col min="1" max="1" width="33.00390625" style="0" customWidth="1"/>
    <col min="2" max="2" width="16.28125" style="0" bestFit="1" customWidth="1"/>
    <col min="3" max="3" width="16.140625" style="0" bestFit="1" customWidth="1"/>
    <col min="4" max="4" width="15.8515625" style="0" bestFit="1" customWidth="1"/>
  </cols>
  <sheetData>
    <row r="1" ht="12.75">
      <c r="A1" t="s">
        <v>91</v>
      </c>
    </row>
    <row r="3" spans="1:4" ht="15.75">
      <c r="A3" s="121" t="s">
        <v>92</v>
      </c>
      <c r="B3" s="121"/>
      <c r="C3" s="121"/>
      <c r="D3" s="121"/>
    </row>
    <row r="5" spans="1:4" ht="12.75">
      <c r="A5" s="3"/>
      <c r="B5" s="2" t="s">
        <v>53</v>
      </c>
      <c r="C5" s="2" t="s">
        <v>89</v>
      </c>
      <c r="D5" s="2" t="s">
        <v>90</v>
      </c>
    </row>
    <row r="6" spans="1:4" ht="12.75">
      <c r="A6" s="2" t="s">
        <v>93</v>
      </c>
      <c r="B6" s="3"/>
      <c r="C6" s="3"/>
      <c r="D6" s="3"/>
    </row>
    <row r="7" spans="1:4" ht="12.75">
      <c r="A7" s="3" t="s">
        <v>94</v>
      </c>
      <c r="B7" s="28">
        <f>PERSONAL!K15</f>
        <v>71749.9</v>
      </c>
      <c r="C7" s="28">
        <f>B7*1.03</f>
        <v>73902.397</v>
      </c>
      <c r="D7" s="28">
        <f>C7*1.03</f>
        <v>76119.46891</v>
      </c>
    </row>
    <row r="8" spans="1:4" ht="12.75">
      <c r="A8" s="3" t="s">
        <v>63</v>
      </c>
      <c r="B8" s="28">
        <f>'PRESUPUESTO DE GASTOS'!C6</f>
        <v>4800</v>
      </c>
      <c r="C8" s="28">
        <f aca="true" t="shared" si="0" ref="C8:D18">B8*1.03</f>
        <v>4944</v>
      </c>
      <c r="D8" s="28">
        <f t="shared" si="0"/>
        <v>5092.32</v>
      </c>
    </row>
    <row r="9" spans="1:4" ht="12.75">
      <c r="A9" s="3" t="s">
        <v>95</v>
      </c>
      <c r="B9" s="28">
        <f>'PRESUPUESTO DE GASTOS'!C7</f>
        <v>1800</v>
      </c>
      <c r="C9" s="28">
        <f t="shared" si="0"/>
        <v>1854</v>
      </c>
      <c r="D9" s="28">
        <f t="shared" si="0"/>
        <v>1909.6200000000001</v>
      </c>
    </row>
    <row r="10" spans="1:4" ht="12.75">
      <c r="A10" s="3" t="s">
        <v>96</v>
      </c>
      <c r="B10" s="28">
        <f>'PRESUPUESTO DE GASTOS'!C8</f>
        <v>1800</v>
      </c>
      <c r="C10" s="28">
        <f t="shared" si="0"/>
        <v>1854</v>
      </c>
      <c r="D10" s="28">
        <f t="shared" si="0"/>
        <v>1909.6200000000001</v>
      </c>
    </row>
    <row r="11" spans="1:4" ht="12.75">
      <c r="A11" s="3" t="s">
        <v>97</v>
      </c>
      <c r="B11" s="28">
        <f>'PRESUPUESTO DE GASTOS'!C11</f>
        <v>266</v>
      </c>
      <c r="C11" s="28"/>
      <c r="D11" s="28"/>
    </row>
    <row r="12" spans="1:4" ht="12.75">
      <c r="A12" s="3" t="s">
        <v>98</v>
      </c>
      <c r="B12" s="28">
        <f>'PRESUPUESTO DE GASTOS'!C12</f>
        <v>648</v>
      </c>
      <c r="C12" s="28">
        <f t="shared" si="0"/>
        <v>667.44</v>
      </c>
      <c r="D12" s="28">
        <f t="shared" si="0"/>
        <v>687.4632</v>
      </c>
    </row>
    <row r="13" spans="1:4" ht="12.75">
      <c r="A13" s="3" t="s">
        <v>79</v>
      </c>
      <c r="B13" s="28">
        <f>'PRESUPUESTO DE GASTOS'!C13</f>
        <v>120</v>
      </c>
      <c r="C13" s="28">
        <f t="shared" si="0"/>
        <v>123.60000000000001</v>
      </c>
      <c r="D13" s="28">
        <f t="shared" si="0"/>
        <v>127.308</v>
      </c>
    </row>
    <row r="14" spans="1:4" ht="12.75">
      <c r="A14" s="3" t="s">
        <v>99</v>
      </c>
      <c r="B14" s="9">
        <f>DEPRECIACION!F9+DEPRECIACION!F14</f>
        <v>2144.6003912</v>
      </c>
      <c r="C14" s="28">
        <f t="shared" si="0"/>
        <v>2208.9384029360003</v>
      </c>
      <c r="D14" s="28">
        <f t="shared" si="0"/>
        <v>2275.2065550240804</v>
      </c>
    </row>
    <row r="15" spans="1:4" ht="12.75">
      <c r="A15" s="3" t="s">
        <v>68</v>
      </c>
      <c r="B15" s="9">
        <f>DEPRECIACION!F34</f>
        <v>360</v>
      </c>
      <c r="C15" s="28">
        <f t="shared" si="0"/>
        <v>370.8</v>
      </c>
      <c r="D15" s="28">
        <f t="shared" si="0"/>
        <v>381.92400000000004</v>
      </c>
    </row>
    <row r="16" spans="1:4" ht="12.75">
      <c r="A16" s="3" t="s">
        <v>100</v>
      </c>
      <c r="B16" s="28">
        <f>'PRESUPUESTO DE GASTOS'!C28</f>
        <v>3000</v>
      </c>
      <c r="C16" s="28">
        <f t="shared" si="0"/>
        <v>3090</v>
      </c>
      <c r="D16" s="28">
        <f t="shared" si="0"/>
        <v>3182.7000000000003</v>
      </c>
    </row>
    <row r="17" spans="1:4" ht="12.75">
      <c r="A17" s="3" t="s">
        <v>101</v>
      </c>
      <c r="B17" s="28">
        <f>'PRESUPUESTO DE GASTOS'!C30</f>
        <v>600</v>
      </c>
      <c r="C17" s="28">
        <f t="shared" si="0"/>
        <v>618</v>
      </c>
      <c r="D17" s="28">
        <f t="shared" si="0"/>
        <v>636.54</v>
      </c>
    </row>
    <row r="18" spans="1:4" ht="12.75">
      <c r="A18" s="2" t="s">
        <v>109</v>
      </c>
      <c r="B18" s="31">
        <f>SUM(B7:B17)</f>
        <v>87288.5003912</v>
      </c>
      <c r="C18" s="31">
        <f t="shared" si="0"/>
        <v>89907.155402936</v>
      </c>
      <c r="D18" s="31">
        <f t="shared" si="0"/>
        <v>92604.37006502408</v>
      </c>
    </row>
    <row r="19" spans="1:4" ht="12.75">
      <c r="A19" s="3"/>
      <c r="B19" s="3"/>
      <c r="C19" s="3"/>
      <c r="D19" s="3"/>
    </row>
    <row r="20" spans="1:4" ht="12.75">
      <c r="A20" s="2" t="s">
        <v>102</v>
      </c>
      <c r="B20" s="3"/>
      <c r="C20" s="3"/>
      <c r="D20" s="3"/>
    </row>
    <row r="21" spans="1:4" ht="12.75">
      <c r="A21" s="3" t="s">
        <v>103</v>
      </c>
      <c r="B21" s="9">
        <f>'PRESUPUESTO COSTO'!N31</f>
        <v>252280.80000000002</v>
      </c>
      <c r="C21" s="9">
        <f>'PRESUPUESTO COSTO'!O31</f>
        <v>270451.94399999996</v>
      </c>
      <c r="D21" s="9">
        <f>'PRESUPUESTO COSTO'!P31</f>
        <v>289971.79128000006</v>
      </c>
    </row>
    <row r="22" spans="1:4" ht="12.75">
      <c r="A22" s="3" t="s">
        <v>104</v>
      </c>
      <c r="B22" s="28">
        <f>'PRESUPUESTO DE GASTOS'!C26</f>
        <v>2400</v>
      </c>
      <c r="C22" s="28">
        <f>'PRESUPUESTO DE GASTOS'!D26</f>
        <v>2472</v>
      </c>
      <c r="D22" s="28">
        <f>'PRESUPUESTO DE GASTOS'!E26</f>
        <v>2546.16</v>
      </c>
    </row>
    <row r="23" spans="1:4" ht="12.75">
      <c r="A23" s="3" t="s">
        <v>105</v>
      </c>
      <c r="B23" s="28">
        <f>'PRESUPUESTO DE GASTOS'!C29</f>
        <v>2400</v>
      </c>
      <c r="C23" s="28">
        <f>'PRESUPUESTO DE GASTOS'!D29</f>
        <v>2472</v>
      </c>
      <c r="D23" s="28">
        <f>'PRESUPUESTO DE GASTOS'!E29</f>
        <v>2546.16</v>
      </c>
    </row>
    <row r="24" spans="1:4" ht="12.75">
      <c r="A24" s="2" t="s">
        <v>108</v>
      </c>
      <c r="B24" s="31">
        <f>SUM(B21:B23)</f>
        <v>257080.80000000002</v>
      </c>
      <c r="C24" s="31">
        <f>SUM(C21:C23)</f>
        <v>275395.94399999996</v>
      </c>
      <c r="D24" s="31">
        <f>SUM(D21:D23)</f>
        <v>295064.11128</v>
      </c>
    </row>
    <row r="25" spans="1:4" ht="12.75">
      <c r="A25" s="3"/>
      <c r="B25" s="3"/>
      <c r="C25" s="3"/>
      <c r="D25" s="3"/>
    </row>
    <row r="26" spans="1:4" ht="12.75">
      <c r="A26" s="2" t="s">
        <v>106</v>
      </c>
      <c r="B26" s="31">
        <f>B18+B24</f>
        <v>344369.3003912</v>
      </c>
      <c r="C26" s="31">
        <f>C18+C24</f>
        <v>365303.09940293594</v>
      </c>
      <c r="D26" s="31">
        <f>D18+D24</f>
        <v>387668.4813450241</v>
      </c>
    </row>
    <row r="27" spans="1:4" ht="12.75">
      <c r="A27" s="3"/>
      <c r="B27" s="3"/>
      <c r="C27" s="3"/>
      <c r="D27" s="3"/>
    </row>
    <row r="28" spans="1:4" ht="12.75">
      <c r="A28" s="3" t="s">
        <v>246</v>
      </c>
      <c r="B28" s="9">
        <f>'META DE VENTAS'!O14</f>
        <v>528</v>
      </c>
      <c r="C28" s="9">
        <f>'META DE VENTAS'!P14</f>
        <v>575.5200000000001</v>
      </c>
      <c r="D28" s="9">
        <f>'META DE VENTAS'!Q14</f>
        <v>627.3168000000001</v>
      </c>
    </row>
    <row r="29" spans="1:4" ht="12.75">
      <c r="A29" s="3" t="s">
        <v>247</v>
      </c>
      <c r="B29" s="9">
        <f>B26/B28</f>
        <v>652.2145840742425</v>
      </c>
      <c r="C29" s="9">
        <f>C26/C28</f>
        <v>634.7357162269528</v>
      </c>
      <c r="D29" s="9">
        <f>D26/D28</f>
        <v>617.9787969093511</v>
      </c>
    </row>
    <row r="30" spans="1:4" ht="12.75">
      <c r="A30" s="3" t="s">
        <v>248</v>
      </c>
      <c r="B30" s="9">
        <f>B24/B28</f>
        <v>486.8954545454546</v>
      </c>
      <c r="C30" s="9">
        <f>C24/C28</f>
        <v>478.516722268557</v>
      </c>
      <c r="D30" s="9">
        <f>D24/D28</f>
        <v>470.35901362756425</v>
      </c>
    </row>
    <row r="31" spans="1:7" ht="12.75">
      <c r="A31" s="3" t="s">
        <v>249</v>
      </c>
      <c r="B31" s="9">
        <f>E31/B28</f>
        <v>741.8181818181819</v>
      </c>
      <c r="C31" s="9">
        <f>F31/C28</f>
        <v>741.8181818181818</v>
      </c>
      <c r="D31" s="9">
        <f>G31/D28</f>
        <v>741.818181818182</v>
      </c>
      <c r="E31">
        <f>'PRESUPUESTO INGRESO'!N29</f>
        <v>391680</v>
      </c>
      <c r="F31">
        <f>'PRESUPUESTO INGRESO'!O29</f>
        <v>426931.2</v>
      </c>
      <c r="G31">
        <f>'PRESUPUESTO INGRESO'!P29</f>
        <v>465355.00800000015</v>
      </c>
    </row>
    <row r="32" spans="1:4" ht="12.75">
      <c r="A32" s="3" t="s">
        <v>250</v>
      </c>
      <c r="B32" s="9">
        <f>B31-B30</f>
        <v>254.9227272727273</v>
      </c>
      <c r="C32" s="9">
        <f>C31-C30</f>
        <v>263.3014595496248</v>
      </c>
      <c r="D32" s="9">
        <f>D31-D30</f>
        <v>271.45916819061773</v>
      </c>
    </row>
    <row r="33" spans="1:4" ht="12.75">
      <c r="A33" s="2" t="s">
        <v>251</v>
      </c>
      <c r="B33" s="29">
        <f>B18/(B31-B30)</f>
        <v>342.41160576402825</v>
      </c>
      <c r="C33" s="29">
        <f>C18/(C31-C30)</f>
        <v>341.4609078002132</v>
      </c>
      <c r="D33" s="29">
        <f>D18/(D31-D30)</f>
        <v>341.1355405023477</v>
      </c>
    </row>
    <row r="34" spans="1:4" ht="12.75">
      <c r="A34" s="3"/>
      <c r="B34" s="3"/>
      <c r="C34" s="3"/>
      <c r="D34" s="3"/>
    </row>
    <row r="35" spans="1:4" ht="12.75">
      <c r="A35" s="3" t="s">
        <v>107</v>
      </c>
      <c r="B35" s="9">
        <f>(B18-B14-B15)/12</f>
        <v>7065.325</v>
      </c>
      <c r="C35" s="9">
        <f>(C18-C14-C15)/12</f>
        <v>7277.28475</v>
      </c>
      <c r="D35" s="9">
        <f>(D18-D14-D15)/12</f>
        <v>7495.6032925</v>
      </c>
    </row>
  </sheetData>
  <sheetProtection/>
  <mergeCells count="1">
    <mergeCell ref="A3:D3"/>
  </mergeCells>
  <printOptions/>
  <pageMargins left="1.0729166666666667" right="0.75" top="1.5729166666666667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2" sqref="A2:P2"/>
    </sheetView>
  </sheetViews>
  <sheetFormatPr defaultColWidth="11.421875" defaultRowHeight="12.75"/>
  <cols>
    <col min="1" max="1" width="27.421875" style="0" customWidth="1"/>
    <col min="2" max="3" width="6.57421875" style="0" customWidth="1"/>
    <col min="4" max="5" width="7.00390625" style="0" customWidth="1"/>
    <col min="6" max="6" width="6.7109375" style="0" customWidth="1"/>
    <col min="7" max="7" width="7.00390625" style="0" customWidth="1"/>
    <col min="8" max="8" width="7.140625" style="0" customWidth="1"/>
    <col min="9" max="9" width="7.00390625" style="0" customWidth="1"/>
    <col min="10" max="12" width="6.8515625" style="0" customWidth="1"/>
    <col min="13" max="13" width="7.421875" style="0" customWidth="1"/>
    <col min="14" max="14" width="8.421875" style="0" customWidth="1"/>
    <col min="15" max="15" width="8.28125" style="0" customWidth="1"/>
    <col min="16" max="16" width="8.00390625" style="0" customWidth="1"/>
  </cols>
  <sheetData>
    <row r="1" ht="12.75">
      <c r="A1" s="119" t="s">
        <v>317</v>
      </c>
    </row>
    <row r="2" spans="1:16" ht="15.75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6" spans="1:16" ht="12.75">
      <c r="A6" s="12" t="s">
        <v>15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 t="s">
        <v>12</v>
      </c>
      <c r="O6" s="12" t="s">
        <v>13</v>
      </c>
      <c r="P6" s="12" t="s">
        <v>14</v>
      </c>
    </row>
    <row r="7" spans="1:16" ht="12.75">
      <c r="A7" s="19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7" ht="12.75">
      <c r="A8" s="3" t="s">
        <v>252</v>
      </c>
      <c r="B8" s="14">
        <f>'META DE VENTAS'!C7</f>
        <v>20</v>
      </c>
      <c r="C8" s="14">
        <f>'META DE VENTAS'!D7</f>
        <v>20</v>
      </c>
      <c r="D8" s="14">
        <f>'META DE VENTAS'!E7</f>
        <v>20</v>
      </c>
      <c r="E8" s="14">
        <f>'META DE VENTAS'!F7</f>
        <v>20</v>
      </c>
      <c r="F8" s="14">
        <f>'META DE VENTAS'!G7</f>
        <v>20</v>
      </c>
      <c r="G8" s="14">
        <f>'META DE VENTAS'!H7</f>
        <v>20</v>
      </c>
      <c r="H8" s="14">
        <f>'META DE VENTAS'!I7</f>
        <v>20</v>
      </c>
      <c r="I8" s="14">
        <f>'META DE VENTAS'!J7</f>
        <v>20</v>
      </c>
      <c r="J8" s="14">
        <f>'META DE VENTAS'!K7</f>
        <v>20</v>
      </c>
      <c r="K8" s="14">
        <f>'META DE VENTAS'!L7</f>
        <v>20</v>
      </c>
      <c r="L8" s="14">
        <f>'META DE VENTAS'!M7</f>
        <v>20</v>
      </c>
      <c r="M8" s="14">
        <f>'META DE VENTAS'!N7</f>
        <v>20</v>
      </c>
      <c r="N8" s="14">
        <f>'META DE VENTAS'!O7</f>
        <v>240</v>
      </c>
      <c r="O8" s="14">
        <f>'META DE VENTAS'!P7</f>
        <v>261.6</v>
      </c>
      <c r="P8" s="14">
        <f>'META DE VENTAS'!Q7</f>
        <v>285.14400000000006</v>
      </c>
      <c r="Q8" s="1"/>
    </row>
    <row r="9" spans="1:17" ht="12.75">
      <c r="A9" s="13" t="s">
        <v>17</v>
      </c>
      <c r="B9" s="14">
        <v>1170</v>
      </c>
      <c r="C9" s="14">
        <v>1170</v>
      </c>
      <c r="D9" s="14">
        <v>1170</v>
      </c>
      <c r="E9" s="14">
        <v>1170</v>
      </c>
      <c r="F9" s="14">
        <v>1170</v>
      </c>
      <c r="G9" s="14">
        <v>1170</v>
      </c>
      <c r="H9" s="14">
        <v>1170</v>
      </c>
      <c r="I9" s="14">
        <v>1170</v>
      </c>
      <c r="J9" s="14">
        <v>1170</v>
      </c>
      <c r="K9" s="14">
        <v>1170</v>
      </c>
      <c r="L9" s="14">
        <v>1170</v>
      </c>
      <c r="M9" s="14">
        <v>1170</v>
      </c>
      <c r="N9" s="14">
        <v>1170</v>
      </c>
      <c r="O9" s="14">
        <v>1170</v>
      </c>
      <c r="P9" s="14">
        <v>1170</v>
      </c>
      <c r="Q9" s="1"/>
    </row>
    <row r="10" spans="1:17" ht="12.75">
      <c r="A10" s="13" t="s">
        <v>18</v>
      </c>
      <c r="B10" s="14">
        <f>B8*B9</f>
        <v>23400</v>
      </c>
      <c r="C10" s="14">
        <f aca="true" t="shared" si="0" ref="C10:M10">C8*C9</f>
        <v>23400</v>
      </c>
      <c r="D10" s="14">
        <f t="shared" si="0"/>
        <v>23400</v>
      </c>
      <c r="E10" s="14">
        <f t="shared" si="0"/>
        <v>23400</v>
      </c>
      <c r="F10" s="14">
        <f t="shared" si="0"/>
        <v>23400</v>
      </c>
      <c r="G10" s="14">
        <f t="shared" si="0"/>
        <v>23400</v>
      </c>
      <c r="H10" s="14">
        <f t="shared" si="0"/>
        <v>23400</v>
      </c>
      <c r="I10" s="14">
        <f t="shared" si="0"/>
        <v>23400</v>
      </c>
      <c r="J10" s="14">
        <f t="shared" si="0"/>
        <v>23400</v>
      </c>
      <c r="K10" s="14">
        <f t="shared" si="0"/>
        <v>23400</v>
      </c>
      <c r="L10" s="14">
        <f t="shared" si="0"/>
        <v>23400</v>
      </c>
      <c r="M10" s="14">
        <f t="shared" si="0"/>
        <v>23400</v>
      </c>
      <c r="N10" s="14">
        <f>N8*N9</f>
        <v>280800</v>
      </c>
      <c r="O10" s="14">
        <f>O8*O9</f>
        <v>306072</v>
      </c>
      <c r="P10" s="14">
        <f>P8*P9</f>
        <v>333618.4800000001</v>
      </c>
      <c r="Q10" s="1"/>
    </row>
    <row r="11" spans="1:17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4"/>
      <c r="P11" s="16"/>
      <c r="Q11" s="1"/>
    </row>
    <row r="12" spans="1:17" ht="12.75">
      <c r="A12" s="13"/>
      <c r="B12" s="14">
        <f>'META DE VENTAS'!C8</f>
        <v>0</v>
      </c>
      <c r="C12" s="14">
        <f>'META DE VENTAS'!D8</f>
        <v>0</v>
      </c>
      <c r="D12" s="14">
        <f>'META DE VENTAS'!E8</f>
        <v>0</v>
      </c>
      <c r="E12" s="14">
        <f>'META DE VENTAS'!F8</f>
        <v>0</v>
      </c>
      <c r="F12" s="14">
        <f>'META DE VENTAS'!G8</f>
        <v>0</v>
      </c>
      <c r="G12" s="14">
        <f>'META DE VENTAS'!H8</f>
        <v>0</v>
      </c>
      <c r="H12" s="14">
        <f>'META DE VENTAS'!I8</f>
        <v>0</v>
      </c>
      <c r="I12" s="14">
        <f>'META DE VENTAS'!J8</f>
        <v>0</v>
      </c>
      <c r="J12" s="14">
        <f>'META DE VENTAS'!K8</f>
        <v>0</v>
      </c>
      <c r="K12" s="14">
        <f>'META DE VENTAS'!L8</f>
        <v>0</v>
      </c>
      <c r="L12" s="14">
        <f>'META DE VENTAS'!M8</f>
        <v>0</v>
      </c>
      <c r="M12" s="14">
        <f>'META DE VENTAS'!N8</f>
        <v>0</v>
      </c>
      <c r="N12" s="14">
        <f>'META DE VENTAS'!O8</f>
        <v>0</v>
      </c>
      <c r="O12" s="14">
        <f>'META DE VENTAS'!P8</f>
        <v>0</v>
      </c>
      <c r="P12" s="14">
        <f>'META DE VENTAS'!Q8</f>
        <v>0</v>
      </c>
      <c r="Q12" s="1"/>
    </row>
    <row r="13" spans="1:17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</row>
    <row r="14" spans="1:17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"/>
    </row>
    <row r="15" spans="1:17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4"/>
      <c r="P15" s="16"/>
      <c r="Q15" s="1"/>
    </row>
    <row r="16" spans="1:17" ht="12.75">
      <c r="A16" s="19" t="s">
        <v>2</v>
      </c>
      <c r="B16" s="14">
        <f aca="true" t="shared" si="1" ref="B16:K16">N16/12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5">
        <f>(N16-Q16)/2</f>
        <v>0</v>
      </c>
      <c r="M16" s="15">
        <f>(O16-R16)/2</f>
        <v>0</v>
      </c>
      <c r="N16" s="15"/>
      <c r="O16" s="14">
        <f>N16*1.15</f>
        <v>0</v>
      </c>
      <c r="P16" s="16">
        <f>O16*1.15</f>
        <v>0</v>
      </c>
      <c r="Q16" s="1"/>
    </row>
    <row r="17" spans="1:17" ht="12.75">
      <c r="A17" s="3" t="s">
        <v>253</v>
      </c>
      <c r="B17" s="14">
        <f>'META DE VENTAS'!C11</f>
        <v>12</v>
      </c>
      <c r="C17" s="14">
        <f>'META DE VENTAS'!D11</f>
        <v>12</v>
      </c>
      <c r="D17" s="14">
        <f>'META DE VENTAS'!E11</f>
        <v>12</v>
      </c>
      <c r="E17" s="14">
        <f>'META DE VENTAS'!F11</f>
        <v>12</v>
      </c>
      <c r="F17" s="14">
        <f>'META DE VENTAS'!G11</f>
        <v>12</v>
      </c>
      <c r="G17" s="14">
        <f>'META DE VENTAS'!H11</f>
        <v>12</v>
      </c>
      <c r="H17" s="14">
        <f>'META DE VENTAS'!I11</f>
        <v>12</v>
      </c>
      <c r="I17" s="14">
        <f>'META DE VENTAS'!J11</f>
        <v>12</v>
      </c>
      <c r="J17" s="14">
        <f>'META DE VENTAS'!K11</f>
        <v>12</v>
      </c>
      <c r="K17" s="14">
        <f>'META DE VENTAS'!L11</f>
        <v>12</v>
      </c>
      <c r="L17" s="14">
        <f>'META DE VENTAS'!M11</f>
        <v>12</v>
      </c>
      <c r="M17" s="14">
        <f>'META DE VENTAS'!N11</f>
        <v>12</v>
      </c>
      <c r="N17" s="14">
        <f>'META DE VENTAS'!O11</f>
        <v>144</v>
      </c>
      <c r="O17" s="14">
        <f>'META DE VENTAS'!P11</f>
        <v>156.96</v>
      </c>
      <c r="P17" s="14">
        <f>'META DE VENTAS'!Q11</f>
        <v>171.08640000000003</v>
      </c>
      <c r="Q17" s="1"/>
    </row>
    <row r="18" spans="1:17" ht="12.75">
      <c r="A18" s="13" t="s">
        <v>17</v>
      </c>
      <c r="B18" s="14">
        <v>650</v>
      </c>
      <c r="C18" s="14">
        <v>650</v>
      </c>
      <c r="D18" s="14">
        <v>650</v>
      </c>
      <c r="E18" s="14">
        <v>650</v>
      </c>
      <c r="F18" s="14">
        <v>650</v>
      </c>
      <c r="G18" s="14">
        <v>650</v>
      </c>
      <c r="H18" s="14">
        <v>650</v>
      </c>
      <c r="I18" s="14">
        <v>650</v>
      </c>
      <c r="J18" s="14">
        <v>650</v>
      </c>
      <c r="K18" s="14">
        <v>650</v>
      </c>
      <c r="L18" s="14">
        <v>650</v>
      </c>
      <c r="M18" s="14">
        <v>650</v>
      </c>
      <c r="N18" s="14">
        <v>650</v>
      </c>
      <c r="O18" s="14">
        <v>650</v>
      </c>
      <c r="P18" s="14">
        <v>650</v>
      </c>
      <c r="Q18" s="1"/>
    </row>
    <row r="19" spans="1:17" ht="12.75">
      <c r="A19" s="13" t="s">
        <v>18</v>
      </c>
      <c r="B19" s="14">
        <f>B17*B18</f>
        <v>7800</v>
      </c>
      <c r="C19" s="14">
        <f aca="true" t="shared" si="2" ref="C19:P19">C17*C18</f>
        <v>7800</v>
      </c>
      <c r="D19" s="14">
        <f t="shared" si="2"/>
        <v>7800</v>
      </c>
      <c r="E19" s="14">
        <f t="shared" si="2"/>
        <v>7800</v>
      </c>
      <c r="F19" s="14">
        <f t="shared" si="2"/>
        <v>7800</v>
      </c>
      <c r="G19" s="14">
        <f t="shared" si="2"/>
        <v>7800</v>
      </c>
      <c r="H19" s="14">
        <f t="shared" si="2"/>
        <v>7800</v>
      </c>
      <c r="I19" s="14">
        <f t="shared" si="2"/>
        <v>7800</v>
      </c>
      <c r="J19" s="14">
        <f t="shared" si="2"/>
        <v>7800</v>
      </c>
      <c r="K19" s="14">
        <f t="shared" si="2"/>
        <v>7800</v>
      </c>
      <c r="L19" s="14">
        <f t="shared" si="2"/>
        <v>7800</v>
      </c>
      <c r="M19" s="14">
        <f t="shared" si="2"/>
        <v>7800</v>
      </c>
      <c r="N19" s="14">
        <f t="shared" si="2"/>
        <v>93600</v>
      </c>
      <c r="O19" s="14">
        <f t="shared" si="2"/>
        <v>102024</v>
      </c>
      <c r="P19" s="14">
        <f t="shared" si="2"/>
        <v>111206.16000000002</v>
      </c>
      <c r="Q19" s="1"/>
    </row>
    <row r="20" spans="1:17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5"/>
      <c r="O20" s="14"/>
      <c r="P20" s="16"/>
      <c r="Q20" s="1"/>
    </row>
    <row r="21" spans="1:17" ht="12.75">
      <c r="A21" s="54" t="s">
        <v>254</v>
      </c>
      <c r="B21" s="14">
        <f>'META DE VENTAS'!C12</f>
        <v>12</v>
      </c>
      <c r="C21" s="14">
        <f>'META DE VENTAS'!D12</f>
        <v>12</v>
      </c>
      <c r="D21" s="14">
        <f>'META DE VENTAS'!E12</f>
        <v>12</v>
      </c>
      <c r="E21" s="14">
        <f>'META DE VENTAS'!F12</f>
        <v>12</v>
      </c>
      <c r="F21" s="14">
        <f>'META DE VENTAS'!G12</f>
        <v>12</v>
      </c>
      <c r="G21" s="14">
        <f>'META DE VENTAS'!H12</f>
        <v>12</v>
      </c>
      <c r="H21" s="14">
        <f>'META DE VENTAS'!I12</f>
        <v>12</v>
      </c>
      <c r="I21" s="14">
        <f>'META DE VENTAS'!J12</f>
        <v>12</v>
      </c>
      <c r="J21" s="14">
        <f>'META DE VENTAS'!K12</f>
        <v>12</v>
      </c>
      <c r="K21" s="14">
        <f>'META DE VENTAS'!L12</f>
        <v>12</v>
      </c>
      <c r="L21" s="14">
        <f>'META DE VENTAS'!M12</f>
        <v>12</v>
      </c>
      <c r="M21" s="14">
        <f>'META DE VENTAS'!N12</f>
        <v>12</v>
      </c>
      <c r="N21" s="14">
        <f>'META DE VENTAS'!O12</f>
        <v>144</v>
      </c>
      <c r="O21" s="14">
        <f>'META DE VENTAS'!P12</f>
        <v>156.96</v>
      </c>
      <c r="P21" s="14">
        <f>'META DE VENTAS'!Q12</f>
        <v>171.08640000000003</v>
      </c>
      <c r="Q21" s="1"/>
    </row>
    <row r="22" spans="1:17" ht="12.75">
      <c r="A22" s="13" t="s">
        <v>19</v>
      </c>
      <c r="B22" s="14">
        <v>120</v>
      </c>
      <c r="C22" s="14">
        <v>120</v>
      </c>
      <c r="D22" s="14">
        <v>120</v>
      </c>
      <c r="E22" s="14">
        <v>120</v>
      </c>
      <c r="F22" s="14">
        <v>120</v>
      </c>
      <c r="G22" s="14">
        <v>120</v>
      </c>
      <c r="H22" s="14">
        <v>120</v>
      </c>
      <c r="I22" s="14">
        <v>120</v>
      </c>
      <c r="J22" s="14">
        <v>120</v>
      </c>
      <c r="K22" s="14">
        <v>120</v>
      </c>
      <c r="L22" s="14">
        <v>120</v>
      </c>
      <c r="M22" s="14">
        <v>120</v>
      </c>
      <c r="N22" s="14">
        <v>120</v>
      </c>
      <c r="O22" s="14">
        <v>120</v>
      </c>
      <c r="P22" s="14">
        <v>120</v>
      </c>
      <c r="Q22" s="1"/>
    </row>
    <row r="23" spans="1:17" ht="12.75">
      <c r="A23" s="13" t="s">
        <v>20</v>
      </c>
      <c r="B23" s="14">
        <f>B21*B22</f>
        <v>1440</v>
      </c>
      <c r="C23" s="14">
        <f aca="true" t="shared" si="3" ref="C23:P23">C21*C22</f>
        <v>1440</v>
      </c>
      <c r="D23" s="14">
        <f t="shared" si="3"/>
        <v>1440</v>
      </c>
      <c r="E23" s="14">
        <f t="shared" si="3"/>
        <v>1440</v>
      </c>
      <c r="F23" s="14">
        <f t="shared" si="3"/>
        <v>1440</v>
      </c>
      <c r="G23" s="14">
        <f t="shared" si="3"/>
        <v>1440</v>
      </c>
      <c r="H23" s="14">
        <f t="shared" si="3"/>
        <v>1440</v>
      </c>
      <c r="I23" s="14">
        <f t="shared" si="3"/>
        <v>1440</v>
      </c>
      <c r="J23" s="14">
        <f t="shared" si="3"/>
        <v>1440</v>
      </c>
      <c r="K23" s="14">
        <f t="shared" si="3"/>
        <v>1440</v>
      </c>
      <c r="L23" s="14">
        <f t="shared" si="3"/>
        <v>1440</v>
      </c>
      <c r="M23" s="14">
        <f t="shared" si="3"/>
        <v>1440</v>
      </c>
      <c r="N23" s="14">
        <f t="shared" si="3"/>
        <v>17280</v>
      </c>
      <c r="O23" s="14">
        <f t="shared" si="3"/>
        <v>18835.2</v>
      </c>
      <c r="P23" s="14">
        <f t="shared" si="3"/>
        <v>20530.368000000002</v>
      </c>
      <c r="Q23" s="1"/>
    </row>
    <row r="24" spans="1:17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4"/>
      <c r="P24" s="16"/>
      <c r="Q24" s="1"/>
    </row>
    <row r="25" spans="1:17" ht="12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</row>
    <row r="26" spans="1:16" ht="12.75">
      <c r="A26" s="1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2.75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9" t="s">
        <v>21</v>
      </c>
      <c r="B29" s="20">
        <f>B10+B14+B19+B23+B27</f>
        <v>32640</v>
      </c>
      <c r="C29" s="20">
        <f aca="true" t="shared" si="4" ref="C29:M29">C10+C14+C19+C23+C27</f>
        <v>32640</v>
      </c>
      <c r="D29" s="20">
        <f t="shared" si="4"/>
        <v>32640</v>
      </c>
      <c r="E29" s="20">
        <f t="shared" si="4"/>
        <v>32640</v>
      </c>
      <c r="F29" s="20">
        <f t="shared" si="4"/>
        <v>32640</v>
      </c>
      <c r="G29" s="20">
        <f t="shared" si="4"/>
        <v>32640</v>
      </c>
      <c r="H29" s="20">
        <f t="shared" si="4"/>
        <v>32640</v>
      </c>
      <c r="I29" s="20">
        <f t="shared" si="4"/>
        <v>32640</v>
      </c>
      <c r="J29" s="20">
        <f t="shared" si="4"/>
        <v>32640</v>
      </c>
      <c r="K29" s="20">
        <f t="shared" si="4"/>
        <v>32640</v>
      </c>
      <c r="L29" s="20">
        <f t="shared" si="4"/>
        <v>32640</v>
      </c>
      <c r="M29" s="20">
        <f t="shared" si="4"/>
        <v>32640</v>
      </c>
      <c r="N29" s="20">
        <f>N10+N14+N19+N23+N27</f>
        <v>391680</v>
      </c>
      <c r="O29" s="20">
        <f>O10+O14+O19+O23+O27</f>
        <v>426931.2</v>
      </c>
      <c r="P29" s="20">
        <f>P10+P14+P19+P23+P27</f>
        <v>465355.00800000015</v>
      </c>
    </row>
    <row r="30" spans="1:16" ht="12.75">
      <c r="A30" s="13" t="s">
        <v>22</v>
      </c>
      <c r="B30" s="16">
        <f>B29*0.12</f>
        <v>3916.7999999999997</v>
      </c>
      <c r="C30" s="16">
        <f aca="true" t="shared" si="5" ref="C30:P30">C29*0.12</f>
        <v>3916.7999999999997</v>
      </c>
      <c r="D30" s="16">
        <f t="shared" si="5"/>
        <v>3916.7999999999997</v>
      </c>
      <c r="E30" s="16">
        <f t="shared" si="5"/>
        <v>3916.7999999999997</v>
      </c>
      <c r="F30" s="16">
        <f t="shared" si="5"/>
        <v>3916.7999999999997</v>
      </c>
      <c r="G30" s="16">
        <f t="shared" si="5"/>
        <v>3916.7999999999997</v>
      </c>
      <c r="H30" s="16">
        <f t="shared" si="5"/>
        <v>3916.7999999999997</v>
      </c>
      <c r="I30" s="16">
        <f t="shared" si="5"/>
        <v>3916.7999999999997</v>
      </c>
      <c r="J30" s="16">
        <f t="shared" si="5"/>
        <v>3916.7999999999997</v>
      </c>
      <c r="K30" s="16">
        <f t="shared" si="5"/>
        <v>3916.7999999999997</v>
      </c>
      <c r="L30" s="16">
        <f t="shared" si="5"/>
        <v>3916.7999999999997</v>
      </c>
      <c r="M30" s="16">
        <f t="shared" si="5"/>
        <v>3916.7999999999997</v>
      </c>
      <c r="N30" s="16">
        <f t="shared" si="5"/>
        <v>47001.6</v>
      </c>
      <c r="O30" s="16">
        <f t="shared" si="5"/>
        <v>51231.744</v>
      </c>
      <c r="P30" s="16">
        <f t="shared" si="5"/>
        <v>55842.60096000002</v>
      </c>
    </row>
    <row r="31" spans="1:16" ht="12.75">
      <c r="A31" s="13" t="s">
        <v>23</v>
      </c>
      <c r="B31" s="21">
        <f>B29*0.01</f>
        <v>326.40000000000003</v>
      </c>
      <c r="C31" s="21">
        <f aca="true" t="shared" si="6" ref="C31:P31">C29*0.01</f>
        <v>326.40000000000003</v>
      </c>
      <c r="D31" s="21">
        <f t="shared" si="6"/>
        <v>326.40000000000003</v>
      </c>
      <c r="E31" s="21">
        <f t="shared" si="6"/>
        <v>326.40000000000003</v>
      </c>
      <c r="F31" s="21">
        <f t="shared" si="6"/>
        <v>326.40000000000003</v>
      </c>
      <c r="G31" s="21">
        <f t="shared" si="6"/>
        <v>326.40000000000003</v>
      </c>
      <c r="H31" s="21">
        <f t="shared" si="6"/>
        <v>326.40000000000003</v>
      </c>
      <c r="I31" s="21">
        <f t="shared" si="6"/>
        <v>326.40000000000003</v>
      </c>
      <c r="J31" s="21">
        <f t="shared" si="6"/>
        <v>326.40000000000003</v>
      </c>
      <c r="K31" s="21">
        <f t="shared" si="6"/>
        <v>326.40000000000003</v>
      </c>
      <c r="L31" s="21">
        <f t="shared" si="6"/>
        <v>326.40000000000003</v>
      </c>
      <c r="M31" s="21">
        <f t="shared" si="6"/>
        <v>326.40000000000003</v>
      </c>
      <c r="N31" s="21">
        <f t="shared" si="6"/>
        <v>3916.8</v>
      </c>
      <c r="O31" s="21">
        <f t="shared" si="6"/>
        <v>4269.312</v>
      </c>
      <c r="P31" s="21">
        <f t="shared" si="6"/>
        <v>4653.550080000002</v>
      </c>
    </row>
    <row r="32" spans="1:16" ht="12.75">
      <c r="A32" s="19" t="s">
        <v>24</v>
      </c>
      <c r="B32" s="20">
        <f>B29+B30-B31</f>
        <v>36230.4</v>
      </c>
      <c r="C32" s="20">
        <f aca="true" t="shared" si="7" ref="C32:N32">C29+C30-C31</f>
        <v>36230.4</v>
      </c>
      <c r="D32" s="20">
        <f t="shared" si="7"/>
        <v>36230.4</v>
      </c>
      <c r="E32" s="20">
        <f t="shared" si="7"/>
        <v>36230.4</v>
      </c>
      <c r="F32" s="20">
        <f t="shared" si="7"/>
        <v>36230.4</v>
      </c>
      <c r="G32" s="20">
        <f t="shared" si="7"/>
        <v>36230.4</v>
      </c>
      <c r="H32" s="20">
        <f t="shared" si="7"/>
        <v>36230.4</v>
      </c>
      <c r="I32" s="20">
        <f t="shared" si="7"/>
        <v>36230.4</v>
      </c>
      <c r="J32" s="20">
        <f t="shared" si="7"/>
        <v>36230.4</v>
      </c>
      <c r="K32" s="20">
        <f t="shared" si="7"/>
        <v>36230.4</v>
      </c>
      <c r="L32" s="20">
        <f t="shared" si="7"/>
        <v>36230.4</v>
      </c>
      <c r="M32" s="20">
        <f t="shared" si="7"/>
        <v>36230.4</v>
      </c>
      <c r="N32" s="20">
        <f t="shared" si="7"/>
        <v>434764.8</v>
      </c>
      <c r="O32" s="20">
        <f>O29+O30-O31</f>
        <v>473893.63200000004</v>
      </c>
      <c r="P32" s="20">
        <f>P29+P30-P31</f>
        <v>516544.05888000014</v>
      </c>
    </row>
    <row r="33" spans="1:16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</sheetData>
  <sheetProtection/>
  <mergeCells count="1">
    <mergeCell ref="A2:P2"/>
  </mergeCells>
  <printOptions/>
  <pageMargins left="0.46" right="0.61" top="1.365625" bottom="1" header="0" footer="0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J32" sqref="J32"/>
    </sheetView>
  </sheetViews>
  <sheetFormatPr defaultColWidth="11.421875" defaultRowHeight="12.75"/>
  <cols>
    <col min="1" max="1" width="17.00390625" style="0" customWidth="1"/>
    <col min="2" max="3" width="6.8515625" style="0" customWidth="1"/>
    <col min="4" max="4" width="7.421875" style="0" customWidth="1"/>
    <col min="5" max="5" width="7.00390625" style="0" customWidth="1"/>
    <col min="6" max="7" width="6.851562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7.28125" style="0" customWidth="1"/>
    <col min="12" max="12" width="6.7109375" style="0" customWidth="1"/>
    <col min="13" max="13" width="6.57421875" style="0" customWidth="1"/>
    <col min="14" max="15" width="8.140625" style="0" customWidth="1"/>
    <col min="16" max="16" width="7.8515625" style="0" customWidth="1"/>
  </cols>
  <sheetData>
    <row r="1" ht="12.75">
      <c r="A1" t="s">
        <v>113</v>
      </c>
    </row>
    <row r="3" spans="1:16" ht="15.75">
      <c r="A3" s="121" t="s">
        <v>192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5" spans="1:16" ht="12.75">
      <c r="A5" s="12" t="s">
        <v>15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 t="s">
        <v>12</v>
      </c>
      <c r="O5" s="12" t="s">
        <v>13</v>
      </c>
      <c r="P5" s="12" t="s">
        <v>14</v>
      </c>
    </row>
    <row r="6" spans="1:16" ht="12.75">
      <c r="A6" s="19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13" t="s">
        <v>252</v>
      </c>
      <c r="B7" s="14">
        <f>'PRESUPUESTO INGRESO'!B8</f>
        <v>20</v>
      </c>
      <c r="C7" s="14">
        <f>'PRESUPUESTO INGRESO'!C8</f>
        <v>20</v>
      </c>
      <c r="D7" s="14">
        <f>'PRESUPUESTO INGRESO'!D8</f>
        <v>20</v>
      </c>
      <c r="E7" s="14">
        <f>'PRESUPUESTO INGRESO'!E8</f>
        <v>20</v>
      </c>
      <c r="F7" s="14">
        <f>'PRESUPUESTO INGRESO'!F8</f>
        <v>20</v>
      </c>
      <c r="G7" s="14">
        <f>'PRESUPUESTO INGRESO'!G8</f>
        <v>20</v>
      </c>
      <c r="H7" s="14">
        <f>'PRESUPUESTO INGRESO'!H8</f>
        <v>20</v>
      </c>
      <c r="I7" s="14">
        <f>'PRESUPUESTO INGRESO'!I8</f>
        <v>20</v>
      </c>
      <c r="J7" s="14">
        <f>'PRESUPUESTO INGRESO'!J8</f>
        <v>20</v>
      </c>
      <c r="K7" s="14">
        <f>'PRESUPUESTO INGRESO'!K8</f>
        <v>20</v>
      </c>
      <c r="L7" s="14">
        <f>'PRESUPUESTO INGRESO'!L8</f>
        <v>20</v>
      </c>
      <c r="M7" s="14">
        <f>'PRESUPUESTO INGRESO'!M8</f>
        <v>20</v>
      </c>
      <c r="N7" s="14">
        <f>SUM(B7:M7)</f>
        <v>240</v>
      </c>
      <c r="O7" s="14">
        <f>N7*1.07</f>
        <v>256.8</v>
      </c>
      <c r="P7" s="14">
        <f>O7*1.07</f>
        <v>274.776</v>
      </c>
    </row>
    <row r="8" spans="1:16" ht="12.75">
      <c r="A8" s="13" t="s">
        <v>17</v>
      </c>
      <c r="B8" s="41">
        <v>743</v>
      </c>
      <c r="C8" s="41">
        <v>743</v>
      </c>
      <c r="D8" s="41">
        <v>743</v>
      </c>
      <c r="E8" s="41">
        <v>743</v>
      </c>
      <c r="F8" s="41">
        <v>743</v>
      </c>
      <c r="G8" s="41">
        <v>743</v>
      </c>
      <c r="H8" s="41">
        <v>743</v>
      </c>
      <c r="I8" s="41">
        <v>743</v>
      </c>
      <c r="J8" s="41">
        <v>743</v>
      </c>
      <c r="K8" s="41">
        <v>743</v>
      </c>
      <c r="L8" s="41">
        <v>743</v>
      </c>
      <c r="M8" s="41">
        <v>743</v>
      </c>
      <c r="N8" s="41">
        <v>743</v>
      </c>
      <c r="O8" s="41">
        <v>743</v>
      </c>
      <c r="P8" s="41">
        <v>743</v>
      </c>
    </row>
    <row r="9" spans="1:16" ht="12.75">
      <c r="A9" s="13" t="s">
        <v>18</v>
      </c>
      <c r="B9" s="14">
        <f>B7*B8</f>
        <v>14860</v>
      </c>
      <c r="C9" s="14">
        <f aca="true" t="shared" si="0" ref="C9:M9">C7*C8</f>
        <v>14860</v>
      </c>
      <c r="D9" s="14">
        <f t="shared" si="0"/>
        <v>14860</v>
      </c>
      <c r="E9" s="14">
        <f t="shared" si="0"/>
        <v>14860</v>
      </c>
      <c r="F9" s="14">
        <f t="shared" si="0"/>
        <v>14860</v>
      </c>
      <c r="G9" s="14">
        <f t="shared" si="0"/>
        <v>14860</v>
      </c>
      <c r="H9" s="14">
        <f t="shared" si="0"/>
        <v>14860</v>
      </c>
      <c r="I9" s="14">
        <f t="shared" si="0"/>
        <v>14860</v>
      </c>
      <c r="J9" s="14">
        <f t="shared" si="0"/>
        <v>14860</v>
      </c>
      <c r="K9" s="14">
        <f t="shared" si="0"/>
        <v>14860</v>
      </c>
      <c r="L9" s="14">
        <f t="shared" si="0"/>
        <v>14860</v>
      </c>
      <c r="M9" s="14">
        <f t="shared" si="0"/>
        <v>14860</v>
      </c>
      <c r="N9" s="14">
        <f>N7*N8</f>
        <v>178320</v>
      </c>
      <c r="O9" s="14">
        <f>O7*O8</f>
        <v>190802.4</v>
      </c>
      <c r="P9" s="14">
        <f>P7*P8</f>
        <v>204158.568</v>
      </c>
    </row>
    <row r="10" spans="1:16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4"/>
      <c r="P10" s="16"/>
    </row>
    <row r="11" spans="1:16" ht="12.75">
      <c r="A11" s="13"/>
      <c r="B11" s="14">
        <f>'PRESUPUESTO INGRESO'!B12</f>
        <v>0</v>
      </c>
      <c r="C11" s="14">
        <f>'PRESUPUESTO INGRESO'!C12</f>
        <v>0</v>
      </c>
      <c r="D11" s="14">
        <f>'PRESUPUESTO INGRESO'!D12</f>
        <v>0</v>
      </c>
      <c r="E11" s="14">
        <f>'PRESUPUESTO INGRESO'!E12</f>
        <v>0</v>
      </c>
      <c r="F11" s="14">
        <f>'PRESUPUESTO INGRESO'!F12</f>
        <v>0</v>
      </c>
      <c r="G11" s="14">
        <f>'PRESUPUESTO INGRESO'!G12</f>
        <v>0</v>
      </c>
      <c r="H11" s="14">
        <f>'PRESUPUESTO INGRESO'!H12</f>
        <v>0</v>
      </c>
      <c r="I11" s="14">
        <f>'PRESUPUESTO INGRESO'!I12</f>
        <v>0</v>
      </c>
      <c r="J11" s="14">
        <f>'PRESUPUESTO INGRESO'!J12</f>
        <v>0</v>
      </c>
      <c r="K11" s="14">
        <f>'PRESUPUESTO INGRESO'!K12</f>
        <v>0</v>
      </c>
      <c r="L11" s="14">
        <f>'PRESUPUESTO INGRESO'!L12</f>
        <v>0</v>
      </c>
      <c r="M11" s="14">
        <f>'PRESUPUESTO INGRESO'!M12</f>
        <v>0</v>
      </c>
      <c r="N11" s="14">
        <f>SUM(B11:M11)</f>
        <v>0</v>
      </c>
      <c r="O11" s="14">
        <f>N11*1.15</f>
        <v>0</v>
      </c>
      <c r="P11" s="14">
        <f>O11*1.15</f>
        <v>0</v>
      </c>
    </row>
    <row r="12" spans="1:16" ht="12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13"/>
      <c r="B13" s="14">
        <f>B11*B12</f>
        <v>0</v>
      </c>
      <c r="C13" s="14">
        <f aca="true" t="shared" si="1" ref="C13:M13">C11*C12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>N11*N12</f>
        <v>0</v>
      </c>
      <c r="O13" s="14">
        <f>O11*O12</f>
        <v>0</v>
      </c>
      <c r="P13" s="14">
        <f>P11*P12</f>
        <v>0</v>
      </c>
    </row>
    <row r="14" spans="1:16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4"/>
      <c r="P14" s="16"/>
    </row>
    <row r="15" spans="1:16" ht="12.75">
      <c r="A15" s="19" t="s">
        <v>2</v>
      </c>
      <c r="B15" s="14">
        <f aca="true" t="shared" si="2" ref="B15:K15">N15/12</f>
        <v>0</v>
      </c>
      <c r="C15" s="14">
        <f t="shared" si="2"/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5">
        <f>(N15-Q15)/2</f>
        <v>0</v>
      </c>
      <c r="M15" s="15">
        <f>(O15-R15)/2</f>
        <v>0</v>
      </c>
      <c r="N15" s="15"/>
      <c r="O15" s="14">
        <f>N15*1.15</f>
        <v>0</v>
      </c>
      <c r="P15" s="16">
        <f>O15*1.15</f>
        <v>0</v>
      </c>
    </row>
    <row r="16" spans="1:16" ht="12.75">
      <c r="A16" s="13" t="s">
        <v>253</v>
      </c>
      <c r="B16" s="14">
        <f>'PRESUPUESTO INGRESO'!B17</f>
        <v>12</v>
      </c>
      <c r="C16" s="14">
        <f>'PRESUPUESTO INGRESO'!C17</f>
        <v>12</v>
      </c>
      <c r="D16" s="14">
        <f>'PRESUPUESTO INGRESO'!D17</f>
        <v>12</v>
      </c>
      <c r="E16" s="14">
        <f>'PRESUPUESTO INGRESO'!E17</f>
        <v>12</v>
      </c>
      <c r="F16" s="14">
        <f>'PRESUPUESTO INGRESO'!F17</f>
        <v>12</v>
      </c>
      <c r="G16" s="14">
        <f>'PRESUPUESTO INGRESO'!G17</f>
        <v>12</v>
      </c>
      <c r="H16" s="14">
        <f>'PRESUPUESTO INGRESO'!H17</f>
        <v>12</v>
      </c>
      <c r="I16" s="14">
        <f>'PRESUPUESTO INGRESO'!I17</f>
        <v>12</v>
      </c>
      <c r="J16" s="14">
        <f>'PRESUPUESTO INGRESO'!J17</f>
        <v>12</v>
      </c>
      <c r="K16" s="14">
        <f>'PRESUPUESTO INGRESO'!K17</f>
        <v>12</v>
      </c>
      <c r="L16" s="14">
        <f>'PRESUPUESTO INGRESO'!L17</f>
        <v>12</v>
      </c>
      <c r="M16" s="14">
        <f>'PRESUPUESTO INGRESO'!M17</f>
        <v>12</v>
      </c>
      <c r="N16" s="14">
        <f>SUM(B16:M16)</f>
        <v>144</v>
      </c>
      <c r="O16" s="14">
        <f>N16*1.07</f>
        <v>154.08</v>
      </c>
      <c r="P16" s="14">
        <f>O16*1.07</f>
        <v>164.86560000000003</v>
      </c>
    </row>
    <row r="17" spans="1:16" ht="12.75">
      <c r="A17" s="13" t="s">
        <v>17</v>
      </c>
      <c r="B17" s="14">
        <v>300</v>
      </c>
      <c r="C17" s="14">
        <v>300</v>
      </c>
      <c r="D17" s="14">
        <v>300</v>
      </c>
      <c r="E17" s="14">
        <v>300</v>
      </c>
      <c r="F17" s="14">
        <v>300</v>
      </c>
      <c r="G17" s="14">
        <v>300</v>
      </c>
      <c r="H17" s="14">
        <v>300</v>
      </c>
      <c r="I17" s="14">
        <v>300</v>
      </c>
      <c r="J17" s="14">
        <v>300</v>
      </c>
      <c r="K17" s="14">
        <v>300</v>
      </c>
      <c r="L17" s="14">
        <v>300</v>
      </c>
      <c r="M17" s="14">
        <v>300</v>
      </c>
      <c r="N17" s="14">
        <v>300</v>
      </c>
      <c r="O17" s="14">
        <v>300</v>
      </c>
      <c r="P17" s="14">
        <v>300</v>
      </c>
    </row>
    <row r="18" spans="1:16" ht="12.75">
      <c r="A18" s="13" t="s">
        <v>18</v>
      </c>
      <c r="B18" s="14">
        <f>B16*B17</f>
        <v>3600</v>
      </c>
      <c r="C18" s="14">
        <f aca="true" t="shared" si="3" ref="C18:M18">C16*C17</f>
        <v>3600</v>
      </c>
      <c r="D18" s="14">
        <f t="shared" si="3"/>
        <v>3600</v>
      </c>
      <c r="E18" s="14">
        <f t="shared" si="3"/>
        <v>3600</v>
      </c>
      <c r="F18" s="14">
        <f t="shared" si="3"/>
        <v>3600</v>
      </c>
      <c r="G18" s="14">
        <f t="shared" si="3"/>
        <v>3600</v>
      </c>
      <c r="H18" s="14">
        <f t="shared" si="3"/>
        <v>3600</v>
      </c>
      <c r="I18" s="14">
        <f t="shared" si="3"/>
        <v>3600</v>
      </c>
      <c r="J18" s="14">
        <f t="shared" si="3"/>
        <v>3600</v>
      </c>
      <c r="K18" s="14">
        <f t="shared" si="3"/>
        <v>3600</v>
      </c>
      <c r="L18" s="14">
        <f t="shared" si="3"/>
        <v>3600</v>
      </c>
      <c r="M18" s="14">
        <f t="shared" si="3"/>
        <v>3600</v>
      </c>
      <c r="N18" s="14">
        <f>N16*N17</f>
        <v>43200</v>
      </c>
      <c r="O18" s="14">
        <f>O16*O17</f>
        <v>46224.00000000001</v>
      </c>
      <c r="P18" s="14">
        <f>P16*P17</f>
        <v>49459.68000000001</v>
      </c>
    </row>
    <row r="19" spans="1:16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5"/>
      <c r="N19" s="15"/>
      <c r="O19" s="14"/>
      <c r="P19" s="16"/>
    </row>
    <row r="20" spans="1:16" ht="12.75">
      <c r="A20" s="67" t="s">
        <v>254</v>
      </c>
      <c r="B20" s="14">
        <f>'PRESUPUESTO INGRESO'!B21</f>
        <v>12</v>
      </c>
      <c r="C20" s="14">
        <f>'PRESUPUESTO INGRESO'!C21</f>
        <v>12</v>
      </c>
      <c r="D20" s="14">
        <f>'PRESUPUESTO INGRESO'!D21</f>
        <v>12</v>
      </c>
      <c r="E20" s="14">
        <f>'PRESUPUESTO INGRESO'!E21</f>
        <v>12</v>
      </c>
      <c r="F20" s="14">
        <f>'PRESUPUESTO INGRESO'!F21</f>
        <v>12</v>
      </c>
      <c r="G20" s="14">
        <f>'PRESUPUESTO INGRESO'!G21</f>
        <v>12</v>
      </c>
      <c r="H20" s="14">
        <f>'PRESUPUESTO INGRESO'!H21</f>
        <v>12</v>
      </c>
      <c r="I20" s="14">
        <f>'PRESUPUESTO INGRESO'!I21</f>
        <v>12</v>
      </c>
      <c r="J20" s="14">
        <f>'PRESUPUESTO INGRESO'!J21</f>
        <v>12</v>
      </c>
      <c r="K20" s="14">
        <f>'PRESUPUESTO INGRESO'!K21</f>
        <v>12</v>
      </c>
      <c r="L20" s="14">
        <f>'PRESUPUESTO INGRESO'!L21</f>
        <v>12</v>
      </c>
      <c r="M20" s="14">
        <f>'PRESUPUESTO INGRESO'!M21</f>
        <v>12</v>
      </c>
      <c r="N20" s="14">
        <f>SUM(B20:M20)</f>
        <v>144</v>
      </c>
      <c r="O20" s="14">
        <f>N20*1.15</f>
        <v>165.6</v>
      </c>
      <c r="P20" s="14">
        <f>O20*1.15</f>
        <v>190.43999999999997</v>
      </c>
    </row>
    <row r="21" spans="1:16" ht="12.75">
      <c r="A21" s="13" t="s">
        <v>19</v>
      </c>
      <c r="B21" s="14">
        <v>40</v>
      </c>
      <c r="C21" s="14">
        <v>40</v>
      </c>
      <c r="D21" s="14">
        <v>40</v>
      </c>
      <c r="E21" s="14">
        <v>40</v>
      </c>
      <c r="F21" s="14">
        <v>40</v>
      </c>
      <c r="G21" s="14">
        <v>40</v>
      </c>
      <c r="H21" s="14">
        <v>40</v>
      </c>
      <c r="I21" s="14">
        <v>40</v>
      </c>
      <c r="J21" s="14">
        <v>40</v>
      </c>
      <c r="K21" s="14">
        <v>40</v>
      </c>
      <c r="L21" s="14">
        <v>40</v>
      </c>
      <c r="M21" s="14">
        <v>40</v>
      </c>
      <c r="N21" s="14">
        <v>40</v>
      </c>
      <c r="O21" s="14">
        <v>40</v>
      </c>
      <c r="P21" s="14">
        <v>40</v>
      </c>
    </row>
    <row r="22" spans="1:16" ht="12.75">
      <c r="A22" s="13" t="s">
        <v>20</v>
      </c>
      <c r="B22" s="14">
        <f>B20*B21</f>
        <v>480</v>
      </c>
      <c r="C22" s="14">
        <f aca="true" t="shared" si="4" ref="C22:M22">C20*C21</f>
        <v>480</v>
      </c>
      <c r="D22" s="14">
        <f t="shared" si="4"/>
        <v>480</v>
      </c>
      <c r="E22" s="14">
        <f t="shared" si="4"/>
        <v>480</v>
      </c>
      <c r="F22" s="14">
        <f t="shared" si="4"/>
        <v>480</v>
      </c>
      <c r="G22" s="14">
        <f t="shared" si="4"/>
        <v>480</v>
      </c>
      <c r="H22" s="14">
        <f t="shared" si="4"/>
        <v>480</v>
      </c>
      <c r="I22" s="14">
        <f t="shared" si="4"/>
        <v>480</v>
      </c>
      <c r="J22" s="14">
        <f t="shared" si="4"/>
        <v>480</v>
      </c>
      <c r="K22" s="14">
        <f t="shared" si="4"/>
        <v>480</v>
      </c>
      <c r="L22" s="14">
        <f t="shared" si="4"/>
        <v>480</v>
      </c>
      <c r="M22" s="14">
        <f t="shared" si="4"/>
        <v>480</v>
      </c>
      <c r="N22" s="14">
        <f>N20*N21</f>
        <v>5760</v>
      </c>
      <c r="O22" s="14">
        <f>O20*O21</f>
        <v>6624</v>
      </c>
      <c r="P22" s="14">
        <f>P20*P21</f>
        <v>7617.5999999999985</v>
      </c>
    </row>
    <row r="23" spans="1:16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4"/>
      <c r="P23" s="16"/>
    </row>
    <row r="24" spans="1:16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2.75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9" t="s">
        <v>143</v>
      </c>
      <c r="B28" s="20">
        <f aca="true" t="shared" si="5" ref="B28:P28">B9+B13+B18+B22+B26</f>
        <v>18940</v>
      </c>
      <c r="C28" s="20">
        <f t="shared" si="5"/>
        <v>18940</v>
      </c>
      <c r="D28" s="20">
        <f t="shared" si="5"/>
        <v>18940</v>
      </c>
      <c r="E28" s="20">
        <f t="shared" si="5"/>
        <v>18940</v>
      </c>
      <c r="F28" s="20">
        <f t="shared" si="5"/>
        <v>18940</v>
      </c>
      <c r="G28" s="20">
        <f t="shared" si="5"/>
        <v>18940</v>
      </c>
      <c r="H28" s="20">
        <f t="shared" si="5"/>
        <v>18940</v>
      </c>
      <c r="I28" s="20">
        <f t="shared" si="5"/>
        <v>18940</v>
      </c>
      <c r="J28" s="20">
        <f t="shared" si="5"/>
        <v>18940</v>
      </c>
      <c r="K28" s="20">
        <f t="shared" si="5"/>
        <v>18940</v>
      </c>
      <c r="L28" s="20">
        <f t="shared" si="5"/>
        <v>18940</v>
      </c>
      <c r="M28" s="20">
        <f t="shared" si="5"/>
        <v>18940</v>
      </c>
      <c r="N28" s="20">
        <f t="shared" si="5"/>
        <v>227280</v>
      </c>
      <c r="O28" s="20">
        <f t="shared" si="5"/>
        <v>243650.4</v>
      </c>
      <c r="P28" s="20">
        <f t="shared" si="5"/>
        <v>261235.84800000003</v>
      </c>
    </row>
    <row r="29" spans="1:16" ht="12.75">
      <c r="A29" s="13" t="s">
        <v>22</v>
      </c>
      <c r="B29" s="16">
        <f>B28*0.12</f>
        <v>2272.7999999999997</v>
      </c>
      <c r="C29" s="16">
        <f aca="true" t="shared" si="6" ref="C29:P29">C28*0.12</f>
        <v>2272.7999999999997</v>
      </c>
      <c r="D29" s="16">
        <f t="shared" si="6"/>
        <v>2272.7999999999997</v>
      </c>
      <c r="E29" s="16">
        <f t="shared" si="6"/>
        <v>2272.7999999999997</v>
      </c>
      <c r="F29" s="16">
        <f t="shared" si="6"/>
        <v>2272.7999999999997</v>
      </c>
      <c r="G29" s="16">
        <f t="shared" si="6"/>
        <v>2272.7999999999997</v>
      </c>
      <c r="H29" s="16">
        <f t="shared" si="6"/>
        <v>2272.7999999999997</v>
      </c>
      <c r="I29" s="16">
        <f t="shared" si="6"/>
        <v>2272.7999999999997</v>
      </c>
      <c r="J29" s="16">
        <f t="shared" si="6"/>
        <v>2272.7999999999997</v>
      </c>
      <c r="K29" s="16">
        <f t="shared" si="6"/>
        <v>2272.7999999999997</v>
      </c>
      <c r="L29" s="16">
        <f t="shared" si="6"/>
        <v>2272.7999999999997</v>
      </c>
      <c r="M29" s="16">
        <f t="shared" si="6"/>
        <v>2272.7999999999997</v>
      </c>
      <c r="N29" s="16">
        <f t="shared" si="6"/>
        <v>27273.6</v>
      </c>
      <c r="O29" s="16">
        <f t="shared" si="6"/>
        <v>29238.048</v>
      </c>
      <c r="P29" s="16">
        <f t="shared" si="6"/>
        <v>31348.301760000002</v>
      </c>
    </row>
    <row r="30" spans="1:16" ht="12.75">
      <c r="A30" s="13" t="s">
        <v>23</v>
      </c>
      <c r="B30" s="21">
        <f>B28*0.01</f>
        <v>189.4</v>
      </c>
      <c r="C30" s="21">
        <f aca="true" t="shared" si="7" ref="C30:P30">C28*0.01</f>
        <v>189.4</v>
      </c>
      <c r="D30" s="21">
        <f t="shared" si="7"/>
        <v>189.4</v>
      </c>
      <c r="E30" s="21">
        <f t="shared" si="7"/>
        <v>189.4</v>
      </c>
      <c r="F30" s="21">
        <f t="shared" si="7"/>
        <v>189.4</v>
      </c>
      <c r="G30" s="21">
        <f t="shared" si="7"/>
        <v>189.4</v>
      </c>
      <c r="H30" s="21">
        <f t="shared" si="7"/>
        <v>189.4</v>
      </c>
      <c r="I30" s="21">
        <f t="shared" si="7"/>
        <v>189.4</v>
      </c>
      <c r="J30" s="21">
        <f t="shared" si="7"/>
        <v>189.4</v>
      </c>
      <c r="K30" s="21">
        <f t="shared" si="7"/>
        <v>189.4</v>
      </c>
      <c r="L30" s="21">
        <f t="shared" si="7"/>
        <v>189.4</v>
      </c>
      <c r="M30" s="21">
        <f t="shared" si="7"/>
        <v>189.4</v>
      </c>
      <c r="N30" s="21">
        <f t="shared" si="7"/>
        <v>2272.8</v>
      </c>
      <c r="O30" s="21">
        <f t="shared" si="7"/>
        <v>2436.504</v>
      </c>
      <c r="P30" s="21">
        <f t="shared" si="7"/>
        <v>2612.3584800000003</v>
      </c>
    </row>
    <row r="31" spans="1:16" ht="12.75">
      <c r="A31" s="19" t="s">
        <v>144</v>
      </c>
      <c r="B31" s="20">
        <f>B28+B29-B30</f>
        <v>21023.399999999998</v>
      </c>
      <c r="C31" s="20">
        <f aca="true" t="shared" si="8" ref="C31:P31">C28+C29-C30</f>
        <v>21023.399999999998</v>
      </c>
      <c r="D31" s="20">
        <f t="shared" si="8"/>
        <v>21023.399999999998</v>
      </c>
      <c r="E31" s="20">
        <f t="shared" si="8"/>
        <v>21023.399999999998</v>
      </c>
      <c r="F31" s="20">
        <f t="shared" si="8"/>
        <v>21023.399999999998</v>
      </c>
      <c r="G31" s="20">
        <f t="shared" si="8"/>
        <v>21023.399999999998</v>
      </c>
      <c r="H31" s="20">
        <f t="shared" si="8"/>
        <v>21023.399999999998</v>
      </c>
      <c r="I31" s="20">
        <f t="shared" si="8"/>
        <v>21023.399999999998</v>
      </c>
      <c r="J31" s="20">
        <f t="shared" si="8"/>
        <v>21023.399999999998</v>
      </c>
      <c r="K31" s="20">
        <f t="shared" si="8"/>
        <v>21023.399999999998</v>
      </c>
      <c r="L31" s="20">
        <f t="shared" si="8"/>
        <v>21023.399999999998</v>
      </c>
      <c r="M31" s="20">
        <f t="shared" si="8"/>
        <v>21023.399999999998</v>
      </c>
      <c r="N31" s="20">
        <f t="shared" si="8"/>
        <v>252280.80000000002</v>
      </c>
      <c r="O31" s="20">
        <f t="shared" si="8"/>
        <v>270451.94399999996</v>
      </c>
      <c r="P31" s="20">
        <f t="shared" si="8"/>
        <v>289971.79128000006</v>
      </c>
    </row>
  </sheetData>
  <sheetProtection/>
  <mergeCells count="1">
    <mergeCell ref="A3:P3"/>
  </mergeCells>
  <printOptions/>
  <pageMargins left="0.75" right="0.75" top="1.34375" bottom="1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6"/>
  <sheetViews>
    <sheetView zoomScaleSheetLayoutView="100" workbookViewId="0" topLeftCell="A1">
      <selection activeCell="B34" sqref="B34"/>
    </sheetView>
  </sheetViews>
  <sheetFormatPr defaultColWidth="11.421875" defaultRowHeight="12.75"/>
  <cols>
    <col min="1" max="1" width="16.7109375" style="0" customWidth="1"/>
    <col min="2" max="2" width="7.57421875" style="0" customWidth="1"/>
    <col min="3" max="3" width="7.00390625" style="0" customWidth="1"/>
    <col min="4" max="4" width="7.7109375" style="0" customWidth="1"/>
    <col min="5" max="6" width="7.140625" style="0" customWidth="1"/>
    <col min="7" max="8" width="7.28125" style="0" customWidth="1"/>
    <col min="9" max="9" width="9.140625" style="0" customWidth="1"/>
    <col min="10" max="12" width="7.421875" style="0" customWidth="1"/>
    <col min="13" max="13" width="7.57421875" style="0" customWidth="1"/>
    <col min="14" max="14" width="8.8515625" style="0" customWidth="1"/>
    <col min="15" max="15" width="8.421875" style="0" customWidth="1"/>
    <col min="16" max="16" width="8.140625" style="0" customWidth="1"/>
    <col min="17" max="17" width="8.28125" style="0" customWidth="1"/>
  </cols>
  <sheetData>
    <row r="1" spans="1:19" ht="12.75">
      <c r="A1" s="42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.75">
      <c r="A3" s="127" t="s">
        <v>115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42"/>
      <c r="S3" s="42"/>
    </row>
    <row r="4" spans="1:19" ht="12.75">
      <c r="A4" s="43"/>
      <c r="B4" s="43" t="s">
        <v>142</v>
      </c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 t="s">
        <v>53</v>
      </c>
      <c r="P4" s="43" t="s">
        <v>72</v>
      </c>
      <c r="Q4" s="43" t="s">
        <v>73</v>
      </c>
      <c r="R4" s="42"/>
      <c r="S4" s="42"/>
    </row>
    <row r="5" spans="1:19" ht="12.75">
      <c r="A5" s="43" t="s">
        <v>116</v>
      </c>
      <c r="B5" s="51"/>
      <c r="C5" s="51">
        <f>B34</f>
        <v>9600</v>
      </c>
      <c r="D5" s="51">
        <f>C34</f>
        <v>17373.84166666667</v>
      </c>
      <c r="E5" s="51">
        <f aca="true" t="shared" si="0" ref="E5:N5">D34</f>
        <v>23314.283333333336</v>
      </c>
      <c r="F5" s="51">
        <f t="shared" si="0"/>
        <v>29254.725000000002</v>
      </c>
      <c r="G5" s="51">
        <f t="shared" si="0"/>
        <v>35195.16666666667</v>
      </c>
      <c r="H5" s="51">
        <f t="shared" si="0"/>
        <v>41135.60833333335</v>
      </c>
      <c r="I5" s="51">
        <f t="shared" si="0"/>
        <v>47076.05000000003</v>
      </c>
      <c r="J5" s="51">
        <f t="shared" si="0"/>
        <v>53016.49166666671</v>
      </c>
      <c r="K5" s="51">
        <f t="shared" si="0"/>
        <v>58956.93333333339</v>
      </c>
      <c r="L5" s="51">
        <f t="shared" si="0"/>
        <v>64897.37500000007</v>
      </c>
      <c r="M5" s="51">
        <f t="shared" si="0"/>
        <v>70837.81666666675</v>
      </c>
      <c r="N5" s="51">
        <f t="shared" si="0"/>
        <v>76778.25833333343</v>
      </c>
      <c r="O5" s="51">
        <f>B34</f>
        <v>9600</v>
      </c>
      <c r="P5" s="51">
        <f>O34</f>
        <v>82598.70000000013</v>
      </c>
      <c r="Q5" s="51">
        <f>P34</f>
        <v>193638.4747403296</v>
      </c>
      <c r="R5" s="42"/>
      <c r="S5" s="42"/>
    </row>
    <row r="6" spans="1:19" ht="12.75">
      <c r="A6" s="43" t="s">
        <v>117</v>
      </c>
      <c r="B6" s="51"/>
      <c r="C6" s="51">
        <f>'PRESUPUESTO INGRESO'!B32</f>
        <v>36230.4</v>
      </c>
      <c r="D6" s="51">
        <f>'PRESUPUESTO INGRESO'!C32</f>
        <v>36230.4</v>
      </c>
      <c r="E6" s="51">
        <f>'PRESUPUESTO INGRESO'!D32</f>
        <v>36230.4</v>
      </c>
      <c r="F6" s="51">
        <f>'PRESUPUESTO INGRESO'!E32</f>
        <v>36230.4</v>
      </c>
      <c r="G6" s="51">
        <f>'PRESUPUESTO INGRESO'!F32</f>
        <v>36230.4</v>
      </c>
      <c r="H6" s="51">
        <f>'PRESUPUESTO INGRESO'!G32</f>
        <v>36230.4</v>
      </c>
      <c r="I6" s="51">
        <f>'PRESUPUESTO INGRESO'!H32</f>
        <v>36230.4</v>
      </c>
      <c r="J6" s="51">
        <f>'PRESUPUESTO INGRESO'!I32</f>
        <v>36230.4</v>
      </c>
      <c r="K6" s="51">
        <f>'PRESUPUESTO INGRESO'!J32</f>
        <v>36230.4</v>
      </c>
      <c r="L6" s="51">
        <f>'PRESUPUESTO INGRESO'!K32</f>
        <v>36230.4</v>
      </c>
      <c r="M6" s="51">
        <f>'PRESUPUESTO INGRESO'!L32</f>
        <v>36230.4</v>
      </c>
      <c r="N6" s="51">
        <f>'PRESUPUESTO INGRESO'!M32</f>
        <v>36230.4</v>
      </c>
      <c r="O6" s="51">
        <f>SUM(C6:N6)</f>
        <v>434764.8000000001</v>
      </c>
      <c r="P6" s="51">
        <f>'PRESUPUESTO INGRESO'!O32</f>
        <v>473893.63200000004</v>
      </c>
      <c r="Q6" s="51">
        <f>'PRESUPUESTO INGRESO'!P32</f>
        <v>516544.05888000014</v>
      </c>
      <c r="R6" s="42"/>
      <c r="S6" s="42"/>
    </row>
    <row r="7" spans="1:19" ht="12.75">
      <c r="A7" s="44" t="s">
        <v>118</v>
      </c>
      <c r="B7" s="52"/>
      <c r="C7" s="14">
        <f>SUM(C5:C6)</f>
        <v>45830.4</v>
      </c>
      <c r="D7" s="14">
        <f aca="true" t="shared" si="1" ref="D7:N7">SUM(D5:D6)</f>
        <v>53604.24166666667</v>
      </c>
      <c r="E7" s="14">
        <f t="shared" si="1"/>
        <v>59544.683333333334</v>
      </c>
      <c r="F7" s="14">
        <f t="shared" si="1"/>
        <v>65485.125</v>
      </c>
      <c r="G7" s="14">
        <f t="shared" si="1"/>
        <v>71425.56666666668</v>
      </c>
      <c r="H7" s="14">
        <f t="shared" si="1"/>
        <v>77366.00833333336</v>
      </c>
      <c r="I7" s="14">
        <f t="shared" si="1"/>
        <v>83306.45000000004</v>
      </c>
      <c r="J7" s="14">
        <f t="shared" si="1"/>
        <v>89246.89166666672</v>
      </c>
      <c r="K7" s="14">
        <f t="shared" si="1"/>
        <v>95187.3333333334</v>
      </c>
      <c r="L7" s="14">
        <f t="shared" si="1"/>
        <v>101127.77500000008</v>
      </c>
      <c r="M7" s="14">
        <f t="shared" si="1"/>
        <v>107068.21666666676</v>
      </c>
      <c r="N7" s="14">
        <f t="shared" si="1"/>
        <v>113008.65833333344</v>
      </c>
      <c r="O7" s="14">
        <f>SUM(O5:O6)</f>
        <v>444364.8000000001</v>
      </c>
      <c r="P7" s="14">
        <f>SUM(P5:P6)</f>
        <v>556492.3320000002</v>
      </c>
      <c r="Q7" s="14">
        <f>SUM(Q5:Q6)</f>
        <v>710182.5336203298</v>
      </c>
      <c r="R7" s="42"/>
      <c r="S7" s="42"/>
    </row>
    <row r="8" spans="1:19" ht="12.75">
      <c r="A8" s="43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2"/>
      <c r="S8" s="42"/>
    </row>
    <row r="9" spans="1:19" ht="12.75">
      <c r="A9" s="44" t="s">
        <v>119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2"/>
      <c r="S9" s="42"/>
    </row>
    <row r="10" spans="1:19" ht="12.75">
      <c r="A10" s="43" t="s">
        <v>120</v>
      </c>
      <c r="B10" s="51">
        <f>'ACTIVOS FIJOS'!D36</f>
        <v>25134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2"/>
      <c r="S10" s="42"/>
    </row>
    <row r="11" spans="1:19" ht="12.75">
      <c r="A11" s="43" t="s">
        <v>145</v>
      </c>
      <c r="B11" s="51"/>
      <c r="C11" s="51">
        <f>'PRESUPUESTO COSTO'!B31</f>
        <v>21023.399999999998</v>
      </c>
      <c r="D11" s="51">
        <f>'PRESUPUESTO COSTO'!C31</f>
        <v>21023.399999999998</v>
      </c>
      <c r="E11" s="51">
        <f>'PRESUPUESTO COSTO'!D31</f>
        <v>21023.399999999998</v>
      </c>
      <c r="F11" s="51">
        <f>'PRESUPUESTO COSTO'!E31</f>
        <v>21023.399999999998</v>
      </c>
      <c r="G11" s="51">
        <f>'PRESUPUESTO COSTO'!F31</f>
        <v>21023.399999999998</v>
      </c>
      <c r="H11" s="51">
        <f>'PRESUPUESTO COSTO'!G31</f>
        <v>21023.399999999998</v>
      </c>
      <c r="I11" s="51">
        <f>'PRESUPUESTO COSTO'!H31</f>
        <v>21023.399999999998</v>
      </c>
      <c r="J11" s="51">
        <f>'PRESUPUESTO COSTO'!I31</f>
        <v>21023.399999999998</v>
      </c>
      <c r="K11" s="51">
        <f>'PRESUPUESTO COSTO'!J31</f>
        <v>21023.399999999998</v>
      </c>
      <c r="L11" s="51">
        <f>'PRESUPUESTO COSTO'!K31</f>
        <v>21023.399999999998</v>
      </c>
      <c r="M11" s="51">
        <f>'PRESUPUESTO COSTO'!L31</f>
        <v>21023.399999999998</v>
      </c>
      <c r="N11" s="51">
        <f>'PRESUPUESTO COSTO'!M31</f>
        <v>21023.399999999998</v>
      </c>
      <c r="O11" s="51">
        <f>SUM(C11:N11)</f>
        <v>252280.79999999996</v>
      </c>
      <c r="P11" s="51">
        <f>'PRESUPUESTO COSTO'!O31</f>
        <v>270451.94399999996</v>
      </c>
      <c r="Q11" s="51">
        <f>'PRESUPUESTO COSTO'!P31</f>
        <v>289971.79128000006</v>
      </c>
      <c r="R11" s="42"/>
      <c r="S11" s="42"/>
    </row>
    <row r="12" spans="1:19" ht="12.75">
      <c r="A12" s="43" t="s">
        <v>121</v>
      </c>
      <c r="B12" s="51"/>
      <c r="C12" s="51">
        <f>PERSONAL!K15/12</f>
        <v>5979.158333333333</v>
      </c>
      <c r="D12" s="51">
        <f>C12</f>
        <v>5979.158333333333</v>
      </c>
      <c r="E12" s="51">
        <f aca="true" t="shared" si="2" ref="E12:N12">D12</f>
        <v>5979.158333333333</v>
      </c>
      <c r="F12" s="51">
        <f t="shared" si="2"/>
        <v>5979.158333333333</v>
      </c>
      <c r="G12" s="51">
        <f t="shared" si="2"/>
        <v>5979.158333333333</v>
      </c>
      <c r="H12" s="51">
        <f t="shared" si="2"/>
        <v>5979.158333333333</v>
      </c>
      <c r="I12" s="51">
        <f t="shared" si="2"/>
        <v>5979.158333333333</v>
      </c>
      <c r="J12" s="51">
        <f t="shared" si="2"/>
        <v>5979.158333333333</v>
      </c>
      <c r="K12" s="51">
        <f t="shared" si="2"/>
        <v>5979.158333333333</v>
      </c>
      <c r="L12" s="51">
        <f t="shared" si="2"/>
        <v>5979.158333333333</v>
      </c>
      <c r="M12" s="51">
        <f t="shared" si="2"/>
        <v>5979.158333333333</v>
      </c>
      <c r="N12" s="51">
        <f t="shared" si="2"/>
        <v>5979.158333333333</v>
      </c>
      <c r="O12" s="51">
        <f>SUM(C12:N12)</f>
        <v>71749.9</v>
      </c>
      <c r="P12" s="51">
        <f>PERSONAL!L15</f>
        <v>73902.397</v>
      </c>
      <c r="Q12" s="51">
        <f>PERSONAL!M15</f>
        <v>76119.46891</v>
      </c>
      <c r="R12" s="42"/>
      <c r="S12" s="42"/>
    </row>
    <row r="13" spans="1:19" ht="12.75">
      <c r="A13" s="44" t="s">
        <v>122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2"/>
      <c r="S13" s="42"/>
    </row>
    <row r="14" spans="1:19" ht="12.75">
      <c r="A14" s="43" t="s">
        <v>123</v>
      </c>
      <c r="B14" s="51"/>
      <c r="C14" s="51">
        <f>'PRESUPUESTO DE GASTOS'!B6</f>
        <v>400</v>
      </c>
      <c r="D14" s="51">
        <v>400</v>
      </c>
      <c r="E14" s="51">
        <v>400</v>
      </c>
      <c r="F14" s="51">
        <v>400</v>
      </c>
      <c r="G14" s="51">
        <v>400</v>
      </c>
      <c r="H14" s="51">
        <v>400</v>
      </c>
      <c r="I14" s="51">
        <v>400</v>
      </c>
      <c r="J14" s="51">
        <v>400</v>
      </c>
      <c r="K14" s="51">
        <v>400</v>
      </c>
      <c r="L14" s="51">
        <v>400</v>
      </c>
      <c r="M14" s="51">
        <v>400</v>
      </c>
      <c r="N14" s="51">
        <v>400</v>
      </c>
      <c r="O14" s="51">
        <f>SUM(C14:N14)</f>
        <v>4800</v>
      </c>
      <c r="P14" s="51">
        <f>'PRESUPUESTO DE GASTOS'!D6</f>
        <v>4944</v>
      </c>
      <c r="Q14" s="51">
        <f>'PRESUPUESTO DE GASTOS'!E6</f>
        <v>5092.32</v>
      </c>
      <c r="R14" s="42"/>
      <c r="S14" s="42"/>
    </row>
    <row r="15" spans="1:19" ht="12.75">
      <c r="A15" s="43" t="s">
        <v>124</v>
      </c>
      <c r="B15" s="51"/>
      <c r="C15" s="51">
        <f>'PRESUPUESTO DE GASTOS'!B7</f>
        <v>150</v>
      </c>
      <c r="D15" s="51">
        <v>150</v>
      </c>
      <c r="E15" s="51">
        <v>150</v>
      </c>
      <c r="F15" s="51">
        <v>150</v>
      </c>
      <c r="G15" s="51">
        <v>150</v>
      </c>
      <c r="H15" s="51">
        <v>150</v>
      </c>
      <c r="I15" s="51">
        <v>150</v>
      </c>
      <c r="J15" s="51">
        <v>150</v>
      </c>
      <c r="K15" s="51">
        <v>150</v>
      </c>
      <c r="L15" s="51">
        <v>150</v>
      </c>
      <c r="M15" s="51">
        <v>150</v>
      </c>
      <c r="N15" s="51">
        <v>150</v>
      </c>
      <c r="O15" s="51">
        <f aca="true" t="shared" si="3" ref="O15:O27">SUM(C15:N15)</f>
        <v>1800</v>
      </c>
      <c r="P15" s="51">
        <f>'PRESUPUESTO DE GASTOS'!D7</f>
        <v>1854</v>
      </c>
      <c r="Q15" s="51">
        <f>'PRESUPUESTO DE GASTOS'!E7</f>
        <v>1909.6200000000001</v>
      </c>
      <c r="R15" s="42"/>
      <c r="S15" s="42"/>
    </row>
    <row r="16" spans="1:19" ht="12.75">
      <c r="A16" s="43" t="s">
        <v>125</v>
      </c>
      <c r="B16" s="51"/>
      <c r="C16" s="51">
        <f>'PRESUPUESTO DE GASTOS'!B8</f>
        <v>150</v>
      </c>
      <c r="D16" s="51">
        <v>150</v>
      </c>
      <c r="E16" s="51">
        <v>150</v>
      </c>
      <c r="F16" s="51">
        <v>150</v>
      </c>
      <c r="G16" s="51">
        <v>150</v>
      </c>
      <c r="H16" s="51">
        <v>150</v>
      </c>
      <c r="I16" s="51">
        <v>150</v>
      </c>
      <c r="J16" s="51">
        <v>150</v>
      </c>
      <c r="K16" s="51">
        <v>150</v>
      </c>
      <c r="L16" s="51">
        <v>150</v>
      </c>
      <c r="M16" s="51">
        <v>150</v>
      </c>
      <c r="N16" s="51">
        <v>150</v>
      </c>
      <c r="O16" s="51">
        <f t="shared" si="3"/>
        <v>1800</v>
      </c>
      <c r="P16" s="51">
        <f>'PRESUPUESTO DE GASTOS'!D8</f>
        <v>1854</v>
      </c>
      <c r="Q16" s="51">
        <f>'PRESUPUESTO DE GASTOS'!E8</f>
        <v>1909.6200000000001</v>
      </c>
      <c r="R16" s="42"/>
      <c r="S16" s="42"/>
    </row>
    <row r="17" spans="1:19" ht="12.75">
      <c r="A17" s="44" t="s">
        <v>141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>
        <f t="shared" si="3"/>
        <v>0</v>
      </c>
      <c r="P17" s="51"/>
      <c r="Q17" s="51"/>
      <c r="R17" s="42"/>
      <c r="S17" s="42"/>
    </row>
    <row r="18" spans="1:19" ht="12.75">
      <c r="A18" s="43" t="s">
        <v>126</v>
      </c>
      <c r="B18" s="51"/>
      <c r="C18" s="51">
        <f>'PRESUPUESTO DE GASTOS'!B26</f>
        <v>200</v>
      </c>
      <c r="D18" s="51">
        <v>200</v>
      </c>
      <c r="E18" s="51">
        <v>200</v>
      </c>
      <c r="F18" s="51">
        <v>200</v>
      </c>
      <c r="G18" s="51">
        <v>200</v>
      </c>
      <c r="H18" s="51">
        <v>200</v>
      </c>
      <c r="I18" s="51">
        <v>200</v>
      </c>
      <c r="J18" s="51">
        <v>200</v>
      </c>
      <c r="K18" s="51">
        <v>200</v>
      </c>
      <c r="L18" s="51">
        <v>200</v>
      </c>
      <c r="M18" s="51">
        <v>200</v>
      </c>
      <c r="N18" s="51">
        <v>200</v>
      </c>
      <c r="O18" s="51">
        <f t="shared" si="3"/>
        <v>2400</v>
      </c>
      <c r="P18" s="51">
        <f>'PRESUPUESTO DE GASTOS'!D26</f>
        <v>2472</v>
      </c>
      <c r="Q18" s="51">
        <f>'PRESUPUESTO DE GASTOS'!E26</f>
        <v>2546.16</v>
      </c>
      <c r="R18" s="42"/>
      <c r="S18" s="42"/>
    </row>
    <row r="19" spans="1:19" ht="12.75">
      <c r="A19" s="43" t="s">
        <v>127</v>
      </c>
      <c r="B19" s="51"/>
      <c r="C19" s="51">
        <f>'PRESUPUESTO DE GASTOS'!B28</f>
        <v>250</v>
      </c>
      <c r="D19" s="51">
        <v>250</v>
      </c>
      <c r="E19" s="51">
        <v>250</v>
      </c>
      <c r="F19" s="51">
        <v>250</v>
      </c>
      <c r="G19" s="51">
        <v>250</v>
      </c>
      <c r="H19" s="51">
        <v>250</v>
      </c>
      <c r="I19" s="51">
        <v>250</v>
      </c>
      <c r="J19" s="51">
        <v>250</v>
      </c>
      <c r="K19" s="51">
        <v>250</v>
      </c>
      <c r="L19" s="51">
        <v>250</v>
      </c>
      <c r="M19" s="51">
        <v>250</v>
      </c>
      <c r="N19" s="51">
        <v>250</v>
      </c>
      <c r="O19" s="51">
        <f t="shared" si="3"/>
        <v>3000</v>
      </c>
      <c r="P19" s="51">
        <f>'PRESUPUESTO DE GASTOS'!D28</f>
        <v>3090</v>
      </c>
      <c r="Q19" s="51">
        <f>'PRESUPUESTO DE GASTOS'!E28</f>
        <v>3182.7000000000003</v>
      </c>
      <c r="R19" s="42"/>
      <c r="S19" s="42"/>
    </row>
    <row r="20" spans="1:19" ht="12.75">
      <c r="A20" s="43" t="s">
        <v>128</v>
      </c>
      <c r="B20" s="51"/>
      <c r="C20" s="51">
        <f>'PRESUPUESTO DE GASTOS'!B29</f>
        <v>200</v>
      </c>
      <c r="D20" s="51">
        <v>200</v>
      </c>
      <c r="E20" s="51">
        <v>200</v>
      </c>
      <c r="F20" s="51">
        <v>200</v>
      </c>
      <c r="G20" s="51">
        <v>200</v>
      </c>
      <c r="H20" s="51">
        <v>200</v>
      </c>
      <c r="I20" s="51">
        <v>200</v>
      </c>
      <c r="J20" s="51">
        <v>200</v>
      </c>
      <c r="K20" s="51">
        <v>200</v>
      </c>
      <c r="L20" s="51">
        <v>200</v>
      </c>
      <c r="M20" s="51">
        <v>200</v>
      </c>
      <c r="N20" s="51">
        <v>200</v>
      </c>
      <c r="O20" s="51">
        <f t="shared" si="3"/>
        <v>2400</v>
      </c>
      <c r="P20" s="51">
        <f>'PRESUPUESTO DE GASTOS'!D29</f>
        <v>2472</v>
      </c>
      <c r="Q20" s="51">
        <f>'PRESUPUESTO DE GASTOS'!E29</f>
        <v>2546.16</v>
      </c>
      <c r="R20" s="42"/>
      <c r="S20" s="42"/>
    </row>
    <row r="21" spans="1:19" ht="12.75">
      <c r="A21" s="43" t="s">
        <v>129</v>
      </c>
      <c r="B21" s="51"/>
      <c r="C21" s="51">
        <f>'PRESUPUESTO DE GASTOS'!B30</f>
        <v>50</v>
      </c>
      <c r="D21" s="51">
        <v>50</v>
      </c>
      <c r="E21" s="51">
        <v>50</v>
      </c>
      <c r="F21" s="51">
        <v>50</v>
      </c>
      <c r="G21" s="51">
        <v>50</v>
      </c>
      <c r="H21" s="51">
        <v>50</v>
      </c>
      <c r="I21" s="51">
        <v>50</v>
      </c>
      <c r="J21" s="51">
        <v>50</v>
      </c>
      <c r="K21" s="51">
        <v>50</v>
      </c>
      <c r="L21" s="51">
        <v>50</v>
      </c>
      <c r="M21" s="51">
        <v>50</v>
      </c>
      <c r="N21" s="51">
        <v>50</v>
      </c>
      <c r="O21" s="51">
        <f t="shared" si="3"/>
        <v>600</v>
      </c>
      <c r="P21" s="51">
        <f>'PRESUPUESTO DE GASTOS'!D30</f>
        <v>618</v>
      </c>
      <c r="Q21" s="51">
        <f>'PRESUPUESTO DE GASTOS'!E30</f>
        <v>636.54</v>
      </c>
      <c r="R21" s="42"/>
      <c r="S21" s="42"/>
    </row>
    <row r="22" spans="1:19" ht="12.75">
      <c r="A22" s="44" t="s">
        <v>130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>
        <f t="shared" si="3"/>
        <v>0</v>
      </c>
      <c r="P22" s="51"/>
      <c r="Q22" s="51"/>
      <c r="R22" s="42"/>
      <c r="S22" s="42"/>
    </row>
    <row r="23" spans="1:19" ht="12.75">
      <c r="A23" s="43" t="s">
        <v>131</v>
      </c>
      <c r="B23" s="51">
        <f>'COSTOS OPERATIVOS'!B11</f>
        <v>266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>
        <f t="shared" si="3"/>
        <v>0</v>
      </c>
      <c r="P23" s="51"/>
      <c r="Q23" s="51"/>
      <c r="R23" s="42"/>
      <c r="S23" s="42"/>
    </row>
    <row r="24" spans="1:19" ht="12.75">
      <c r="A24" s="43" t="s">
        <v>132</v>
      </c>
      <c r="B24" s="51"/>
      <c r="C24" s="51">
        <f>'PRESUPUESTO DE GASTOS'!B12</f>
        <v>54</v>
      </c>
      <c r="D24" s="51">
        <v>54</v>
      </c>
      <c r="E24" s="51">
        <v>54</v>
      </c>
      <c r="F24" s="51">
        <v>54</v>
      </c>
      <c r="G24" s="51">
        <v>54</v>
      </c>
      <c r="H24" s="51">
        <v>54</v>
      </c>
      <c r="I24" s="51">
        <v>54</v>
      </c>
      <c r="J24" s="51">
        <v>54</v>
      </c>
      <c r="K24" s="51">
        <v>54</v>
      </c>
      <c r="L24" s="51">
        <v>54</v>
      </c>
      <c r="M24" s="51">
        <v>54</v>
      </c>
      <c r="N24" s="51">
        <v>54</v>
      </c>
      <c r="O24" s="51">
        <f t="shared" si="3"/>
        <v>648</v>
      </c>
      <c r="P24" s="51">
        <f>'PRESUPUESTO DE GASTOS'!D12</f>
        <v>667.44</v>
      </c>
      <c r="Q24" s="51">
        <f>'PRESUPUESTO DE GASTOS'!E12</f>
        <v>687.4632</v>
      </c>
      <c r="R24" s="42"/>
      <c r="S24" s="42"/>
    </row>
    <row r="25" spans="1:19" ht="12.75">
      <c r="A25" s="43" t="s">
        <v>133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>
        <f>'PRESUPUESTO DE GASTOS'!C13</f>
        <v>120</v>
      </c>
      <c r="O25" s="51">
        <f t="shared" si="3"/>
        <v>120</v>
      </c>
      <c r="P25" s="51">
        <f>'PRESUPUESTO DE GASTOS'!D13</f>
        <v>123.60000000000001</v>
      </c>
      <c r="Q25" s="51">
        <f>'PRESUPUESTO DE GASTOS'!E13</f>
        <v>127.308</v>
      </c>
      <c r="R25" s="42"/>
      <c r="S25" s="42"/>
    </row>
    <row r="26" spans="1:19" ht="12.75">
      <c r="A26" s="43" t="s">
        <v>134</v>
      </c>
      <c r="B26" s="51"/>
      <c r="C26" s="51"/>
      <c r="D26" s="51">
        <f>'PRESUPUESTO INGRESO'!B30-'PRESUPUESTO COSTO'!B29</f>
        <v>1644</v>
      </c>
      <c r="E26" s="51">
        <f>D26</f>
        <v>1644</v>
      </c>
      <c r="F26" s="51">
        <f aca="true" t="shared" si="4" ref="F26:N26">E26</f>
        <v>1644</v>
      </c>
      <c r="G26" s="51">
        <f t="shared" si="4"/>
        <v>1644</v>
      </c>
      <c r="H26" s="51">
        <f t="shared" si="4"/>
        <v>1644</v>
      </c>
      <c r="I26" s="51">
        <f t="shared" si="4"/>
        <v>1644</v>
      </c>
      <c r="J26" s="51">
        <f t="shared" si="4"/>
        <v>1644</v>
      </c>
      <c r="K26" s="51">
        <f t="shared" si="4"/>
        <v>1644</v>
      </c>
      <c r="L26" s="51">
        <f t="shared" si="4"/>
        <v>1644</v>
      </c>
      <c r="M26" s="51">
        <f t="shared" si="4"/>
        <v>1644</v>
      </c>
      <c r="N26" s="51">
        <f t="shared" si="4"/>
        <v>1644</v>
      </c>
      <c r="O26" s="51">
        <f t="shared" si="3"/>
        <v>18084</v>
      </c>
      <c r="P26" s="51">
        <f>'PRESUPUESTO INGRESO'!O30-'PRESUPUESTO COSTO'!O29</f>
        <v>21993.696</v>
      </c>
      <c r="Q26" s="51">
        <f>'PRESUPUESTO INGRESO'!P30-'PRESUPUESTO COSTO'!P29</f>
        <v>24494.299200000016</v>
      </c>
      <c r="R26" s="42"/>
      <c r="S26" s="42"/>
    </row>
    <row r="27" spans="1:19" ht="12.75">
      <c r="A27" s="43" t="s">
        <v>135</v>
      </c>
      <c r="B27" s="51"/>
      <c r="C27" s="51"/>
      <c r="D27" s="51">
        <f>'PRESUPUESTO COSTO'!B30</f>
        <v>189.4</v>
      </c>
      <c r="E27" s="51">
        <f>D27</f>
        <v>189.4</v>
      </c>
      <c r="F27" s="51">
        <f aca="true" t="shared" si="5" ref="F27:N27">E27</f>
        <v>189.4</v>
      </c>
      <c r="G27" s="51">
        <f t="shared" si="5"/>
        <v>189.4</v>
      </c>
      <c r="H27" s="51">
        <f t="shared" si="5"/>
        <v>189.4</v>
      </c>
      <c r="I27" s="51">
        <f t="shared" si="5"/>
        <v>189.4</v>
      </c>
      <c r="J27" s="51">
        <f t="shared" si="5"/>
        <v>189.4</v>
      </c>
      <c r="K27" s="51">
        <f t="shared" si="5"/>
        <v>189.4</v>
      </c>
      <c r="L27" s="51">
        <f t="shared" si="5"/>
        <v>189.4</v>
      </c>
      <c r="M27" s="51">
        <f t="shared" si="5"/>
        <v>189.4</v>
      </c>
      <c r="N27" s="51">
        <f t="shared" si="5"/>
        <v>189.4</v>
      </c>
      <c r="O27" s="51">
        <f t="shared" si="3"/>
        <v>2083.4000000000005</v>
      </c>
      <c r="P27" s="51">
        <f>'PRESUPUESTO COSTO'!O30</f>
        <v>2436.504</v>
      </c>
      <c r="Q27" s="51">
        <f>'PRESUPUESTO COSTO'!P30</f>
        <v>2612.3584800000003</v>
      </c>
      <c r="R27" s="42"/>
      <c r="S27" s="42"/>
    </row>
    <row r="28" spans="1:19" ht="12.75">
      <c r="A28" s="43" t="s">
        <v>136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2"/>
      <c r="S28" s="42"/>
    </row>
    <row r="29" spans="1:19" ht="12.75">
      <c r="A29" s="43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42"/>
      <c r="S29" s="42"/>
    </row>
    <row r="30" spans="1:19" ht="12.75">
      <c r="A30" s="44" t="s">
        <v>137</v>
      </c>
      <c r="B30" s="51">
        <f>SUM(B10:B29)</f>
        <v>25400</v>
      </c>
      <c r="C30" s="51">
        <f>SUM(C10:C29)</f>
        <v>28456.55833333333</v>
      </c>
      <c r="D30" s="51">
        <f aca="true" t="shared" si="6" ref="D30:O30">SUM(D10:D29)</f>
        <v>30289.958333333332</v>
      </c>
      <c r="E30" s="51">
        <f t="shared" si="6"/>
        <v>30289.958333333332</v>
      </c>
      <c r="F30" s="51">
        <f t="shared" si="6"/>
        <v>30289.958333333332</v>
      </c>
      <c r="G30" s="51">
        <f t="shared" si="6"/>
        <v>30289.958333333332</v>
      </c>
      <c r="H30" s="51">
        <f t="shared" si="6"/>
        <v>30289.958333333332</v>
      </c>
      <c r="I30" s="51">
        <f t="shared" si="6"/>
        <v>30289.958333333332</v>
      </c>
      <c r="J30" s="51">
        <f t="shared" si="6"/>
        <v>30289.958333333332</v>
      </c>
      <c r="K30" s="51">
        <f t="shared" si="6"/>
        <v>30289.958333333332</v>
      </c>
      <c r="L30" s="51">
        <f t="shared" si="6"/>
        <v>30289.958333333332</v>
      </c>
      <c r="M30" s="51">
        <f t="shared" si="6"/>
        <v>30289.958333333332</v>
      </c>
      <c r="N30" s="51">
        <f t="shared" si="6"/>
        <v>30409.958333333332</v>
      </c>
      <c r="O30" s="51">
        <f t="shared" si="6"/>
        <v>361766.1</v>
      </c>
      <c r="P30" s="51">
        <f>SUM(P10:P29)</f>
        <v>386879.58099999995</v>
      </c>
      <c r="Q30" s="51">
        <f>SUM(Q10:Q29)</f>
        <v>411835.80907</v>
      </c>
      <c r="R30" s="42"/>
      <c r="S30" s="42"/>
    </row>
    <row r="31" spans="1:19" ht="12.75">
      <c r="A31" s="43" t="s">
        <v>138</v>
      </c>
      <c r="B31" s="51">
        <f>B7-B30</f>
        <v>-25400</v>
      </c>
      <c r="C31" s="51">
        <f aca="true" t="shared" si="7" ref="C31:O31">C7-C30</f>
        <v>17373.84166666667</v>
      </c>
      <c r="D31" s="51">
        <f t="shared" si="7"/>
        <v>23314.283333333336</v>
      </c>
      <c r="E31" s="51">
        <f t="shared" si="7"/>
        <v>29254.725000000002</v>
      </c>
      <c r="F31" s="51">
        <f t="shared" si="7"/>
        <v>35195.16666666667</v>
      </c>
      <c r="G31" s="51">
        <f t="shared" si="7"/>
        <v>41135.60833333335</v>
      </c>
      <c r="H31" s="51">
        <f t="shared" si="7"/>
        <v>47076.05000000003</v>
      </c>
      <c r="I31" s="51">
        <f t="shared" si="7"/>
        <v>53016.49166666671</v>
      </c>
      <c r="J31" s="51">
        <f t="shared" si="7"/>
        <v>58956.93333333339</v>
      </c>
      <c r="K31" s="51">
        <f t="shared" si="7"/>
        <v>64897.37500000007</v>
      </c>
      <c r="L31" s="51">
        <f t="shared" si="7"/>
        <v>70837.81666666675</v>
      </c>
      <c r="M31" s="51">
        <f t="shared" si="7"/>
        <v>76778.25833333343</v>
      </c>
      <c r="N31" s="51">
        <f t="shared" si="7"/>
        <v>82598.70000000011</v>
      </c>
      <c r="O31" s="51">
        <f t="shared" si="7"/>
        <v>82598.70000000013</v>
      </c>
      <c r="P31" s="51">
        <f>P7-P30</f>
        <v>169612.75100000022</v>
      </c>
      <c r="Q31" s="51">
        <f>Q7-Q30</f>
        <v>298346.7245503298</v>
      </c>
      <c r="R31" s="42"/>
      <c r="S31" s="42"/>
    </row>
    <row r="32" spans="1:19" ht="12.75">
      <c r="A32" s="43" t="s">
        <v>139</v>
      </c>
      <c r="B32" s="51">
        <v>35000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42"/>
      <c r="S32" s="42"/>
    </row>
    <row r="33" spans="1:19" ht="12.75">
      <c r="A33" s="43" t="s">
        <v>212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>
        <f>0.54*'E.RESULTADO'!B19</f>
        <v>24025.7237403294</v>
      </c>
      <c r="Q33" s="51">
        <f>0.54*'E.RESULTADO'!C19</f>
        <v>29548.369852539294</v>
      </c>
      <c r="R33" s="42"/>
      <c r="S33" s="42"/>
    </row>
    <row r="34" spans="1:19" ht="12.75">
      <c r="A34" s="43" t="s">
        <v>140</v>
      </c>
      <c r="B34" s="51">
        <f>B31+B32</f>
        <v>9600</v>
      </c>
      <c r="C34" s="51">
        <f aca="true" t="shared" si="8" ref="C34:N34">C31+C32</f>
        <v>17373.84166666667</v>
      </c>
      <c r="D34" s="51">
        <f t="shared" si="8"/>
        <v>23314.283333333336</v>
      </c>
      <c r="E34" s="51">
        <f t="shared" si="8"/>
        <v>29254.725000000002</v>
      </c>
      <c r="F34" s="51">
        <f t="shared" si="8"/>
        <v>35195.16666666667</v>
      </c>
      <c r="G34" s="51">
        <f t="shared" si="8"/>
        <v>41135.60833333335</v>
      </c>
      <c r="H34" s="51">
        <f t="shared" si="8"/>
        <v>47076.05000000003</v>
      </c>
      <c r="I34" s="51">
        <f t="shared" si="8"/>
        <v>53016.49166666671</v>
      </c>
      <c r="J34" s="51">
        <f t="shared" si="8"/>
        <v>58956.93333333339</v>
      </c>
      <c r="K34" s="51">
        <f t="shared" si="8"/>
        <v>64897.37500000007</v>
      </c>
      <c r="L34" s="51">
        <f t="shared" si="8"/>
        <v>70837.81666666675</v>
      </c>
      <c r="M34" s="51">
        <f t="shared" si="8"/>
        <v>76778.25833333343</v>
      </c>
      <c r="N34" s="51">
        <f t="shared" si="8"/>
        <v>82598.70000000011</v>
      </c>
      <c r="O34" s="51">
        <f>SUM(O31:O33)</f>
        <v>82598.70000000013</v>
      </c>
      <c r="P34" s="51">
        <f>SUM(P31:P33)</f>
        <v>193638.4747403296</v>
      </c>
      <c r="Q34" s="51">
        <f>SUM(Q31:Q33)</f>
        <v>327895.09440286906</v>
      </c>
      <c r="R34" s="42"/>
      <c r="S34" s="42"/>
    </row>
    <row r="35" spans="1:19" ht="12.75">
      <c r="A35" s="4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42"/>
      <c r="S35" s="42"/>
    </row>
    <row r="36" spans="1:19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.75">
      <c r="A38" s="42"/>
      <c r="B38" s="9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.75">
      <c r="A39" s="42"/>
      <c r="B39" s="9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.75">
      <c r="A40" s="42"/>
      <c r="B40" s="9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</sheetData>
  <sheetProtection/>
  <mergeCells count="1">
    <mergeCell ref="A3:Q3"/>
  </mergeCells>
  <printOptions/>
  <pageMargins left="0.25" right="0.17" top="1.1770833333333333" bottom="1" header="0.17" footer="0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Bastidas</dc:creator>
  <cp:keywords/>
  <dc:description/>
  <cp:lastModifiedBy>Derecha</cp:lastModifiedBy>
  <cp:lastPrinted>2009-10-20T15:34:32Z</cp:lastPrinted>
  <dcterms:created xsi:type="dcterms:W3CDTF">2007-10-02T17:00:09Z</dcterms:created>
  <dcterms:modified xsi:type="dcterms:W3CDTF">2009-11-06T11:34:41Z</dcterms:modified>
  <cp:category/>
  <cp:version/>
  <cp:contentType/>
  <cp:contentStatus/>
</cp:coreProperties>
</file>