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11445" activeTab="3"/>
  </bookViews>
  <sheets>
    <sheet name="Hoja1" sheetId="1" r:id="rId1"/>
    <sheet name="Costo Mensual por Receta" sheetId="2" r:id="rId2"/>
    <sheet name="Costo Detallado por Receta" sheetId="3" r:id="rId3"/>
    <sheet name="Lista de Precios" sheetId="5" r:id="rId4"/>
  </sheets>
  <calcPr calcId="124519"/>
</workbook>
</file>

<file path=xl/calcChain.xml><?xml version="1.0" encoding="utf-8"?>
<calcChain xmlns="http://schemas.openxmlformats.org/spreadsheetml/2006/main">
  <c r="G8" i="5"/>
  <c r="E39" i="3"/>
  <c r="E135"/>
  <c r="F134"/>
  <c r="H17" i="2" l="1"/>
  <c r="K16"/>
  <c r="K4"/>
  <c r="G17"/>
  <c r="E17"/>
  <c r="E16"/>
  <c r="E15"/>
  <c r="G15"/>
  <c r="H15"/>
  <c r="E14"/>
  <c r="I4"/>
  <c r="E5"/>
  <c r="E4"/>
  <c r="G4" l="1"/>
  <c r="C16" i="1"/>
  <c r="D17" i="2"/>
  <c r="E7" i="3"/>
  <c r="E3" i="5"/>
  <c r="F16" i="1"/>
  <c r="E23" i="5"/>
  <c r="E5"/>
  <c r="E8"/>
  <c r="E132" i="3"/>
  <c r="E130"/>
  <c r="E125"/>
  <c r="E66"/>
  <c r="E52"/>
  <c r="E86"/>
  <c r="E11"/>
  <c r="E48"/>
  <c r="E97"/>
  <c r="E108"/>
  <c r="E118"/>
  <c r="E138"/>
  <c r="E46"/>
  <c r="E32"/>
  <c r="E31"/>
  <c r="E23"/>
  <c r="E106"/>
  <c r="E45"/>
  <c r="E148"/>
  <c r="E140"/>
  <c r="E107"/>
  <c r="E58"/>
  <c r="E27"/>
  <c r="E59"/>
  <c r="E96"/>
  <c r="E116"/>
  <c r="E121"/>
  <c r="E147"/>
  <c r="E143"/>
  <c r="E137"/>
  <c r="E136"/>
  <c r="E128"/>
  <c r="E126"/>
  <c r="E114"/>
  <c r="E112"/>
  <c r="E102"/>
  <c r="E95"/>
  <c r="E93"/>
  <c r="E78"/>
  <c r="E77"/>
  <c r="E70"/>
  <c r="E65"/>
  <c r="E62"/>
  <c r="E40"/>
  <c r="E61"/>
  <c r="E4" i="5"/>
  <c r="E20" i="3" s="1"/>
  <c r="E36" s="1"/>
  <c r="E19"/>
  <c r="E43" s="1"/>
  <c r="E17"/>
  <c r="E16"/>
  <c r="E9"/>
  <c r="E8"/>
  <c r="E98"/>
  <c r="E115"/>
  <c r="F16" i="2"/>
  <c r="F17" s="1"/>
  <c r="E144" i="3"/>
  <c r="F15" i="1"/>
  <c r="E15"/>
  <c r="E69" i="3"/>
  <c r="E56"/>
  <c r="E50"/>
  <c r="E29"/>
  <c r="E10"/>
  <c r="E6" i="2"/>
  <c r="E7"/>
  <c r="E8"/>
  <c r="E9"/>
  <c r="E10"/>
  <c r="E11"/>
  <c r="E12"/>
  <c r="E13"/>
  <c r="E4" i="1"/>
  <c r="F4" s="1"/>
  <c r="E14" i="3" s="1"/>
  <c r="E5" i="1"/>
  <c r="F5" s="1"/>
  <c r="E24" i="3" s="1"/>
  <c r="E6" i="1"/>
  <c r="F6" s="1"/>
  <c r="E44" i="3" s="1"/>
  <c r="E7" i="1"/>
  <c r="F7" s="1"/>
  <c r="E55" i="3" s="1"/>
  <c r="E8" i="1"/>
  <c r="F8" s="1"/>
  <c r="E68" i="3" s="1"/>
  <c r="E9" i="1"/>
  <c r="F9" s="1"/>
  <c r="E73" i="3" s="1"/>
  <c r="E10" i="1"/>
  <c r="F10" s="1"/>
  <c r="E11"/>
  <c r="F11" s="1"/>
  <c r="E12"/>
  <c r="F12" s="1"/>
  <c r="E13"/>
  <c r="F13" s="1"/>
  <c r="E3"/>
  <c r="B13" i="3"/>
  <c r="B18" s="1"/>
  <c r="B38" s="1"/>
  <c r="B54" s="1"/>
  <c r="B64" s="1"/>
  <c r="B72" s="1"/>
  <c r="B89" s="1"/>
  <c r="B99" s="1"/>
  <c r="B111" s="1"/>
  <c r="B124" s="1"/>
  <c r="B134" s="1"/>
  <c r="G14" i="2"/>
  <c r="G13"/>
  <c r="G12"/>
  <c r="G11"/>
  <c r="G10"/>
  <c r="G16" s="1"/>
  <c r="G9"/>
  <c r="G8"/>
  <c r="G7"/>
  <c r="G6"/>
  <c r="G5"/>
  <c r="B5"/>
  <c r="B6" s="1"/>
  <c r="B7" s="1"/>
  <c r="B8" s="1"/>
  <c r="B9" s="1"/>
  <c r="B10" s="1"/>
  <c r="B11" s="1"/>
  <c r="B12" s="1"/>
  <c r="B13" s="1"/>
  <c r="B14" s="1"/>
  <c r="B15" s="1"/>
  <c r="B16" s="1"/>
  <c r="A4" i="1"/>
  <c r="A5" s="1"/>
  <c r="A6" s="1"/>
  <c r="A7" s="1"/>
  <c r="A8" s="1"/>
  <c r="A9" s="1"/>
  <c r="A10" s="1"/>
  <c r="A11" s="1"/>
  <c r="A12" s="1"/>
  <c r="A13" s="1"/>
  <c r="A14" s="1"/>
  <c r="A15" s="1"/>
  <c r="F99" i="3" l="1"/>
  <c r="I12" i="2" s="1"/>
  <c r="K12" s="1"/>
  <c r="F89" i="3"/>
  <c r="I11" i="2" s="1"/>
  <c r="K11" s="1"/>
  <c r="E60" i="3"/>
  <c r="E113"/>
  <c r="F111" s="1"/>
  <c r="I13" i="2" s="1"/>
  <c r="K13" s="1"/>
  <c r="E26" i="3"/>
  <c r="E35" s="1"/>
  <c r="E41" s="1"/>
  <c r="E127"/>
  <c r="F124" s="1"/>
  <c r="I14" i="2" s="1"/>
  <c r="K14" s="1"/>
  <c r="E139" i="3"/>
  <c r="I15" i="2" s="1"/>
  <c r="K15" s="1"/>
  <c r="E146" i="3"/>
  <c r="F142" s="1"/>
  <c r="I16" i="2" s="1"/>
  <c r="F18" i="3"/>
  <c r="I6" i="2" s="1"/>
  <c r="K6" s="1"/>
  <c r="F54" i="3"/>
  <c r="I8" i="2" s="1"/>
  <c r="K8" s="1"/>
  <c r="F72" i="3"/>
  <c r="I10" i="2" s="1"/>
  <c r="K10" s="1"/>
  <c r="F64" i="3"/>
  <c r="I9" i="2" s="1"/>
  <c r="K9" s="1"/>
  <c r="F3" i="1"/>
  <c r="F3" i="3" s="1"/>
  <c r="F38"/>
  <c r="I7" i="2" s="1"/>
  <c r="K7" s="1"/>
  <c r="F13" i="3"/>
  <c r="I5" i="2" s="1"/>
  <c r="K5" s="1"/>
  <c r="E16" i="1"/>
  <c r="K20" i="2" l="1"/>
  <c r="H5"/>
  <c r="H7"/>
  <c r="H9"/>
  <c r="H11"/>
  <c r="H13"/>
  <c r="H4"/>
  <c r="H6"/>
  <c r="H8"/>
  <c r="H10"/>
  <c r="H12"/>
  <c r="H14"/>
  <c r="H16"/>
  <c r="I17"/>
  <c r="K17" s="1"/>
</calcChain>
</file>

<file path=xl/comments1.xml><?xml version="1.0" encoding="utf-8"?>
<comments xmlns="http://schemas.openxmlformats.org/spreadsheetml/2006/main">
  <authors>
    <author>Maribel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Ojo que lo considero asi porque hice ese experimento en mi casa….mmm… y no encuentro la conversion exacta pero se aproxima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No tiene precio porque es valorado con otra medida que todavia no conozco el dato
</t>
        </r>
      </text>
    </comment>
  </commentList>
</comments>
</file>

<file path=xl/comments2.xml><?xml version="1.0" encoding="utf-8"?>
<comments xmlns="http://schemas.openxmlformats.org/spreadsheetml/2006/main">
  <authors>
    <author>Maribel</author>
  </authors>
  <commentList>
    <comment ref="D19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1Kg = 1000 Gr.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 quintal=45.35 kg = 45350 gr.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 libra = 16 onzas
1 onza = 38,35 gramos
1 libra = 613,6 gramos
</t>
        </r>
      </text>
    </comment>
    <comment ref="D108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5 gramos de nuez moscada
</t>
        </r>
      </text>
    </comment>
    <comment ref="D114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 libra  =  453.6 gramos
1/2 libra = 226,8 gramos
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 onza = 38,35 gramos
8 onzas = 306,8 gramos</t>
        </r>
      </text>
    </comment>
    <comment ref="C125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panceta en ecuador es como tocineta o tocino</t>
        </r>
      </text>
    </comment>
    <comment ref="C132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esto es suna especie de cebollino o cebolla verdeo…para nuestro país es la cebolla colorada</t>
        </r>
      </text>
    </comment>
    <comment ref="D143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1 onza  =   38.35 gramos
2 onzas = 76,7 gramos</t>
        </r>
      </text>
    </comment>
    <comment ref="D147" authorId="0">
      <text>
        <r>
          <rPr>
            <b/>
            <sz val="8"/>
            <color indexed="81"/>
            <rFont val="Tahoma"/>
            <family val="2"/>
          </rPr>
          <t>Maribel: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Calibri"/>
            <family val="2"/>
          </rPr>
          <t>½</t>
        </r>
        <r>
          <rPr>
            <sz val="8"/>
            <color indexed="81"/>
            <rFont val="Tahoma"/>
            <family val="2"/>
          </rPr>
          <t xml:space="preserve"> taza = </t>
        </r>
        <r>
          <rPr>
            <sz val="8"/>
            <color indexed="81"/>
            <rFont val="Calibri"/>
            <family val="2"/>
          </rPr>
          <t>½</t>
        </r>
        <r>
          <rPr>
            <sz val="8"/>
            <color indexed="81"/>
            <rFont val="Tahoma"/>
            <family val="2"/>
          </rPr>
          <t xml:space="preserve"> libra</t>
        </r>
      </text>
    </comment>
  </commentList>
</comments>
</file>

<file path=xl/sharedStrings.xml><?xml version="1.0" encoding="utf-8"?>
<sst xmlns="http://schemas.openxmlformats.org/spreadsheetml/2006/main" count="308" uniqueCount="244">
  <si>
    <t>NOMBRE DE RECETAS</t>
  </si>
  <si>
    <t>No.</t>
  </si>
  <si>
    <t>No. De Porciones</t>
  </si>
  <si>
    <t>Unidades de Mazorcas Desgranadas</t>
  </si>
  <si>
    <t>TARTA DE CHOCLO CON CALABAZA</t>
  </si>
  <si>
    <t>TORTA DE CHOCLO</t>
  </si>
  <si>
    <t>PASTEL DE CHOCLO RELLENO CON CARNE</t>
  </si>
  <si>
    <t>CREPAS DE MAÍZ Y MOZZARELLA</t>
  </si>
  <si>
    <t>BUDÍN DE CHOCLOS</t>
  </si>
  <si>
    <t xml:space="preserve">PIZZA DE CHOCLO </t>
  </si>
  <si>
    <t>AREPA DE CHOCLO</t>
  </si>
  <si>
    <t xml:space="preserve">CANELONES DE CHOCLO </t>
  </si>
  <si>
    <t xml:space="preserve">EMPANADAS DE CHOCLO Y QUESO </t>
  </si>
  <si>
    <t>HUMITAS</t>
  </si>
  <si>
    <t>FLAN DE CHOCLO Y PANCETA</t>
  </si>
  <si>
    <t xml:space="preserve">CHOCLO CON QUESO </t>
  </si>
  <si>
    <t>6-8</t>
  </si>
  <si>
    <t>Mazorca Entero</t>
  </si>
  <si>
    <t>Choclo cremoso=choclo en grano</t>
  </si>
  <si>
    <t>una lata de choclo en grano=6 mazorcas de maíz</t>
  </si>
  <si>
    <t>3 libras de maíz desgranado=7 mazorcas de maíz</t>
  </si>
  <si>
    <t>PORCIONES AL MES</t>
  </si>
  <si>
    <t>PORCIONES DIARIOS</t>
  </si>
  <si>
    <t>TOTAL</t>
  </si>
  <si>
    <t>COSTO POR RECETA</t>
  </si>
  <si>
    <t>1 disco de tarta</t>
  </si>
  <si>
    <t>2 cebollas de verdeo picadas y rehogadas</t>
  </si>
  <si>
    <t>1 calabaza chica hervida</t>
  </si>
  <si>
    <t>1 lata de choclo cremoso</t>
  </si>
  <si>
    <t>200 g de queso rallado</t>
  </si>
  <si>
    <t>100 g de crema de leche (optativo)</t>
  </si>
  <si>
    <t>3 huevos</t>
  </si>
  <si>
    <t>sal, pimienta y nuez moscada</t>
  </si>
  <si>
    <t>pan rallado c/n</t>
  </si>
  <si>
    <t>8 huevos batidos</t>
  </si>
  <si>
    <t>10 mazorcas tiernas desgranadas y molidas.</t>
  </si>
  <si>
    <t>50 gramos de mantequilla.</t>
  </si>
  <si>
    <t>½ taza de aceite.</t>
  </si>
  <si>
    <t>1 cebolla, picada.</t>
  </si>
  <si>
    <t>1 tomate, picado.</t>
  </si>
  <si>
    <t>½ ají amarillo.</t>
  </si>
  <si>
    <t>18 choclos rallados.</t>
  </si>
  <si>
    <t>1 cucharada de azúcar.</t>
  </si>
  <si>
    <t>2 huevos crudos.</t>
  </si>
  <si>
    <t>2 cucharadas de queso parmesano rallado.</t>
  </si>
  <si>
    <t>Sal y pimienta al gusto.</t>
  </si>
  <si>
    <t>1 cucharada de ajo molido.</t>
  </si>
  <si>
    <t>½ ají picado.</t>
  </si>
  <si>
    <t>½ kilo de carne de res molida.</t>
  </si>
  <si>
    <t>3 aceitunas, picadas.</t>
  </si>
  <si>
    <t>100 gramos de pasas.</t>
  </si>
  <si>
    <t>2 huevos cocidos, picados.</t>
  </si>
  <si>
    <t>4 cucharadas de aceite.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</si>
  <si>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125 gr Harina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</si>
  <si>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300 cc Leche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</si>
  <si>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2 Huevos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</si>
  <si>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Sal y pimienta</t>
    </r>
  </si>
  <si>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C/n Mantequilla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</si>
  <si>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200 gr Maíz / choclo ( 10 mazorcas)</t>
    </r>
  </si>
  <si>
    <t>400 gr Mozzarella</t>
  </si>
  <si>
    <t>250 cc Salsa bechamel</t>
  </si>
  <si>
    <t>Sal y pimienta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</si>
  <si>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1/2 cdita Nuez moscada</t>
    </r>
  </si>
  <si>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2 cdas Aceite de oliva</t>
    </r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</si>
  <si>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6 Tomates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</si>
  <si>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C/n Albahaca</t>
    </r>
  </si>
  <si>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Arial"/>
        <family val="2"/>
      </rPr>
      <t>100 gr Olivas negras / aceitunas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</si>
  <si>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Hojas de albahaca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</si>
  <si>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2 latas de choclo en granos o 6 choclos cocidos y desgranados.</t>
    </r>
  </si>
  <si>
    <t>1 cebolla picada.</t>
  </si>
  <si>
    <t>1 diente de ajo.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</si>
  <si>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1/2 taza de queso de rallar.</t>
    </r>
  </si>
  <si>
    <t>1/2 taza de queso crema.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</si>
  <si>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4 huevos batidos.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</si>
  <si>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1 taza de harina.</t>
    </r>
  </si>
  <si>
    <t>1/2 taza de maicena.</t>
  </si>
  <si>
    <t>Sal y pimienta: a gusto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</si>
  <si>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350 grs. de harina</t>
    </r>
  </si>
  <si>
    <t>20 grs. de levadura de cerveza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</si>
  <si>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Sal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</si>
  <si>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1 lata de choclos (6 mazorcas desgranadas)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</si>
  <si>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1 cebolla</t>
    </r>
  </si>
  <si>
    <t>4 tomates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</si>
  <si>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Sal, pimienta y aceite</t>
    </r>
  </si>
  <si>
    <t>4 choclos</t>
  </si>
  <si>
    <t>2 cdas. de aceite</t>
  </si>
  <si>
    <t>1 cdta. de azúcar</t>
  </si>
  <si>
    <t>150 g de queso fresco</t>
  </si>
  <si>
    <t>150 g de crema de leche</t>
  </si>
  <si>
    <t>Gotas de jugo de lima o limón</t>
  </si>
  <si>
    <t xml:space="preserve">3 tomates perita </t>
  </si>
  <si>
    <t xml:space="preserve">1/2 cebolla </t>
  </si>
  <si>
    <t xml:space="preserve">1 cebolla de verdeo (parte verde) </t>
  </si>
  <si>
    <t xml:space="preserve">2 cdtas.de vinagre de manzana </t>
  </si>
  <si>
    <t xml:space="preserve">4 cdas. de aceite de oliva </t>
  </si>
  <si>
    <t xml:space="preserve">Sal, pimienta y azúcar </t>
  </si>
  <si>
    <t>1 cebolla picada</t>
  </si>
  <si>
    <t>1 pimiento picado</t>
  </si>
  <si>
    <t>1 ajo picado</t>
  </si>
  <si>
    <t>1 lata de choclo cremoso (6 mazorcas desgranadas)</t>
  </si>
  <si>
    <t>1 huevo</t>
  </si>
  <si>
    <t>3 cdas de harina</t>
  </si>
  <si>
    <t>3 cdas de queso rallado</t>
  </si>
  <si>
    <t>pimienta, sal y nuez moscada</t>
  </si>
  <si>
    <t>manteca o aceite para rehogar</t>
  </si>
  <si>
    <t>1/2 cebolla de verdeo</t>
  </si>
  <si>
    <t>1/2 pimiento colorado</t>
  </si>
  <si>
    <t>1 lata de choclo amarillo cremoso (6 mazorcas desgranadas)</t>
  </si>
  <si>
    <t>1 cucharada de almidón de maíz</t>
  </si>
  <si>
    <t>1 cucharadita de orégano</t>
  </si>
  <si>
    <t>150 gr. de mozzarella</t>
  </si>
  <si>
    <t>2 cucharadas de queso parmesano rallado</t>
  </si>
  <si>
    <t>Sal, pimienta y nuez moscada.</t>
  </si>
  <si>
    <t xml:space="preserve">1 huevo para pintar </t>
  </si>
  <si>
    <t>12 tapas de empanadas</t>
  </si>
  <si>
    <t>3 libras de choclo maduro desgranado (7 mazorcas desgranadas)</t>
  </si>
  <si>
    <t>8  huevos</t>
  </si>
  <si>
    <t>8 onzas de mantequilla</t>
  </si>
  <si>
    <t xml:space="preserve">8 onzas de manteca de chancho </t>
  </si>
  <si>
    <t>1 queso de crema molido</t>
  </si>
  <si>
    <t>4 cucharaditas de sal</t>
  </si>
  <si>
    <t>2 cucharadas de polvo de hornear</t>
  </si>
  <si>
    <t>hojas de choclo (Catulo)</t>
  </si>
  <si>
    <t>10 ramas de cebolla larga</t>
  </si>
  <si>
    <t>onzas de queso de crema rallado</t>
  </si>
  <si>
    <t>2 cucharaditas de aceite con achote</t>
  </si>
  <si>
    <t>cucharada de sal</t>
  </si>
  <si>
    <t xml:space="preserve">Panceta salada 250 g </t>
  </si>
  <si>
    <t>Choclo amarillo 2 lata (12 mazorcas desgranadas)</t>
  </si>
  <si>
    <t xml:space="preserve">Huevos 6  </t>
  </si>
  <si>
    <t xml:space="preserve">Crema de leche 350 cc </t>
  </si>
  <si>
    <t>Sal y pimienta  </t>
  </si>
  <si>
    <t xml:space="preserve">Panceta 6 fetas </t>
  </si>
  <si>
    <t>Hojas verdes </t>
  </si>
  <si>
    <t xml:space="preserve">Ciboulette   </t>
  </si>
  <si>
    <t xml:space="preserve">Pimiento colorado   </t>
  </si>
  <si>
    <t>6 choclos grandes</t>
  </si>
  <si>
    <t>1/4 de paquete de margarina</t>
  </si>
  <si>
    <t>tarro de leche evaporada</t>
  </si>
  <si>
    <t>2 huevos</t>
  </si>
  <si>
    <t>1 taza de queso parmesano</t>
  </si>
  <si>
    <t>Papas fritas</t>
  </si>
  <si>
    <t>COSTO POR UNIDAD</t>
  </si>
  <si>
    <t xml:space="preserve">Precio de Maíz por libra desgranado </t>
  </si>
  <si>
    <t>4 maices desgranados = 1 libra</t>
  </si>
  <si>
    <t>Libras</t>
  </si>
  <si>
    <t xml:space="preserve">4 cucharadas de azúcar. </t>
  </si>
  <si>
    <t>125 grs. De queso blanco rallado.</t>
  </si>
  <si>
    <t>Costo del Maíz por Receta</t>
  </si>
  <si>
    <t>750 gr.</t>
  </si>
  <si>
    <t>200 gr.</t>
  </si>
  <si>
    <t>TORTILLA DE CHOCLO</t>
  </si>
  <si>
    <t>1/4 de morrón rojo (pimiento)</t>
  </si>
  <si>
    <t>1/4 de morrón verde  (pimiento)</t>
  </si>
  <si>
    <t>4 cucharadas de mantequilla</t>
  </si>
  <si>
    <t>2 tazas de choclo sancochado y desgranado</t>
  </si>
  <si>
    <t>4 cebollitas chinas picadas</t>
  </si>
  <si>
    <t>5 huevos</t>
  </si>
  <si>
    <t>1/2 taza de queso fresco en cuadraditos</t>
  </si>
  <si>
    <t>1/2 taza de habas peladas y sancochadas</t>
  </si>
  <si>
    <t xml:space="preserve"> 2 cucharaditas de perejil picadas</t>
  </si>
  <si>
    <t xml:space="preserve"> sal y pimientas al gusto </t>
  </si>
  <si>
    <t>Cubeta de Huevos</t>
  </si>
  <si>
    <t>30 unidades</t>
  </si>
  <si>
    <t>Caja de Aceite "La Favorita"</t>
  </si>
  <si>
    <t>Saco de Sal de 2 kilos</t>
  </si>
  <si>
    <t>25 fundas</t>
  </si>
  <si>
    <t>Saco de Azúcar</t>
  </si>
  <si>
    <t>1 quintal</t>
  </si>
  <si>
    <t>15 botellas</t>
  </si>
  <si>
    <t>Balde de Mantequilla</t>
  </si>
  <si>
    <t>-</t>
  </si>
  <si>
    <t>50 Ml.</t>
  </si>
  <si>
    <t>3 Kg.</t>
  </si>
  <si>
    <t>Cebolla Colorada</t>
  </si>
  <si>
    <t>1 libra</t>
  </si>
  <si>
    <t>Tomate</t>
  </si>
  <si>
    <t>4 onzas</t>
  </si>
  <si>
    <t>Saco de Harina</t>
  </si>
  <si>
    <t>1 taza</t>
  </si>
  <si>
    <t>2 Lb.</t>
  </si>
  <si>
    <t>2½ Taza</t>
  </si>
  <si>
    <t>Papa</t>
  </si>
  <si>
    <t>Mazorca Desgranado</t>
  </si>
  <si>
    <t>Maicena</t>
  </si>
  <si>
    <t>80 gramos</t>
  </si>
  <si>
    <t>Precio</t>
  </si>
  <si>
    <t>Cantidad</t>
  </si>
  <si>
    <t>LISTA DE PRECIOS*</t>
  </si>
  <si>
    <t>45 Gr.</t>
  </si>
  <si>
    <r>
      <rPr>
        <sz val="12"/>
        <color theme="1"/>
        <rFont val="Calibri"/>
        <family val="2"/>
      </rPr>
      <t>½</t>
    </r>
    <r>
      <rPr>
        <sz val="12"/>
        <color theme="1"/>
        <rFont val="Arial"/>
        <family val="2"/>
      </rPr>
      <t xml:space="preserve"> Lb.</t>
    </r>
  </si>
  <si>
    <t>113,4 Gr.</t>
  </si>
  <si>
    <t>2 onzas</t>
  </si>
  <si>
    <t>35 Gr.</t>
  </si>
  <si>
    <t>Manteca de cacao</t>
  </si>
  <si>
    <t>500 gramos</t>
  </si>
  <si>
    <t>*</t>
  </si>
  <si>
    <t>Queso Entero</t>
  </si>
  <si>
    <t>750 gramos</t>
  </si>
  <si>
    <t>200 gramos</t>
  </si>
  <si>
    <t>1 litro</t>
  </si>
  <si>
    <t>Funda de Leche</t>
  </si>
  <si>
    <t>125 Gr.</t>
  </si>
  <si>
    <t>40 Gr.</t>
  </si>
  <si>
    <t>Queso de Crema</t>
  </si>
  <si>
    <t>250 gramos</t>
  </si>
  <si>
    <t>50 Gr.</t>
  </si>
  <si>
    <t>75 Gr.</t>
  </si>
  <si>
    <t>100 Gr.</t>
  </si>
  <si>
    <t>Funda de queso Parmesano</t>
  </si>
  <si>
    <t>6 onzas</t>
  </si>
  <si>
    <t>8 onzas</t>
  </si>
  <si>
    <t xml:space="preserve">Funda de Habas </t>
  </si>
  <si>
    <t>½ Lb.</t>
  </si>
  <si>
    <t>Paquete de Queso Mozarella</t>
  </si>
  <si>
    <t>Funda de Nuez Moscada</t>
  </si>
  <si>
    <t>Funda de Ají en Grano</t>
  </si>
  <si>
    <t>20 unidades</t>
  </si>
  <si>
    <t>Carne de Res Molida</t>
  </si>
  <si>
    <t>1,10 Lb.</t>
  </si>
  <si>
    <t>Frasco de Salsa Bechamell</t>
  </si>
  <si>
    <t>Tarro de Leche Evaporada</t>
  </si>
  <si>
    <t>400 gramos</t>
  </si>
  <si>
    <t>350 gramos</t>
  </si>
  <si>
    <t>Funda de Polvo de Hornear</t>
  </si>
  <si>
    <t>50 gramos</t>
  </si>
  <si>
    <t>10 Gr.</t>
  </si>
  <si>
    <t>100 gramos</t>
  </si>
  <si>
    <t>5 Gr.</t>
  </si>
  <si>
    <t>Frasco de Vinagre de Manzana</t>
  </si>
  <si>
    <t>Funda de Crema de Leche</t>
  </si>
  <si>
    <t>½ Litro</t>
  </si>
  <si>
    <t>10 Ml.</t>
  </si>
  <si>
    <t>Levadura de Cerveza</t>
  </si>
  <si>
    <t>Frasco de Aceitunas</t>
  </si>
  <si>
    <t>150 gramos</t>
  </si>
  <si>
    <r>
      <rPr>
        <sz val="12"/>
        <color theme="1"/>
        <rFont val="Calibri"/>
        <family val="2"/>
      </rPr>
      <t>½</t>
    </r>
    <r>
      <rPr>
        <sz val="12"/>
        <color theme="1"/>
        <rFont val="Arial"/>
        <family val="2"/>
      </rPr>
      <t xml:space="preserve"> onza</t>
    </r>
  </si>
  <si>
    <t>Paquete de Tocino (chancho)</t>
  </si>
  <si>
    <t>80 Gr.</t>
  </si>
  <si>
    <t>Precio Unit.</t>
  </si>
  <si>
    <t>Duración de Receta (días)</t>
  </si>
  <si>
    <t>COSTO POR PORCION</t>
  </si>
  <si>
    <t>COSTO PROMEDIO</t>
  </si>
  <si>
    <t>PARTICIPACION DE VENTAS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</si>
</sst>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[$$-300A]\ * #,##0.00_ ;_-[$$-300A]\ * \-#,##0.00\ ;_-[$$-300A]\ * &quot;-&quot;??_ ;_-@_ "/>
    <numFmt numFmtId="166" formatCode="_([$$-300A]\ * #,##0.00_);_([$$-300A]\ * \(#,##0.00\);_([$$-300A]\ * &quot;-&quot;??_);_(@_)"/>
  </numFmts>
  <fonts count="1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indexed="8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1" applyFont="1"/>
    <xf numFmtId="164" fontId="0" fillId="0" borderId="0" xfId="1" applyFont="1" applyFill="1"/>
    <xf numFmtId="0" fontId="3" fillId="0" borderId="0" xfId="0" applyFont="1" applyFill="1"/>
    <xf numFmtId="164" fontId="3" fillId="0" borderId="1" xfId="1" applyFont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164" fontId="0" fillId="0" borderId="1" xfId="1" applyFont="1" applyBorder="1"/>
    <xf numFmtId="0" fontId="4" fillId="0" borderId="1" xfId="0" applyFont="1" applyBorder="1" applyAlignment="1">
      <alignment horizontal="left" indent="1"/>
    </xf>
    <xf numFmtId="0" fontId="3" fillId="0" borderId="1" xfId="0" applyFont="1" applyFill="1" applyBorder="1" applyAlignment="1">
      <alignment horizontal="center"/>
    </xf>
    <xf numFmtId="164" fontId="0" fillId="2" borderId="1" xfId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3" borderId="3" xfId="0" applyNumberFormat="1" applyFont="1" applyFill="1" applyBorder="1"/>
    <xf numFmtId="0" fontId="3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164" fontId="0" fillId="0" borderId="5" xfId="1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5" fillId="3" borderId="8" xfId="0" applyFont="1" applyFill="1" applyBorder="1"/>
    <xf numFmtId="0" fontId="5" fillId="0" borderId="8" xfId="0" applyFont="1" applyBorder="1"/>
    <xf numFmtId="164" fontId="0" fillId="0" borderId="8" xfId="1" applyFont="1" applyBorder="1"/>
    <xf numFmtId="164" fontId="3" fillId="3" borderId="9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164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2" borderId="1" xfId="0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164" fontId="0" fillId="0" borderId="1" xfId="1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0" borderId="1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justify"/>
    </xf>
    <xf numFmtId="164" fontId="0" fillId="4" borderId="1" xfId="1" applyFont="1" applyFill="1" applyBorder="1"/>
    <xf numFmtId="0" fontId="3" fillId="4" borderId="3" xfId="0" applyFont="1" applyFill="1" applyBorder="1"/>
    <xf numFmtId="0" fontId="0" fillId="4" borderId="0" xfId="0" applyFill="1"/>
    <xf numFmtId="0" fontId="6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left" indent="1"/>
    </xf>
    <xf numFmtId="0" fontId="13" fillId="0" borderId="1" xfId="0" applyFont="1" applyBorder="1"/>
    <xf numFmtId="164" fontId="0" fillId="0" borderId="1" xfId="1" applyFont="1" applyFill="1" applyBorder="1" applyAlignment="1">
      <alignment horizontal="center"/>
    </xf>
    <xf numFmtId="164" fontId="0" fillId="0" borderId="0" xfId="0" applyNumberFormat="1"/>
    <xf numFmtId="10" fontId="0" fillId="0" borderId="1" xfId="2" applyNumberFormat="1" applyFont="1" applyBorder="1" applyAlignment="1">
      <alignment horizontal="center"/>
    </xf>
    <xf numFmtId="43" fontId="0" fillId="0" borderId="1" xfId="0" applyNumberFormat="1" applyBorder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43" fontId="3" fillId="5" borderId="0" xfId="0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2"/>
  <sheetViews>
    <sheetView topLeftCell="B1" workbookViewId="0">
      <selection activeCell="B26" sqref="B26"/>
    </sheetView>
  </sheetViews>
  <sheetFormatPr baseColWidth="10" defaultRowHeight="15"/>
  <cols>
    <col min="1" max="1" width="4.42578125" style="3" customWidth="1"/>
    <col min="2" max="2" width="35.85546875" style="3" customWidth="1"/>
    <col min="3" max="3" width="19.42578125" style="3" customWidth="1"/>
    <col min="4" max="4" width="32.7109375" style="3" customWidth="1"/>
    <col min="5" max="5" width="6.140625" bestFit="1" customWidth="1"/>
    <col min="6" max="6" width="23.85546875" bestFit="1" customWidth="1"/>
  </cols>
  <sheetData>
    <row r="2" spans="1:6">
      <c r="A2" s="1" t="s">
        <v>1</v>
      </c>
      <c r="B2" s="1" t="s">
        <v>0</v>
      </c>
      <c r="C2" s="1" t="s">
        <v>2</v>
      </c>
      <c r="D2" s="1" t="s">
        <v>3</v>
      </c>
      <c r="E2" s="53" t="s">
        <v>145</v>
      </c>
      <c r="F2" s="53" t="s">
        <v>148</v>
      </c>
    </row>
    <row r="3" spans="1:6">
      <c r="A3" s="1">
        <v>1</v>
      </c>
      <c r="B3" s="5" t="s">
        <v>4</v>
      </c>
      <c r="C3" s="7">
        <v>8</v>
      </c>
      <c r="D3" s="8">
        <v>6</v>
      </c>
      <c r="E3" s="8">
        <f>+D3/4</f>
        <v>1.5</v>
      </c>
      <c r="F3" s="57">
        <f>+E3*$E$19</f>
        <v>0.89999999999999991</v>
      </c>
    </row>
    <row r="4" spans="1:6">
      <c r="A4" s="1">
        <f>1+A3</f>
        <v>2</v>
      </c>
      <c r="B4" s="5" t="s">
        <v>5</v>
      </c>
      <c r="C4" s="7">
        <v>18</v>
      </c>
      <c r="D4" s="8">
        <v>10</v>
      </c>
      <c r="E4" s="8">
        <f t="shared" ref="E4:E13" si="0">+D4/4</f>
        <v>2.5</v>
      </c>
      <c r="F4" s="57">
        <f t="shared" ref="F4:F13" si="1">+E4*$E$19</f>
        <v>1.5</v>
      </c>
    </row>
    <row r="5" spans="1:6" ht="15" customHeight="1">
      <c r="A5" s="1">
        <f t="shared" ref="A5:A13" si="2">1+A4</f>
        <v>3</v>
      </c>
      <c r="B5" s="6" t="s">
        <v>6</v>
      </c>
      <c r="C5" s="16" t="s">
        <v>16</v>
      </c>
      <c r="D5" s="8">
        <v>18</v>
      </c>
      <c r="E5" s="8">
        <f t="shared" si="0"/>
        <v>4.5</v>
      </c>
      <c r="F5" s="57">
        <f t="shared" si="1"/>
        <v>2.6999999999999997</v>
      </c>
    </row>
    <row r="6" spans="1:6">
      <c r="A6" s="1">
        <f t="shared" si="2"/>
        <v>4</v>
      </c>
      <c r="B6" s="5" t="s">
        <v>7</v>
      </c>
      <c r="C6" s="7">
        <v>12</v>
      </c>
      <c r="D6" s="8">
        <v>10</v>
      </c>
      <c r="E6" s="8">
        <f t="shared" si="0"/>
        <v>2.5</v>
      </c>
      <c r="F6" s="57">
        <f t="shared" si="1"/>
        <v>1.5</v>
      </c>
    </row>
    <row r="7" spans="1:6">
      <c r="A7" s="1">
        <f t="shared" si="2"/>
        <v>5</v>
      </c>
      <c r="B7" s="5" t="s">
        <v>8</v>
      </c>
      <c r="C7" s="7">
        <v>5</v>
      </c>
      <c r="D7" s="8">
        <v>6</v>
      </c>
      <c r="E7" s="8">
        <f t="shared" si="0"/>
        <v>1.5</v>
      </c>
      <c r="F7" s="57">
        <f t="shared" si="1"/>
        <v>0.89999999999999991</v>
      </c>
    </row>
    <row r="8" spans="1:6">
      <c r="A8" s="1">
        <f t="shared" si="2"/>
        <v>6</v>
      </c>
      <c r="B8" s="5" t="s">
        <v>9</v>
      </c>
      <c r="C8" s="7">
        <v>6</v>
      </c>
      <c r="D8" s="8">
        <v>6</v>
      </c>
      <c r="E8" s="8">
        <f t="shared" si="0"/>
        <v>1.5</v>
      </c>
      <c r="F8" s="57">
        <f t="shared" si="1"/>
        <v>0.89999999999999991</v>
      </c>
    </row>
    <row r="9" spans="1:6">
      <c r="A9" s="1">
        <f t="shared" si="2"/>
        <v>7</v>
      </c>
      <c r="B9" s="5" t="s">
        <v>10</v>
      </c>
      <c r="C9" s="7">
        <v>8</v>
      </c>
      <c r="D9" s="8">
        <v>4</v>
      </c>
      <c r="E9" s="8">
        <f t="shared" si="0"/>
        <v>1</v>
      </c>
      <c r="F9" s="57">
        <f t="shared" si="1"/>
        <v>0.6</v>
      </c>
    </row>
    <row r="10" spans="1:6">
      <c r="A10" s="1">
        <f t="shared" si="2"/>
        <v>8</v>
      </c>
      <c r="B10" s="5" t="s">
        <v>11</v>
      </c>
      <c r="C10" s="7">
        <v>12</v>
      </c>
      <c r="D10" s="8">
        <v>6</v>
      </c>
      <c r="E10" s="8">
        <f t="shared" si="0"/>
        <v>1.5</v>
      </c>
      <c r="F10" s="57">
        <f t="shared" si="1"/>
        <v>0.89999999999999991</v>
      </c>
    </row>
    <row r="11" spans="1:6" ht="15" customHeight="1">
      <c r="A11" s="1">
        <f t="shared" si="2"/>
        <v>9</v>
      </c>
      <c r="B11" s="6" t="s">
        <v>12</v>
      </c>
      <c r="C11" s="9">
        <v>20</v>
      </c>
      <c r="D11" s="8">
        <v>6</v>
      </c>
      <c r="E11" s="8">
        <f t="shared" si="0"/>
        <v>1.5</v>
      </c>
      <c r="F11" s="57">
        <f t="shared" si="1"/>
        <v>0.89999999999999991</v>
      </c>
    </row>
    <row r="12" spans="1:6">
      <c r="A12" s="1">
        <f t="shared" si="2"/>
        <v>10</v>
      </c>
      <c r="B12" s="5" t="s">
        <v>13</v>
      </c>
      <c r="C12" s="10">
        <v>15</v>
      </c>
      <c r="D12" s="8">
        <v>7</v>
      </c>
      <c r="E12" s="8">
        <f t="shared" si="0"/>
        <v>1.75</v>
      </c>
      <c r="F12" s="57">
        <f t="shared" si="1"/>
        <v>1.05</v>
      </c>
    </row>
    <row r="13" spans="1:6">
      <c r="A13" s="1">
        <f t="shared" si="2"/>
        <v>11</v>
      </c>
      <c r="B13" s="6" t="s">
        <v>14</v>
      </c>
      <c r="C13" s="7">
        <v>6</v>
      </c>
      <c r="D13" s="8">
        <v>12</v>
      </c>
      <c r="E13" s="8">
        <f t="shared" si="0"/>
        <v>3</v>
      </c>
      <c r="F13" s="57">
        <f t="shared" si="1"/>
        <v>1.7999999999999998</v>
      </c>
    </row>
    <row r="14" spans="1:6" s="14" customFormat="1">
      <c r="A14" s="1">
        <f>1+A13</f>
        <v>12</v>
      </c>
      <c r="B14" s="5" t="s">
        <v>15</v>
      </c>
      <c r="C14" s="9">
        <v>1</v>
      </c>
      <c r="D14" s="8" t="s">
        <v>17</v>
      </c>
      <c r="E14" s="28"/>
      <c r="F14" s="75">
        <v>0.4</v>
      </c>
    </row>
    <row r="15" spans="1:6">
      <c r="A15" s="1">
        <f>1+A14</f>
        <v>13</v>
      </c>
      <c r="B15" s="54" t="s">
        <v>151</v>
      </c>
      <c r="C15" s="8">
        <v>4</v>
      </c>
      <c r="D15" s="8">
        <v>4</v>
      </c>
      <c r="E15" s="8">
        <f>+E9</f>
        <v>1</v>
      </c>
      <c r="F15" s="57">
        <f>+F9</f>
        <v>0.6</v>
      </c>
    </row>
    <row r="16" spans="1:6">
      <c r="B16" s="2" t="s">
        <v>23</v>
      </c>
      <c r="C16" s="17">
        <f>SUM(C3:C15)</f>
        <v>115</v>
      </c>
      <c r="E16">
        <f>SUM(E3:E15)</f>
        <v>23.75</v>
      </c>
      <c r="F16" s="76">
        <f>SUM(F3:F15)</f>
        <v>14.650000000000002</v>
      </c>
    </row>
    <row r="17" spans="1:5">
      <c r="C17" s="4"/>
    </row>
    <row r="18" spans="1:5">
      <c r="B18" t="s">
        <v>18</v>
      </c>
    </row>
    <row r="19" spans="1:5">
      <c r="A19"/>
      <c r="B19" t="s">
        <v>19</v>
      </c>
      <c r="C19"/>
      <c r="D19" t="s">
        <v>143</v>
      </c>
      <c r="E19">
        <v>0.6</v>
      </c>
    </row>
    <row r="20" spans="1:5">
      <c r="A20"/>
      <c r="B20" t="s">
        <v>20</v>
      </c>
      <c r="C20"/>
      <c r="D20"/>
    </row>
    <row r="21" spans="1:5">
      <c r="A21"/>
      <c r="B21" t="s">
        <v>144</v>
      </c>
      <c r="C21"/>
      <c r="D21"/>
    </row>
    <row r="22" spans="1:5">
      <c r="A22"/>
      <c r="B22"/>
      <c r="C22"/>
      <c r="D22"/>
    </row>
    <row r="23" spans="1:5">
      <c r="A23"/>
      <c r="B23"/>
      <c r="C23"/>
      <c r="D23"/>
    </row>
    <row r="24" spans="1:5">
      <c r="A24"/>
      <c r="B24"/>
      <c r="C24"/>
      <c r="D24"/>
    </row>
    <row r="25" spans="1:5">
      <c r="A25"/>
      <c r="B25"/>
      <c r="C25"/>
      <c r="D25"/>
    </row>
    <row r="26" spans="1:5">
      <c r="A26"/>
      <c r="B26"/>
      <c r="C26"/>
      <c r="D26"/>
    </row>
    <row r="27" spans="1:5">
      <c r="A27"/>
      <c r="B27"/>
      <c r="C27"/>
      <c r="D27"/>
    </row>
    <row r="28" spans="1:5">
      <c r="A28"/>
      <c r="B28"/>
      <c r="C28"/>
      <c r="D28"/>
    </row>
    <row r="29" spans="1:5">
      <c r="A29"/>
      <c r="B29"/>
      <c r="C29"/>
      <c r="D29"/>
    </row>
    <row r="30" spans="1:5">
      <c r="A30"/>
      <c r="B30"/>
      <c r="C30"/>
      <c r="D30"/>
    </row>
    <row r="31" spans="1:5">
      <c r="A31"/>
      <c r="B31"/>
      <c r="C31"/>
      <c r="D31"/>
    </row>
    <row r="32" spans="1:5">
      <c r="A32"/>
      <c r="B32"/>
      <c r="C32"/>
      <c r="D32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K20"/>
  <sheetViews>
    <sheetView workbookViewId="0">
      <selection activeCell="H3" activeCellId="1" sqref="B3:C17 H3:H17"/>
    </sheetView>
  </sheetViews>
  <sheetFormatPr baseColWidth="10" defaultRowHeight="15"/>
  <cols>
    <col min="1" max="1" width="3.5703125" customWidth="1"/>
    <col min="2" max="2" width="4.140625" bestFit="1" customWidth="1"/>
    <col min="3" max="3" width="37.42578125" customWidth="1"/>
    <col min="4" max="4" width="9" customWidth="1"/>
    <col min="5" max="5" width="11.5703125" customWidth="1"/>
    <col min="6" max="6" width="10" customWidth="1"/>
    <col min="7" max="7" width="12.140625" customWidth="1"/>
    <col min="8" max="8" width="13.7109375" customWidth="1"/>
    <col min="9" max="9" width="10.42578125" customWidth="1"/>
    <col min="10" max="10" width="3.28515625" customWidth="1"/>
  </cols>
  <sheetData>
    <row r="3" spans="2:11" ht="30" customHeight="1">
      <c r="B3" s="81" t="s">
        <v>1</v>
      </c>
      <c r="C3" s="81" t="s">
        <v>0</v>
      </c>
      <c r="D3" s="81" t="s">
        <v>2</v>
      </c>
      <c r="E3" s="81" t="s">
        <v>240</v>
      </c>
      <c r="F3" s="81" t="s">
        <v>22</v>
      </c>
      <c r="G3" s="81" t="s">
        <v>21</v>
      </c>
      <c r="H3" s="81" t="s">
        <v>243</v>
      </c>
      <c r="I3" s="81" t="s">
        <v>24</v>
      </c>
      <c r="J3" s="82"/>
      <c r="K3" s="81" t="s">
        <v>241</v>
      </c>
    </row>
    <row r="4" spans="2:11">
      <c r="B4" s="1">
        <v>1</v>
      </c>
      <c r="C4" s="1" t="s">
        <v>4</v>
      </c>
      <c r="D4" s="7">
        <v>8</v>
      </c>
      <c r="E4" s="8">
        <f>+D4/F4</f>
        <v>4</v>
      </c>
      <c r="F4" s="8">
        <v>2</v>
      </c>
      <c r="G4" s="8">
        <f>+F4*30</f>
        <v>60</v>
      </c>
      <c r="H4" s="77">
        <f>G4/$G$17</f>
        <v>3.7735849056603772E-2</v>
      </c>
      <c r="I4" s="55">
        <f>+'Costo Detallado por Receta'!$F$3</f>
        <v>3.0566666666666675</v>
      </c>
      <c r="K4" s="78">
        <f>I4/D4</f>
        <v>0.38208333333333344</v>
      </c>
    </row>
    <row r="5" spans="2:11">
      <c r="B5" s="1">
        <f>1+B4</f>
        <v>2</v>
      </c>
      <c r="C5" s="1" t="s">
        <v>5</v>
      </c>
      <c r="D5" s="7">
        <v>18</v>
      </c>
      <c r="E5" s="18">
        <f>+D5/F5</f>
        <v>3.6</v>
      </c>
      <c r="F5" s="8">
        <v>5</v>
      </c>
      <c r="G5" s="8">
        <f t="shared" ref="G5:G14" si="0">+F5*30</f>
        <v>150</v>
      </c>
      <c r="H5" s="77">
        <f t="shared" ref="H5:H16" si="1">G5/$G$17</f>
        <v>9.4339622641509441E-2</v>
      </c>
      <c r="I5" s="55">
        <f>+'Costo Detallado por Receta'!$F$13</f>
        <v>2.643333333333334</v>
      </c>
      <c r="J5" t="s">
        <v>196</v>
      </c>
      <c r="K5" s="78">
        <f t="shared" ref="K5:K14" si="2">I5/D5</f>
        <v>0.1468518518518519</v>
      </c>
    </row>
    <row r="6" spans="2:11">
      <c r="B6" s="1">
        <f t="shared" ref="B6:B16" si="3">1+B5</f>
        <v>3</v>
      </c>
      <c r="C6" s="1" t="s">
        <v>6</v>
      </c>
      <c r="D6" s="15">
        <v>7</v>
      </c>
      <c r="E6" s="8">
        <f t="shared" ref="E6:E13" si="4">+D6/F6</f>
        <v>1.75</v>
      </c>
      <c r="F6" s="8">
        <v>4</v>
      </c>
      <c r="G6" s="8">
        <f t="shared" si="0"/>
        <v>120</v>
      </c>
      <c r="H6" s="77">
        <f t="shared" si="1"/>
        <v>7.5471698113207544E-2</v>
      </c>
      <c r="I6" s="55">
        <f>+'Costo Detallado por Receta'!$F$18</f>
        <v>6.5783333333333331</v>
      </c>
      <c r="J6" t="s">
        <v>196</v>
      </c>
      <c r="K6" s="78">
        <f t="shared" si="2"/>
        <v>0.93976190476190469</v>
      </c>
    </row>
    <row r="7" spans="2:11">
      <c r="B7" s="1">
        <f t="shared" si="3"/>
        <v>4</v>
      </c>
      <c r="C7" s="1" t="s">
        <v>7</v>
      </c>
      <c r="D7" s="7">
        <v>12</v>
      </c>
      <c r="E7" s="8">
        <f t="shared" si="4"/>
        <v>6</v>
      </c>
      <c r="F7" s="8">
        <v>2</v>
      </c>
      <c r="G7" s="8">
        <f t="shared" si="0"/>
        <v>60</v>
      </c>
      <c r="H7" s="77">
        <f t="shared" si="1"/>
        <v>3.7735849056603772E-2</v>
      </c>
      <c r="I7" s="55">
        <f>+'Costo Detallado por Receta'!$F$38</f>
        <v>9.0529647713550698</v>
      </c>
      <c r="K7" s="78">
        <f t="shared" si="2"/>
        <v>0.75441373094625586</v>
      </c>
    </row>
    <row r="8" spans="2:11">
      <c r="B8" s="1">
        <f t="shared" si="3"/>
        <v>5</v>
      </c>
      <c r="C8" s="1" t="s">
        <v>8</v>
      </c>
      <c r="D8" s="7">
        <v>5</v>
      </c>
      <c r="E8" s="18">
        <f t="shared" si="4"/>
        <v>2.5</v>
      </c>
      <c r="F8" s="8">
        <v>2</v>
      </c>
      <c r="G8" s="8">
        <f t="shared" si="0"/>
        <v>60</v>
      </c>
      <c r="H8" s="77">
        <f t="shared" si="1"/>
        <v>3.7735849056603772E-2</v>
      </c>
      <c r="I8" s="55">
        <f>+'Costo Detallado por Receta'!$F$54</f>
        <v>2.8515361999264974</v>
      </c>
      <c r="J8" t="s">
        <v>196</v>
      </c>
      <c r="K8" s="78">
        <f t="shared" si="2"/>
        <v>0.57030723998529953</v>
      </c>
    </row>
    <row r="9" spans="2:11">
      <c r="B9" s="1">
        <f t="shared" si="3"/>
        <v>6</v>
      </c>
      <c r="C9" s="1" t="s">
        <v>9</v>
      </c>
      <c r="D9" s="7">
        <v>6</v>
      </c>
      <c r="E9" s="18">
        <f t="shared" si="4"/>
        <v>1.2</v>
      </c>
      <c r="F9" s="8">
        <v>5</v>
      </c>
      <c r="G9" s="8">
        <f t="shared" si="0"/>
        <v>150</v>
      </c>
      <c r="H9" s="77">
        <f t="shared" si="1"/>
        <v>9.4339622641509441E-2</v>
      </c>
      <c r="I9" s="55">
        <f>+'Costo Detallado por Receta'!$F$64</f>
        <v>1.8247515988207037</v>
      </c>
      <c r="K9" s="78">
        <f t="shared" si="2"/>
        <v>0.30412526647011728</v>
      </c>
    </row>
    <row r="10" spans="2:11">
      <c r="B10" s="1">
        <f t="shared" si="3"/>
        <v>7</v>
      </c>
      <c r="C10" s="1" t="s">
        <v>10</v>
      </c>
      <c r="D10" s="7">
        <v>8</v>
      </c>
      <c r="E10" s="8">
        <f t="shared" si="4"/>
        <v>4</v>
      </c>
      <c r="F10" s="8">
        <v>2</v>
      </c>
      <c r="G10" s="8">
        <f t="shared" si="0"/>
        <v>60</v>
      </c>
      <c r="H10" s="77">
        <f t="shared" si="1"/>
        <v>3.7735849056603772E-2</v>
      </c>
      <c r="I10" s="55">
        <f>+'Costo Detallado por Receta'!$F$72</f>
        <v>2.9684999999999997</v>
      </c>
      <c r="K10" s="78">
        <f t="shared" si="2"/>
        <v>0.37106249999999996</v>
      </c>
    </row>
    <row r="11" spans="2:11">
      <c r="B11" s="1">
        <f t="shared" si="3"/>
        <v>8</v>
      </c>
      <c r="C11" s="1" t="s">
        <v>11</v>
      </c>
      <c r="D11" s="7">
        <v>12</v>
      </c>
      <c r="E11" s="8">
        <f t="shared" si="4"/>
        <v>3</v>
      </c>
      <c r="F11" s="8">
        <v>4</v>
      </c>
      <c r="G11" s="8">
        <f t="shared" si="0"/>
        <v>120</v>
      </c>
      <c r="H11" s="77">
        <f t="shared" si="1"/>
        <v>7.5471698113207544E-2</v>
      </c>
      <c r="I11" s="55">
        <f>+'Costo Detallado por Receta'!$F$89</f>
        <v>2.0835530319735391</v>
      </c>
      <c r="K11" s="78">
        <f t="shared" si="2"/>
        <v>0.17362941933112827</v>
      </c>
    </row>
    <row r="12" spans="2:11">
      <c r="B12" s="1">
        <f t="shared" si="3"/>
        <v>9</v>
      </c>
      <c r="C12" s="1" t="s">
        <v>12</v>
      </c>
      <c r="D12" s="9">
        <v>20</v>
      </c>
      <c r="E12" s="18">
        <f t="shared" si="4"/>
        <v>3.3333333333333335</v>
      </c>
      <c r="F12" s="8">
        <v>6</v>
      </c>
      <c r="G12" s="8">
        <f t="shared" si="0"/>
        <v>180</v>
      </c>
      <c r="H12" s="77">
        <f t="shared" si="1"/>
        <v>0.11320754716981132</v>
      </c>
      <c r="I12" s="55">
        <f>+'Costo Detallado por Receta'!$F$99</f>
        <v>3.7349999999999999</v>
      </c>
      <c r="K12" s="78">
        <f t="shared" si="2"/>
        <v>0.18675</v>
      </c>
    </row>
    <row r="13" spans="2:11">
      <c r="B13" s="1">
        <f t="shared" si="3"/>
        <v>10</v>
      </c>
      <c r="C13" s="1" t="s">
        <v>13</v>
      </c>
      <c r="D13" s="10">
        <v>15</v>
      </c>
      <c r="E13" s="8">
        <f t="shared" si="4"/>
        <v>1.5</v>
      </c>
      <c r="F13" s="8">
        <v>10</v>
      </c>
      <c r="G13" s="8">
        <f t="shared" si="0"/>
        <v>300</v>
      </c>
      <c r="H13" s="77">
        <f t="shared" si="1"/>
        <v>0.18867924528301888</v>
      </c>
      <c r="I13" s="55">
        <f>+'Costo Detallado por Receta'!$F$111</f>
        <v>5.0572666666666661</v>
      </c>
      <c r="K13" s="78">
        <f t="shared" si="2"/>
        <v>0.33715111111111107</v>
      </c>
    </row>
    <row r="14" spans="2:11">
      <c r="B14" s="1">
        <f t="shared" si="3"/>
        <v>11</v>
      </c>
      <c r="C14" s="1" t="s">
        <v>14</v>
      </c>
      <c r="D14" s="7">
        <v>6</v>
      </c>
      <c r="E14" s="8">
        <f>+D14/F14</f>
        <v>2</v>
      </c>
      <c r="F14" s="8">
        <v>3</v>
      </c>
      <c r="G14" s="8">
        <f t="shared" si="0"/>
        <v>90</v>
      </c>
      <c r="H14" s="77">
        <f t="shared" si="1"/>
        <v>5.6603773584905662E-2</v>
      </c>
      <c r="I14" s="55">
        <f>+'Costo Detallado por Receta'!$F$124</f>
        <v>7.6774999999999984</v>
      </c>
      <c r="K14" s="78">
        <f t="shared" si="2"/>
        <v>1.2795833333333331</v>
      </c>
    </row>
    <row r="15" spans="2:11">
      <c r="B15" s="1">
        <f t="shared" si="3"/>
        <v>12</v>
      </c>
      <c r="C15" s="1" t="s">
        <v>15</v>
      </c>
      <c r="D15" s="9">
        <v>6</v>
      </c>
      <c r="E15" s="8">
        <f>+D15/F15</f>
        <v>1</v>
      </c>
      <c r="F15" s="8">
        <v>6</v>
      </c>
      <c r="G15" s="8">
        <f>+F15*30</f>
        <v>180</v>
      </c>
      <c r="H15" s="77">
        <f>G15/$G$17</f>
        <v>0.11320754716981132</v>
      </c>
      <c r="I15" s="55">
        <f>+'Costo Detallado por Receta'!$F$134</f>
        <v>6.5348634693127527</v>
      </c>
      <c r="J15" t="s">
        <v>196</v>
      </c>
      <c r="K15" s="78">
        <f>I15/D15</f>
        <v>1.0891439115521255</v>
      </c>
    </row>
    <row r="16" spans="2:11">
      <c r="B16" s="1">
        <f t="shared" si="3"/>
        <v>13</v>
      </c>
      <c r="C16" s="1" t="s">
        <v>151</v>
      </c>
      <c r="D16" s="8">
        <v>4</v>
      </c>
      <c r="E16" s="8">
        <f>+D16/F16</f>
        <v>2</v>
      </c>
      <c r="F16" s="8">
        <f>+F10</f>
        <v>2</v>
      </c>
      <c r="G16" s="8">
        <f>+G10</f>
        <v>60</v>
      </c>
      <c r="H16" s="77">
        <f t="shared" si="1"/>
        <v>3.7735849056603772E-2</v>
      </c>
      <c r="I16" s="55">
        <f>+'Costo Detallado por Receta'!$F$142</f>
        <v>3.4784166666666665</v>
      </c>
      <c r="J16" t="s">
        <v>196</v>
      </c>
      <c r="K16" s="78">
        <f>I16/D16</f>
        <v>0.86960416666666662</v>
      </c>
    </row>
    <row r="17" spans="2:11">
      <c r="B17" s="1"/>
      <c r="C17" s="11" t="s">
        <v>23</v>
      </c>
      <c r="D17" s="11">
        <f t="shared" ref="D17:I17" si="5">SUM(D4:D16)</f>
        <v>127</v>
      </c>
      <c r="E17" s="56">
        <f t="shared" si="5"/>
        <v>35.883333333333333</v>
      </c>
      <c r="F17" s="11">
        <f t="shared" si="5"/>
        <v>53</v>
      </c>
      <c r="G17" s="11">
        <f t="shared" si="5"/>
        <v>1590</v>
      </c>
      <c r="H17" s="77">
        <f t="shared" si="5"/>
        <v>1</v>
      </c>
      <c r="I17" s="59">
        <f t="shared" si="5"/>
        <v>57.542685738055233</v>
      </c>
      <c r="J17" s="12"/>
      <c r="K17" s="78">
        <f>I17/D17</f>
        <v>0.4530920136854743</v>
      </c>
    </row>
    <row r="18" spans="2:11">
      <c r="K18" s="80"/>
    </row>
    <row r="20" spans="2:11" ht="30" customHeight="1">
      <c r="I20" s="79" t="s">
        <v>242</v>
      </c>
      <c r="K20" s="83">
        <f>K4*H4+K5*H5+K6*H6+K7*H7+K8*H8+K9*H9+K10*H10+K11*H11+K12*H12+K13*H13+K14*H14+K15*H15+K16*H16</f>
        <v>0.51828334736356507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51"/>
  <sheetViews>
    <sheetView topLeftCell="A19" workbookViewId="0">
      <selection activeCell="E39" sqref="E39"/>
    </sheetView>
  </sheetViews>
  <sheetFormatPr baseColWidth="10" defaultRowHeight="15"/>
  <cols>
    <col min="1" max="1" width="3.85546875" customWidth="1"/>
    <col min="2" max="2" width="7.5703125" style="13" customWidth="1"/>
    <col min="3" max="3" width="68.28515625" bestFit="1" customWidth="1"/>
    <col min="4" max="4" width="11" customWidth="1"/>
    <col min="5" max="5" width="20.28515625" style="20" customWidth="1"/>
    <col min="6" max="6" width="19.140625" style="12" customWidth="1"/>
  </cols>
  <sheetData>
    <row r="1" spans="2:6" s="14" customFormat="1" ht="15.75" thickBot="1">
      <c r="B1" s="19"/>
      <c r="E1" s="21"/>
      <c r="F1" s="22"/>
    </row>
    <row r="2" spans="2:6" ht="15.75" thickBot="1">
      <c r="B2" s="48" t="s">
        <v>1</v>
      </c>
      <c r="C2" s="49" t="s">
        <v>0</v>
      </c>
      <c r="D2" s="49"/>
      <c r="E2" s="50" t="s">
        <v>142</v>
      </c>
      <c r="F2" s="51" t="s">
        <v>24</v>
      </c>
    </row>
    <row r="3" spans="2:6">
      <c r="B3" s="43">
        <v>1</v>
      </c>
      <c r="C3" s="44" t="s">
        <v>4</v>
      </c>
      <c r="D3" s="45"/>
      <c r="E3" s="46"/>
      <c r="F3" s="47">
        <f>+SUM(E4:E12)</f>
        <v>3.0566666666666675</v>
      </c>
    </row>
    <row r="4" spans="2:6" ht="15.75">
      <c r="B4" s="35"/>
      <c r="C4" s="27" t="s">
        <v>25</v>
      </c>
      <c r="D4" s="27"/>
      <c r="E4" s="26">
        <v>0.1</v>
      </c>
      <c r="F4" s="37"/>
    </row>
    <row r="5" spans="2:6" ht="15.75">
      <c r="B5" s="35"/>
      <c r="C5" s="27" t="s">
        <v>26</v>
      </c>
      <c r="D5" s="27"/>
      <c r="E5" s="26">
        <v>0.15</v>
      </c>
      <c r="F5" s="37"/>
    </row>
    <row r="6" spans="2:6" ht="15.75">
      <c r="B6" s="35"/>
      <c r="C6" s="27" t="s">
        <v>27</v>
      </c>
      <c r="D6" s="27"/>
      <c r="E6" s="26">
        <v>0.25</v>
      </c>
      <c r="F6" s="37"/>
    </row>
    <row r="7" spans="2:6" ht="15.75">
      <c r="B7" s="35"/>
      <c r="C7" s="27" t="s">
        <v>28</v>
      </c>
      <c r="D7" s="27"/>
      <c r="E7" s="26">
        <f>+Hoja1!F3</f>
        <v>0.89999999999999991</v>
      </c>
      <c r="F7" s="37"/>
    </row>
    <row r="8" spans="2:6" ht="15.75">
      <c r="B8" s="35"/>
      <c r="C8" s="27" t="s">
        <v>29</v>
      </c>
      <c r="D8" s="52" t="s">
        <v>149</v>
      </c>
      <c r="E8" s="26">
        <f>'Lista de Precios'!$D$15*(0.266666666666667)</f>
        <v>0.66666666666666752</v>
      </c>
      <c r="F8" s="37"/>
    </row>
    <row r="9" spans="2:6" ht="15.75">
      <c r="B9" s="35"/>
      <c r="C9" s="27" t="s">
        <v>30</v>
      </c>
      <c r="D9" s="52" t="s">
        <v>150</v>
      </c>
      <c r="E9" s="26">
        <f>'Lista de Precios'!$D$16*(0.5)</f>
        <v>0.47499999999999998</v>
      </c>
      <c r="F9" s="37"/>
    </row>
    <row r="10" spans="2:6" ht="15.75">
      <c r="B10" s="35"/>
      <c r="C10" s="27" t="s">
        <v>31</v>
      </c>
      <c r="D10" s="27"/>
      <c r="E10" s="26">
        <f>0.09*3</f>
        <v>0.27</v>
      </c>
      <c r="F10" s="37"/>
    </row>
    <row r="11" spans="2:6" s="14" customFormat="1" ht="15.75">
      <c r="B11" s="38"/>
      <c r="C11" s="73" t="s">
        <v>32</v>
      </c>
      <c r="D11" s="73" t="s">
        <v>228</v>
      </c>
      <c r="E11" s="61">
        <f>+'Lista de Precios'!$D$22*(0.05)+0.02</f>
        <v>0.14499999999999999</v>
      </c>
      <c r="F11" s="62"/>
    </row>
    <row r="12" spans="2:6" ht="15.75">
      <c r="B12" s="35"/>
      <c r="C12" s="30" t="s">
        <v>33</v>
      </c>
      <c r="D12" s="30"/>
      <c r="E12" s="26">
        <v>0.1</v>
      </c>
      <c r="F12" s="37"/>
    </row>
    <row r="13" spans="2:6">
      <c r="B13" s="35">
        <f>1+B3</f>
        <v>2</v>
      </c>
      <c r="C13" s="24" t="s">
        <v>5</v>
      </c>
      <c r="D13" s="25"/>
      <c r="E13" s="26"/>
      <c r="F13" s="36">
        <f>+SUM(E14:E17)</f>
        <v>2.643333333333334</v>
      </c>
    </row>
    <row r="14" spans="2:6" ht="15.75">
      <c r="B14" s="35"/>
      <c r="C14" s="27" t="s">
        <v>35</v>
      </c>
      <c r="D14" s="27"/>
      <c r="E14" s="26">
        <f>+Hoja1!F4</f>
        <v>1.5</v>
      </c>
      <c r="F14" s="37"/>
    </row>
    <row r="15" spans="2:6" ht="15.75">
      <c r="B15" s="35"/>
      <c r="C15" s="27" t="s">
        <v>146</v>
      </c>
      <c r="D15" s="27"/>
      <c r="E15" s="26">
        <v>0.02</v>
      </c>
      <c r="F15" s="37"/>
    </row>
    <row r="16" spans="2:6" ht="15.75">
      <c r="B16" s="35"/>
      <c r="C16" s="27" t="s">
        <v>147</v>
      </c>
      <c r="D16" s="52" t="s">
        <v>149</v>
      </c>
      <c r="E16" s="26">
        <f>'Lista de Precios'!D15*(0.166666666666667)</f>
        <v>0.41666666666666746</v>
      </c>
      <c r="F16" s="37"/>
    </row>
    <row r="17" spans="2:6" ht="15.75">
      <c r="B17" s="35"/>
      <c r="C17" s="27" t="s">
        <v>34</v>
      </c>
      <c r="D17" s="27"/>
      <c r="E17" s="26">
        <f>'Lista de Precios'!E3*8</f>
        <v>0.70666666666666667</v>
      </c>
      <c r="F17" s="37"/>
    </row>
    <row r="18" spans="2:6">
      <c r="B18" s="35">
        <f>1+B13</f>
        <v>3</v>
      </c>
      <c r="C18" s="24" t="s">
        <v>6</v>
      </c>
      <c r="D18" s="25"/>
      <c r="E18" s="26"/>
      <c r="F18" s="36">
        <f>+SUM(E19:E37)</f>
        <v>6.5783333333333331</v>
      </c>
    </row>
    <row r="19" spans="2:6" ht="15.75">
      <c r="B19" s="35"/>
      <c r="C19" s="31" t="s">
        <v>36</v>
      </c>
      <c r="D19" s="34" t="s">
        <v>173</v>
      </c>
      <c r="E19" s="26">
        <f>'Lista de Precios'!$D$7*(0.0166666666666667)</f>
        <v>0.12500000000000025</v>
      </c>
      <c r="F19" s="37"/>
    </row>
    <row r="20" spans="2:6" ht="15.75">
      <c r="B20" s="35"/>
      <c r="C20" s="31" t="s">
        <v>37</v>
      </c>
      <c r="D20" s="31" t="s">
        <v>172</v>
      </c>
      <c r="E20" s="26">
        <f>'Lista de Precios'!$E$4*(0.05)</f>
        <v>8.5000000000000006E-2</v>
      </c>
      <c r="F20" s="37"/>
    </row>
    <row r="21" spans="2:6" ht="15.75">
      <c r="B21" s="35"/>
      <c r="C21" s="31" t="s">
        <v>38</v>
      </c>
      <c r="D21" s="31"/>
      <c r="E21" s="26">
        <v>0.1</v>
      </c>
      <c r="F21" s="37"/>
    </row>
    <row r="22" spans="2:6" ht="15.75">
      <c r="B22" s="35"/>
      <c r="C22" s="31" t="s">
        <v>39</v>
      </c>
      <c r="D22" s="31"/>
      <c r="E22" s="26">
        <v>0.12</v>
      </c>
      <c r="F22" s="37"/>
    </row>
    <row r="23" spans="2:6" s="71" customFormat="1" ht="15.75">
      <c r="B23" s="67"/>
      <c r="C23" s="68" t="s">
        <v>40</v>
      </c>
      <c r="D23" s="68"/>
      <c r="E23" s="69">
        <f>+'Lista de Precios'!$D$23*(0.5/20)</f>
        <v>5.000000000000001E-3</v>
      </c>
      <c r="F23" s="70"/>
    </row>
    <row r="24" spans="2:6" ht="15.75">
      <c r="B24" s="35"/>
      <c r="C24" s="31" t="s">
        <v>41</v>
      </c>
      <c r="D24" s="31"/>
      <c r="E24" s="26">
        <f>+Hoja1!F5</f>
        <v>2.6999999999999997</v>
      </c>
      <c r="F24" s="37"/>
    </row>
    <row r="25" spans="2:6" ht="15.75">
      <c r="B25" s="35"/>
      <c r="C25" s="31" t="s">
        <v>42</v>
      </c>
      <c r="D25" s="31"/>
      <c r="E25" s="26">
        <v>0.01</v>
      </c>
      <c r="F25" s="37"/>
    </row>
    <row r="26" spans="2:6" ht="15.75">
      <c r="B26" s="35"/>
      <c r="C26" s="31" t="s">
        <v>43</v>
      </c>
      <c r="D26" s="31"/>
      <c r="E26" s="26">
        <f>'Lista de Precios'!E3*2</f>
        <v>0.17666666666666667</v>
      </c>
      <c r="F26" s="37"/>
    </row>
    <row r="27" spans="2:6" s="14" customFormat="1" ht="15.75">
      <c r="B27" s="38"/>
      <c r="C27" s="60" t="s">
        <v>44</v>
      </c>
      <c r="D27" s="60" t="s">
        <v>192</v>
      </c>
      <c r="E27" s="61">
        <f>+'Lista de Precios'!$D$19</f>
        <v>0.2</v>
      </c>
      <c r="F27" s="62"/>
    </row>
    <row r="28" spans="2:6" ht="15.75">
      <c r="B28" s="35"/>
      <c r="C28" s="31" t="s">
        <v>45</v>
      </c>
      <c r="D28" s="31"/>
      <c r="E28" s="26">
        <v>0.02</v>
      </c>
      <c r="F28" s="37"/>
    </row>
    <row r="29" spans="2:6" ht="15.75">
      <c r="B29" s="35"/>
      <c r="C29" s="31" t="s">
        <v>38</v>
      </c>
      <c r="D29" s="31"/>
      <c r="E29" s="26">
        <f>+E21</f>
        <v>0.1</v>
      </c>
      <c r="F29" s="37"/>
    </row>
    <row r="30" spans="2:6" ht="15.75">
      <c r="B30" s="35"/>
      <c r="C30" s="31" t="s">
        <v>46</v>
      </c>
      <c r="D30" s="31"/>
      <c r="E30" s="26">
        <v>0.05</v>
      </c>
      <c r="F30" s="37"/>
    </row>
    <row r="31" spans="2:6" s="14" customFormat="1" ht="15.75">
      <c r="B31" s="38"/>
      <c r="C31" s="60" t="s">
        <v>47</v>
      </c>
      <c r="D31" s="60"/>
      <c r="E31" s="61">
        <f>+'Lista de Precios'!$D$23*(0.5/20)</f>
        <v>5.000000000000001E-3</v>
      </c>
      <c r="F31" s="62"/>
    </row>
    <row r="32" spans="2:6" s="14" customFormat="1" ht="15.75">
      <c r="B32" s="38"/>
      <c r="C32" s="60" t="s">
        <v>48</v>
      </c>
      <c r="D32" s="60" t="s">
        <v>219</v>
      </c>
      <c r="E32" s="61">
        <f>+'Lista de Precios'!$D$24*(1.1/1)</f>
        <v>2.2000000000000002</v>
      </c>
      <c r="F32" s="62"/>
    </row>
    <row r="33" spans="2:6" ht="15.75">
      <c r="B33" s="35"/>
      <c r="C33" s="31" t="s">
        <v>49</v>
      </c>
      <c r="D33" s="31"/>
      <c r="E33" s="26">
        <v>0.15</v>
      </c>
      <c r="F33" s="37"/>
    </row>
    <row r="34" spans="2:6" ht="15.75">
      <c r="B34" s="35"/>
      <c r="C34" s="31" t="s">
        <v>50</v>
      </c>
      <c r="D34" s="31"/>
      <c r="E34" s="26">
        <v>0.25</v>
      </c>
      <c r="F34" s="37"/>
    </row>
    <row r="35" spans="2:6" ht="15.75">
      <c r="B35" s="35"/>
      <c r="C35" s="31" t="s">
        <v>51</v>
      </c>
      <c r="D35" s="31"/>
      <c r="E35" s="26">
        <f>+E26</f>
        <v>0.17666666666666667</v>
      </c>
      <c r="F35" s="37"/>
    </row>
    <row r="36" spans="2:6" ht="15.75">
      <c r="B36" s="35"/>
      <c r="C36" s="31" t="s">
        <v>52</v>
      </c>
      <c r="D36" s="31" t="s">
        <v>172</v>
      </c>
      <c r="E36" s="26">
        <f>+E20</f>
        <v>8.5000000000000006E-2</v>
      </c>
      <c r="F36" s="37"/>
    </row>
    <row r="37" spans="2:6" ht="15.75">
      <c r="B37" s="35"/>
      <c r="C37" s="31" t="s">
        <v>45</v>
      </c>
      <c r="D37" s="31"/>
      <c r="E37" s="26">
        <v>0.02</v>
      </c>
      <c r="F37" s="37"/>
    </row>
    <row r="38" spans="2:6">
      <c r="B38" s="35">
        <f>1+B18</f>
        <v>4</v>
      </c>
      <c r="C38" s="24" t="s">
        <v>7</v>
      </c>
      <c r="D38" s="25"/>
      <c r="E38" s="26"/>
      <c r="F38" s="36">
        <f>+SUM(E39:E53)</f>
        <v>9.0529647713550698</v>
      </c>
    </row>
    <row r="39" spans="2:6" ht="15.75">
      <c r="B39" s="35"/>
      <c r="C39" s="32" t="s">
        <v>53</v>
      </c>
      <c r="D39" s="31" t="s">
        <v>179</v>
      </c>
      <c r="E39" s="26">
        <f>'Lista de Precios'!$D$10*(125/45350)</f>
        <v>8.8202866593164272E-2</v>
      </c>
      <c r="F39" s="37"/>
    </row>
    <row r="40" spans="2:6" ht="15.75">
      <c r="B40" s="35"/>
      <c r="C40" s="32" t="s">
        <v>54</v>
      </c>
      <c r="D40" s="32"/>
      <c r="E40" s="26">
        <f>'Lista de Precios'!$D$17*(300/1000)</f>
        <v>0.21</v>
      </c>
      <c r="F40" s="37"/>
    </row>
    <row r="41" spans="2:6" ht="15.75">
      <c r="B41" s="35"/>
      <c r="C41" s="32" t="s">
        <v>55</v>
      </c>
      <c r="D41" s="32"/>
      <c r="E41" s="26">
        <f>E35</f>
        <v>0.17666666666666667</v>
      </c>
      <c r="F41" s="37"/>
    </row>
    <row r="42" spans="2:6" ht="15.75">
      <c r="B42" s="35"/>
      <c r="C42" s="32" t="s">
        <v>56</v>
      </c>
      <c r="D42" s="32"/>
      <c r="E42" s="26">
        <v>0.02</v>
      </c>
      <c r="F42" s="37"/>
    </row>
    <row r="43" spans="2:6" ht="15.75">
      <c r="B43" s="35"/>
      <c r="C43" s="32" t="s">
        <v>57</v>
      </c>
      <c r="D43" s="32"/>
      <c r="E43" s="26">
        <f>+E19</f>
        <v>0.12500000000000025</v>
      </c>
      <c r="F43" s="37"/>
    </row>
    <row r="44" spans="2:6" ht="15.75">
      <c r="B44" s="35"/>
      <c r="C44" s="32" t="s">
        <v>58</v>
      </c>
      <c r="D44" s="32"/>
      <c r="E44" s="26">
        <f>+Hoja1!F6</f>
        <v>1.5</v>
      </c>
      <c r="F44" s="37"/>
    </row>
    <row r="45" spans="2:6" s="14" customFormat="1" ht="15.75">
      <c r="B45" s="38"/>
      <c r="C45" s="60" t="s">
        <v>59</v>
      </c>
      <c r="D45" s="60"/>
      <c r="E45" s="61">
        <f>+'Lista de Precios'!$D$21*(0.8)</f>
        <v>3.6</v>
      </c>
      <c r="F45" s="62"/>
    </row>
    <row r="46" spans="2:6" s="14" customFormat="1" ht="15.75">
      <c r="B46" s="38"/>
      <c r="C46" s="60" t="s">
        <v>60</v>
      </c>
      <c r="D46" s="60"/>
      <c r="E46" s="61">
        <f>+'Lista de Precios'!D25*(0.714285714285714)</f>
        <v>1.0714285714285714</v>
      </c>
      <c r="F46" s="62"/>
    </row>
    <row r="47" spans="2:6" ht="15.75">
      <c r="B47" s="35"/>
      <c r="C47" s="31" t="s">
        <v>61</v>
      </c>
      <c r="D47" s="31"/>
      <c r="E47" s="26">
        <v>0.02</v>
      </c>
      <c r="F47" s="37"/>
    </row>
    <row r="48" spans="2:6" s="14" customFormat="1" ht="15.75">
      <c r="B48" s="38"/>
      <c r="C48" s="72" t="s">
        <v>62</v>
      </c>
      <c r="D48" s="60" t="s">
        <v>228</v>
      </c>
      <c r="E48" s="61">
        <f>+'Lista de Precios'!$D$22*(0.05)</f>
        <v>0.125</v>
      </c>
      <c r="F48" s="62"/>
    </row>
    <row r="49" spans="2:6" ht="15.75">
      <c r="B49" s="35"/>
      <c r="C49" s="32" t="s">
        <v>63</v>
      </c>
      <c r="D49" s="32"/>
      <c r="E49" s="26">
        <v>0.15</v>
      </c>
      <c r="F49" s="37"/>
    </row>
    <row r="50" spans="2:6" ht="15.75">
      <c r="B50" s="35"/>
      <c r="C50" s="32" t="s">
        <v>64</v>
      </c>
      <c r="D50" s="31" t="s">
        <v>180</v>
      </c>
      <c r="E50" s="26">
        <f>2*'Lista de Precios'!D9</f>
        <v>0.7</v>
      </c>
      <c r="F50" s="37"/>
    </row>
    <row r="51" spans="2:6" ht="15.75">
      <c r="B51" s="35"/>
      <c r="C51" s="32" t="s">
        <v>65</v>
      </c>
      <c r="D51" s="32"/>
      <c r="E51" s="26">
        <v>0.05</v>
      </c>
      <c r="F51" s="37"/>
    </row>
    <row r="52" spans="2:6" s="14" customFormat="1" ht="15.75">
      <c r="B52" s="38"/>
      <c r="C52" s="72" t="s">
        <v>66</v>
      </c>
      <c r="D52" s="72"/>
      <c r="E52" s="61">
        <f>+'Lista de Precios'!D30*(0.666666666666667)</f>
        <v>1.1666666666666665</v>
      </c>
      <c r="F52" s="62"/>
    </row>
    <row r="53" spans="2:6" ht="15.75">
      <c r="B53" s="35"/>
      <c r="C53" s="32" t="s">
        <v>67</v>
      </c>
      <c r="D53" s="32"/>
      <c r="E53" s="26">
        <v>0.05</v>
      </c>
      <c r="F53" s="37"/>
    </row>
    <row r="54" spans="2:6">
      <c r="B54" s="35">
        <f>1+B38</f>
        <v>5</v>
      </c>
      <c r="C54" s="24" t="s">
        <v>8</v>
      </c>
      <c r="D54" s="25"/>
      <c r="E54" s="26"/>
      <c r="F54" s="36">
        <f>+SUM(E55:E63)</f>
        <v>2.8515361999264974</v>
      </c>
    </row>
    <row r="55" spans="2:6" ht="15.75">
      <c r="B55" s="35"/>
      <c r="C55" s="33" t="s">
        <v>68</v>
      </c>
      <c r="D55" s="33"/>
      <c r="E55" s="26">
        <f>+Hoja1!F7</f>
        <v>0.89999999999999991</v>
      </c>
      <c r="F55" s="37"/>
    </row>
    <row r="56" spans="2:6" ht="15.75">
      <c r="B56" s="35"/>
      <c r="C56" s="34" t="s">
        <v>69</v>
      </c>
      <c r="D56" s="34"/>
      <c r="E56" s="26">
        <f>+E21</f>
        <v>0.1</v>
      </c>
      <c r="F56" s="37"/>
    </row>
    <row r="57" spans="2:6" ht="15.75">
      <c r="B57" s="35"/>
      <c r="C57" s="34" t="s">
        <v>70</v>
      </c>
      <c r="D57" s="34"/>
      <c r="E57" s="26">
        <v>0.02</v>
      </c>
      <c r="F57" s="37"/>
    </row>
    <row r="58" spans="2:6" s="14" customFormat="1" ht="15.75">
      <c r="B58" s="38"/>
      <c r="C58" s="64" t="s">
        <v>71</v>
      </c>
      <c r="D58" s="63" t="s">
        <v>210</v>
      </c>
      <c r="E58" s="61">
        <f>+'Lista de Precios'!D19*3</f>
        <v>0.60000000000000009</v>
      </c>
      <c r="F58" s="62"/>
    </row>
    <row r="59" spans="2:6" s="14" customFormat="1" ht="15.75">
      <c r="B59" s="38"/>
      <c r="C59" s="63" t="s">
        <v>72</v>
      </c>
      <c r="D59" s="63" t="s">
        <v>208</v>
      </c>
      <c r="E59" s="61">
        <f>+'Lista de Precios'!D18*(0.4)</f>
        <v>0.52</v>
      </c>
      <c r="F59" s="62"/>
    </row>
    <row r="60" spans="2:6" ht="15.75">
      <c r="B60" s="35"/>
      <c r="C60" s="33" t="s">
        <v>73</v>
      </c>
      <c r="D60" s="33"/>
      <c r="E60" s="26">
        <f>'Lista de Precios'!$E$3*4</f>
        <v>0.35333333333333333</v>
      </c>
      <c r="F60" s="37"/>
    </row>
    <row r="61" spans="2:6" ht="15.75">
      <c r="B61" s="35"/>
      <c r="C61" s="33" t="s">
        <v>74</v>
      </c>
      <c r="D61" s="31" t="s">
        <v>202</v>
      </c>
      <c r="E61" s="26">
        <f>+E39</f>
        <v>8.8202866593164272E-2</v>
      </c>
      <c r="F61" s="37"/>
    </row>
    <row r="62" spans="2:6" ht="15.75">
      <c r="B62" s="35"/>
      <c r="C62" s="34" t="s">
        <v>75</v>
      </c>
      <c r="D62" s="34" t="s">
        <v>203</v>
      </c>
      <c r="E62" s="26">
        <f>+'Lista de Precios'!$D$13*(0.5)</f>
        <v>0.25</v>
      </c>
      <c r="F62" s="37"/>
    </row>
    <row r="63" spans="2:6" ht="15.75">
      <c r="B63" s="35"/>
      <c r="C63" s="34" t="s">
        <v>76</v>
      </c>
      <c r="D63" s="34"/>
      <c r="E63" s="26">
        <v>0.02</v>
      </c>
      <c r="F63" s="37"/>
    </row>
    <row r="64" spans="2:6">
      <c r="B64" s="35">
        <f>1+B54</f>
        <v>6</v>
      </c>
      <c r="C64" s="24" t="s">
        <v>9</v>
      </c>
      <c r="D64" s="25"/>
      <c r="E64" s="26"/>
      <c r="F64" s="36">
        <f>+SUM(E65:E71)</f>
        <v>1.8247515988207037</v>
      </c>
    </row>
    <row r="65" spans="2:6" ht="16.5" customHeight="1">
      <c r="B65" s="35"/>
      <c r="C65" s="32" t="s">
        <v>77</v>
      </c>
      <c r="D65" s="31" t="s">
        <v>181</v>
      </c>
      <c r="E65" s="26">
        <f>'Lista de Precios'!$D$10*(350/45350)</f>
        <v>0.24696802646085997</v>
      </c>
      <c r="F65" s="37"/>
    </row>
    <row r="66" spans="2:6" s="14" customFormat="1" ht="15.75">
      <c r="B66" s="38"/>
      <c r="C66" s="60" t="s">
        <v>78</v>
      </c>
      <c r="D66" s="60" t="s">
        <v>236</v>
      </c>
      <c r="E66" s="61">
        <f>'Lista de Precios'!$D$29*(20/613.6)</f>
        <v>9.7783572359843557E-2</v>
      </c>
      <c r="F66" s="62"/>
    </row>
    <row r="67" spans="2:6" ht="15.75">
      <c r="B67" s="35"/>
      <c r="C67" s="32" t="s">
        <v>79</v>
      </c>
      <c r="D67" s="32"/>
      <c r="E67" s="26">
        <v>0.01</v>
      </c>
      <c r="F67" s="37"/>
    </row>
    <row r="68" spans="2:6" ht="15.75">
      <c r="B68" s="35"/>
      <c r="C68" s="32" t="s">
        <v>80</v>
      </c>
      <c r="D68" s="32"/>
      <c r="E68" s="26">
        <f>+Hoja1!F8</f>
        <v>0.89999999999999991</v>
      </c>
      <c r="F68" s="37"/>
    </row>
    <row r="69" spans="2:6" ht="15.75">
      <c r="B69" s="35"/>
      <c r="C69" s="32" t="s">
        <v>81</v>
      </c>
      <c r="D69" s="32"/>
      <c r="E69" s="26">
        <f>+E56</f>
        <v>0.1</v>
      </c>
      <c r="F69" s="37"/>
    </row>
    <row r="70" spans="2:6" ht="15.75">
      <c r="B70" s="35"/>
      <c r="C70" s="31" t="s">
        <v>82</v>
      </c>
      <c r="D70" s="31"/>
      <c r="E70" s="26">
        <f>+'Lista de Precios'!$D$9</f>
        <v>0.35</v>
      </c>
      <c r="F70" s="37"/>
    </row>
    <row r="71" spans="2:6" ht="15.75">
      <c r="B71" s="35"/>
      <c r="C71" s="32" t="s">
        <v>83</v>
      </c>
      <c r="D71" s="32"/>
      <c r="E71" s="26">
        <v>0.12</v>
      </c>
      <c r="F71" s="37"/>
    </row>
    <row r="72" spans="2:6">
      <c r="B72" s="35">
        <f>1+B64</f>
        <v>7</v>
      </c>
      <c r="C72" s="24" t="s">
        <v>10</v>
      </c>
      <c r="D72" s="25"/>
      <c r="E72" s="26"/>
      <c r="F72" s="36">
        <f>+SUM(E73:E88)</f>
        <v>2.9684999999999997</v>
      </c>
    </row>
    <row r="73" spans="2:6" ht="15.75">
      <c r="B73" s="35"/>
      <c r="C73" s="31" t="s">
        <v>84</v>
      </c>
      <c r="D73" s="31"/>
      <c r="E73" s="26">
        <f>+Hoja1!F9</f>
        <v>0.6</v>
      </c>
      <c r="F73" s="37"/>
    </row>
    <row r="74" spans="2:6" ht="15.75">
      <c r="B74" s="35"/>
      <c r="C74" s="31" t="s">
        <v>85</v>
      </c>
      <c r="D74" s="31"/>
      <c r="E74" s="26">
        <v>0.06</v>
      </c>
      <c r="F74" s="37"/>
    </row>
    <row r="75" spans="2:6" ht="15.75">
      <c r="B75" s="35"/>
      <c r="C75" s="31" t="s">
        <v>61</v>
      </c>
      <c r="D75" s="31"/>
      <c r="E75" s="26">
        <v>0.02</v>
      </c>
      <c r="F75" s="37"/>
    </row>
    <row r="76" spans="2:6" ht="15.75">
      <c r="B76" s="35"/>
      <c r="C76" s="31" t="s">
        <v>86</v>
      </c>
      <c r="D76" s="31"/>
      <c r="E76" s="26">
        <v>0.02</v>
      </c>
      <c r="F76" s="37"/>
    </row>
    <row r="77" spans="2:6" ht="15.75">
      <c r="B77" s="35"/>
      <c r="C77" s="31" t="s">
        <v>87</v>
      </c>
      <c r="D77" s="31" t="s">
        <v>149</v>
      </c>
      <c r="E77" s="26">
        <f>'Lista de Precios'!$D$15*(0.2)</f>
        <v>0.5</v>
      </c>
      <c r="F77" s="37"/>
    </row>
    <row r="78" spans="2:6" ht="15.75">
      <c r="B78" s="35"/>
      <c r="C78" s="31" t="s">
        <v>88</v>
      </c>
      <c r="D78" s="31" t="s">
        <v>150</v>
      </c>
      <c r="E78" s="26">
        <f>'Lista de Precios'!$D$16*(0.75)</f>
        <v>0.71249999999999991</v>
      </c>
      <c r="F78" s="37"/>
    </row>
    <row r="79" spans="2:6" ht="15.75">
      <c r="B79" s="35"/>
      <c r="C79" s="31" t="s">
        <v>61</v>
      </c>
      <c r="D79" s="31"/>
      <c r="E79" s="26">
        <v>0.02</v>
      </c>
      <c r="F79" s="37"/>
    </row>
    <row r="80" spans="2:6" ht="15.75">
      <c r="B80" s="35"/>
      <c r="C80" s="31" t="s">
        <v>89</v>
      </c>
      <c r="D80" s="31"/>
      <c r="E80" s="26">
        <v>0.05</v>
      </c>
      <c r="F80" s="37"/>
    </row>
    <row r="81" spans="2:6" ht="15.75">
      <c r="B81" s="35"/>
      <c r="C81" s="31" t="s">
        <v>90</v>
      </c>
      <c r="D81" s="31"/>
      <c r="E81" s="26">
        <v>0.3</v>
      </c>
      <c r="F81" s="37"/>
    </row>
    <row r="82" spans="2:6" ht="15.75">
      <c r="B82" s="35"/>
      <c r="C82" s="31" t="s">
        <v>91</v>
      </c>
      <c r="D82" s="31"/>
      <c r="E82" s="26">
        <v>0.05</v>
      </c>
      <c r="F82" s="37"/>
    </row>
    <row r="83" spans="2:6" ht="15.75">
      <c r="B83" s="35"/>
      <c r="C83" s="31" t="s">
        <v>152</v>
      </c>
      <c r="D83" s="31"/>
      <c r="E83" s="26">
        <v>0.1</v>
      </c>
      <c r="F83" s="37"/>
    </row>
    <row r="84" spans="2:6" ht="15.75">
      <c r="B84" s="35"/>
      <c r="C84" s="31" t="s">
        <v>153</v>
      </c>
      <c r="D84" s="31"/>
      <c r="E84" s="26">
        <v>0.1</v>
      </c>
      <c r="F84" s="37"/>
    </row>
    <row r="85" spans="2:6" ht="15.75">
      <c r="B85" s="35"/>
      <c r="C85" s="31" t="s">
        <v>92</v>
      </c>
      <c r="D85" s="31"/>
      <c r="E85" s="26">
        <v>0.15</v>
      </c>
      <c r="F85" s="37"/>
    </row>
    <row r="86" spans="2:6" s="14" customFormat="1" ht="15.75">
      <c r="B86" s="38"/>
      <c r="C86" s="60" t="s">
        <v>93</v>
      </c>
      <c r="D86" s="60" t="s">
        <v>232</v>
      </c>
      <c r="E86" s="61">
        <f>+'Lista de Precios'!D28*(0.02)</f>
        <v>3.6000000000000004E-2</v>
      </c>
      <c r="F86" s="62"/>
    </row>
    <row r="87" spans="2:6" ht="15.75">
      <c r="B87" s="35"/>
      <c r="C87" s="31" t="s">
        <v>94</v>
      </c>
      <c r="D87" s="31"/>
      <c r="E87" s="26">
        <v>0.15</v>
      </c>
      <c r="F87" s="37"/>
    </row>
    <row r="88" spans="2:6" ht="15.75">
      <c r="B88" s="35"/>
      <c r="C88" s="31" t="s">
        <v>95</v>
      </c>
      <c r="D88" s="31"/>
      <c r="E88" s="26">
        <v>0.1</v>
      </c>
      <c r="F88" s="37"/>
    </row>
    <row r="89" spans="2:6">
      <c r="B89" s="35">
        <f>1+B72</f>
        <v>8</v>
      </c>
      <c r="C89" s="24" t="s">
        <v>11</v>
      </c>
      <c r="D89" s="25"/>
      <c r="E89" s="26"/>
      <c r="F89" s="36">
        <f>+SUM(E90:E98)</f>
        <v>2.0835530319735391</v>
      </c>
    </row>
    <row r="90" spans="2:6" ht="15.75">
      <c r="B90" s="35"/>
      <c r="C90" s="31" t="s">
        <v>96</v>
      </c>
      <c r="D90" s="31"/>
      <c r="E90" s="26">
        <v>0.1</v>
      </c>
      <c r="F90" s="37"/>
    </row>
    <row r="91" spans="2:6" ht="15.75">
      <c r="B91" s="35"/>
      <c r="C91" s="31" t="s">
        <v>97</v>
      </c>
      <c r="D91" s="31"/>
      <c r="E91" s="26">
        <v>0.1</v>
      </c>
      <c r="F91" s="37"/>
    </row>
    <row r="92" spans="2:6" ht="15.75">
      <c r="B92" s="35"/>
      <c r="C92" s="31" t="s">
        <v>98</v>
      </c>
      <c r="D92" s="31"/>
      <c r="E92" s="26">
        <v>0.02</v>
      </c>
      <c r="F92" s="37"/>
    </row>
    <row r="93" spans="2:6" ht="15.75">
      <c r="B93" s="35"/>
      <c r="C93" s="31" t="s">
        <v>99</v>
      </c>
      <c r="D93" s="31"/>
      <c r="E93" s="26">
        <f>+Hoja1!$F$10</f>
        <v>0.89999999999999991</v>
      </c>
      <c r="F93" s="37"/>
    </row>
    <row r="94" spans="2:6" ht="15.75">
      <c r="B94" s="35"/>
      <c r="C94" s="31" t="s">
        <v>100</v>
      </c>
      <c r="D94" s="31"/>
      <c r="E94" s="26">
        <v>0.09</v>
      </c>
      <c r="F94" s="37"/>
    </row>
    <row r="95" spans="2:6" ht="15.75">
      <c r="B95" s="35"/>
      <c r="C95" s="31" t="s">
        <v>101</v>
      </c>
      <c r="D95" s="31" t="s">
        <v>189</v>
      </c>
      <c r="E95" s="26">
        <f>'Lista de Precios'!$D$10*(45/45350)</f>
        <v>3.1753031973539139E-2</v>
      </c>
      <c r="F95" s="37"/>
    </row>
    <row r="96" spans="2:6" s="14" customFormat="1" ht="15.75">
      <c r="B96" s="38"/>
      <c r="C96" s="60" t="s">
        <v>102</v>
      </c>
      <c r="D96" s="60" t="s">
        <v>207</v>
      </c>
      <c r="E96" s="61">
        <f>+'Lista de Precios'!$D$18*(0.3)</f>
        <v>0.39</v>
      </c>
      <c r="F96" s="62"/>
    </row>
    <row r="97" spans="2:6" s="14" customFormat="1" ht="15.75">
      <c r="B97" s="38"/>
      <c r="C97" s="60" t="s">
        <v>103</v>
      </c>
      <c r="D97" s="60"/>
      <c r="E97" s="61">
        <f>+'Lista de Precios'!$D$22*(0.05)+0.02</f>
        <v>0.14499999999999999</v>
      </c>
      <c r="F97" s="62"/>
    </row>
    <row r="98" spans="2:6" ht="15.75">
      <c r="B98" s="35"/>
      <c r="C98" s="31" t="s">
        <v>104</v>
      </c>
      <c r="D98" s="31" t="s">
        <v>177</v>
      </c>
      <c r="E98" s="26">
        <f>+'Lista de Precios'!$D$14*(153.4/500)</f>
        <v>0.30680000000000002</v>
      </c>
      <c r="F98" s="37"/>
    </row>
    <row r="99" spans="2:6">
      <c r="B99" s="35">
        <f>1+B89</f>
        <v>9</v>
      </c>
      <c r="C99" s="24" t="s">
        <v>12</v>
      </c>
      <c r="D99" s="25"/>
      <c r="E99" s="26"/>
      <c r="F99" s="36">
        <f>+SUM(E100:E110)</f>
        <v>3.7349999999999999</v>
      </c>
    </row>
    <row r="100" spans="2:6" ht="15.75">
      <c r="B100" s="35"/>
      <c r="C100" s="31" t="s">
        <v>105</v>
      </c>
      <c r="D100" s="31"/>
      <c r="E100" s="26">
        <v>0.08</v>
      </c>
      <c r="F100" s="37"/>
    </row>
    <row r="101" spans="2:6" ht="15.75">
      <c r="B101" s="35"/>
      <c r="C101" s="31" t="s">
        <v>106</v>
      </c>
      <c r="D101" s="31"/>
      <c r="E101" s="26">
        <v>0.06</v>
      </c>
      <c r="F101" s="37"/>
    </row>
    <row r="102" spans="2:6" ht="15.75">
      <c r="B102" s="35"/>
      <c r="C102" s="31" t="s">
        <v>107</v>
      </c>
      <c r="D102" s="31"/>
      <c r="E102" s="26">
        <f>+Hoja1!$F$11</f>
        <v>0.89999999999999991</v>
      </c>
      <c r="F102" s="37"/>
    </row>
    <row r="103" spans="2:6" ht="15.75">
      <c r="B103" s="35"/>
      <c r="C103" s="31" t="s">
        <v>108</v>
      </c>
      <c r="D103" s="31"/>
      <c r="E103" s="26">
        <v>0.02</v>
      </c>
      <c r="F103" s="37"/>
    </row>
    <row r="104" spans="2:6" ht="15.75">
      <c r="B104" s="35"/>
      <c r="C104" s="31" t="s">
        <v>100</v>
      </c>
      <c r="D104" s="31"/>
      <c r="E104" s="26">
        <v>0.09</v>
      </c>
      <c r="F104" s="37"/>
    </row>
    <row r="105" spans="2:6" ht="15.75">
      <c r="B105" s="35"/>
      <c r="C105" s="31" t="s">
        <v>109</v>
      </c>
      <c r="D105" s="31"/>
      <c r="E105" s="26">
        <v>0.05</v>
      </c>
      <c r="F105" s="37"/>
    </row>
    <row r="106" spans="2:6" s="14" customFormat="1" ht="15.75">
      <c r="B106" s="38"/>
      <c r="C106" s="60" t="s">
        <v>110</v>
      </c>
      <c r="D106" s="60"/>
      <c r="E106" s="61">
        <f>+'Lista de Precios'!$D$21*(0.3)</f>
        <v>1.3499999999999999</v>
      </c>
      <c r="F106" s="62"/>
    </row>
    <row r="107" spans="2:6" ht="15.75">
      <c r="B107" s="35"/>
      <c r="C107" s="31" t="s">
        <v>111</v>
      </c>
      <c r="D107" s="31"/>
      <c r="E107" s="26">
        <f>+'Lista de Precios'!$D$19</f>
        <v>0.2</v>
      </c>
      <c r="F107" s="37"/>
    </row>
    <row r="108" spans="2:6" s="14" customFormat="1" ht="15.75">
      <c r="B108" s="38"/>
      <c r="C108" s="60" t="s">
        <v>112</v>
      </c>
      <c r="D108" s="60" t="s">
        <v>228</v>
      </c>
      <c r="E108" s="61">
        <f>+'Lista de Precios'!$D$22*(0.05)+0.02</f>
        <v>0.14499999999999999</v>
      </c>
      <c r="F108" s="62"/>
    </row>
    <row r="109" spans="2:6" ht="15.75">
      <c r="B109" s="35"/>
      <c r="C109" s="31" t="s">
        <v>113</v>
      </c>
      <c r="D109" s="31"/>
      <c r="E109" s="26">
        <v>0.09</v>
      </c>
      <c r="F109" s="37"/>
    </row>
    <row r="110" spans="2:6" ht="15.75">
      <c r="B110" s="35"/>
      <c r="C110" s="30" t="s">
        <v>114</v>
      </c>
      <c r="D110" s="30"/>
      <c r="E110" s="26">
        <v>0.75</v>
      </c>
      <c r="F110" s="37"/>
    </row>
    <row r="111" spans="2:6">
      <c r="B111" s="35">
        <f>1+B99</f>
        <v>10</v>
      </c>
      <c r="C111" s="24" t="s">
        <v>13</v>
      </c>
      <c r="D111" s="25"/>
      <c r="E111" s="26"/>
      <c r="F111" s="36">
        <f>+SUM(E112:E123)</f>
        <v>5.0572666666666661</v>
      </c>
    </row>
    <row r="112" spans="2:6" ht="15" customHeight="1">
      <c r="B112" s="35"/>
      <c r="C112" s="31" t="s">
        <v>115</v>
      </c>
      <c r="D112" s="31"/>
      <c r="E112" s="26">
        <f>+Hoja1!$F$12</f>
        <v>1.05</v>
      </c>
      <c r="F112" s="37"/>
    </row>
    <row r="113" spans="2:6" ht="15.75">
      <c r="B113" s="35"/>
      <c r="C113" s="31" t="s">
        <v>116</v>
      </c>
      <c r="D113" s="31"/>
      <c r="E113" s="26">
        <f>'Lista de Precios'!$E$3*8</f>
        <v>0.70666666666666667</v>
      </c>
      <c r="F113" s="37"/>
    </row>
    <row r="114" spans="2:6" ht="15.75">
      <c r="B114" s="35"/>
      <c r="C114" s="31" t="s">
        <v>117</v>
      </c>
      <c r="D114" s="31" t="s">
        <v>190</v>
      </c>
      <c r="E114" s="26">
        <f>'Lista de Precios'!$D$7*(226.8/3000)</f>
        <v>0.56699999999999995</v>
      </c>
      <c r="F114" s="37"/>
    </row>
    <row r="115" spans="2:6" ht="15.75">
      <c r="B115" s="35"/>
      <c r="C115" s="31" t="s">
        <v>118</v>
      </c>
      <c r="D115" s="31" t="s">
        <v>190</v>
      </c>
      <c r="E115" s="26">
        <f>'Lista de Precios'!$D$14*(306.8/500)</f>
        <v>0.61360000000000003</v>
      </c>
      <c r="F115" s="37"/>
    </row>
    <row r="116" spans="2:6" s="14" customFormat="1" ht="15.75">
      <c r="B116" s="38"/>
      <c r="C116" s="60" t="s">
        <v>119</v>
      </c>
      <c r="D116" s="60" t="s">
        <v>150</v>
      </c>
      <c r="E116" s="61">
        <f>+'Lista de Precios'!$D$18*(0.8)</f>
        <v>1.04</v>
      </c>
      <c r="F116" s="62"/>
    </row>
    <row r="117" spans="2:6" ht="15.75">
      <c r="B117" s="35"/>
      <c r="C117" s="31" t="s">
        <v>120</v>
      </c>
      <c r="D117" s="31"/>
      <c r="E117" s="26">
        <v>0.02</v>
      </c>
      <c r="F117" s="37"/>
    </row>
    <row r="118" spans="2:6" s="14" customFormat="1" ht="15.75">
      <c r="B118" s="38"/>
      <c r="C118" s="60" t="s">
        <v>121</v>
      </c>
      <c r="D118" s="60" t="s">
        <v>226</v>
      </c>
      <c r="E118" s="61">
        <f>+'Lista de Precios'!$D$27*(0.2)</f>
        <v>6.9999999999999993E-2</v>
      </c>
      <c r="F118" s="62"/>
    </row>
    <row r="119" spans="2:6" ht="15.75">
      <c r="B119" s="35"/>
      <c r="C119" s="31" t="s">
        <v>122</v>
      </c>
      <c r="D119" s="31"/>
      <c r="E119" s="26">
        <v>0</v>
      </c>
      <c r="F119" s="37"/>
    </row>
    <row r="120" spans="2:6" ht="15.75">
      <c r="B120" s="35"/>
      <c r="C120" s="31" t="s">
        <v>123</v>
      </c>
      <c r="D120" s="31"/>
      <c r="E120" s="26">
        <v>0.7</v>
      </c>
      <c r="F120" s="37"/>
    </row>
    <row r="121" spans="2:6" s="14" customFormat="1" ht="15.75">
      <c r="B121" s="38"/>
      <c r="C121" s="60" t="s">
        <v>124</v>
      </c>
      <c r="D121" s="60" t="s">
        <v>206</v>
      </c>
      <c r="E121" s="61">
        <f>+'Lista de Precios'!$D$18*(0.2)</f>
        <v>0.26</v>
      </c>
      <c r="F121" s="62"/>
    </row>
    <row r="122" spans="2:6" ht="15.75">
      <c r="B122" s="35"/>
      <c r="C122" s="31" t="s">
        <v>125</v>
      </c>
      <c r="D122" s="31"/>
      <c r="E122" s="26">
        <v>0.02</v>
      </c>
      <c r="F122" s="37"/>
    </row>
    <row r="123" spans="2:6" ht="15.75">
      <c r="B123" s="35"/>
      <c r="C123" s="31" t="s">
        <v>126</v>
      </c>
      <c r="D123" s="31"/>
      <c r="E123" s="26">
        <v>0.01</v>
      </c>
      <c r="F123" s="37"/>
    </row>
    <row r="124" spans="2:6">
      <c r="B124" s="35">
        <f>1+B111</f>
        <v>11</v>
      </c>
      <c r="C124" s="24" t="s">
        <v>14</v>
      </c>
      <c r="D124" s="25"/>
      <c r="E124" s="26"/>
      <c r="F124" s="36">
        <f>+SUM(E125:E133)</f>
        <v>7.6774999999999984</v>
      </c>
    </row>
    <row r="125" spans="2:6" s="14" customFormat="1" ht="15.75">
      <c r="B125" s="38"/>
      <c r="C125" s="60" t="s">
        <v>127</v>
      </c>
      <c r="D125" s="60"/>
      <c r="E125" s="61">
        <f>+'Lista de Precios'!$D$31*(1.25)</f>
        <v>2.625</v>
      </c>
      <c r="F125" s="62"/>
    </row>
    <row r="126" spans="2:6" ht="15.75">
      <c r="B126" s="35"/>
      <c r="C126" s="31" t="s">
        <v>128</v>
      </c>
      <c r="D126" s="31"/>
      <c r="E126" s="26">
        <f>+Hoja1!$F$13</f>
        <v>1.7999999999999998</v>
      </c>
      <c r="F126" s="37"/>
    </row>
    <row r="127" spans="2:6" ht="15.75">
      <c r="B127" s="35"/>
      <c r="C127" s="31" t="s">
        <v>129</v>
      </c>
      <c r="D127" s="31"/>
      <c r="E127" s="26">
        <f>'Lista de Precios'!$E$3*6</f>
        <v>0.53</v>
      </c>
      <c r="F127" s="37"/>
    </row>
    <row r="128" spans="2:6" ht="15.75">
      <c r="B128" s="35"/>
      <c r="C128" s="31" t="s">
        <v>130</v>
      </c>
      <c r="D128" s="31" t="s">
        <v>150</v>
      </c>
      <c r="E128" s="26">
        <f>+'Lista de Precios'!$D$16*(1.75)</f>
        <v>1.6624999999999999</v>
      </c>
      <c r="F128" s="37"/>
    </row>
    <row r="129" spans="2:6" ht="15.75">
      <c r="B129" s="35"/>
      <c r="C129" s="31" t="s">
        <v>131</v>
      </c>
      <c r="D129" s="31"/>
      <c r="E129" s="26">
        <v>0.02</v>
      </c>
      <c r="F129" s="37"/>
    </row>
    <row r="130" spans="2:6" s="14" customFormat="1" ht="15.75">
      <c r="B130" s="38"/>
      <c r="C130" s="60" t="s">
        <v>132</v>
      </c>
      <c r="D130" s="60" t="s">
        <v>238</v>
      </c>
      <c r="E130" s="61">
        <f>+'Lista de Precios'!$D$31*(80/200)</f>
        <v>0.84000000000000008</v>
      </c>
      <c r="F130" s="62"/>
    </row>
    <row r="131" spans="2:6" ht="15.75">
      <c r="B131" s="35"/>
      <c r="C131" s="31" t="s">
        <v>133</v>
      </c>
      <c r="D131" s="31"/>
      <c r="E131" s="57">
        <v>0</v>
      </c>
      <c r="F131" s="37"/>
    </row>
    <row r="132" spans="2:6" s="14" customFormat="1" ht="15.75">
      <c r="B132" s="38"/>
      <c r="C132" s="60" t="s">
        <v>134</v>
      </c>
      <c r="D132" s="60"/>
      <c r="E132" s="61">
        <f>+('Lista de Precios'!D8/3)</f>
        <v>9.9999999999999992E-2</v>
      </c>
      <c r="F132" s="62"/>
    </row>
    <row r="133" spans="2:6" ht="15.75">
      <c r="B133" s="35"/>
      <c r="C133" s="31" t="s">
        <v>135</v>
      </c>
      <c r="D133" s="31"/>
      <c r="E133" s="26">
        <v>0.1</v>
      </c>
      <c r="F133" s="37"/>
    </row>
    <row r="134" spans="2:6">
      <c r="B134" s="35">
        <f>1+B124</f>
        <v>12</v>
      </c>
      <c r="C134" s="24" t="s">
        <v>15</v>
      </c>
      <c r="D134" s="25"/>
      <c r="E134" s="26"/>
      <c r="F134" s="36">
        <f>+SUM(E135:E141)</f>
        <v>6.5348634693127527</v>
      </c>
    </row>
    <row r="135" spans="2:6" ht="15.75">
      <c r="B135" s="35"/>
      <c r="C135" s="31" t="s">
        <v>136</v>
      </c>
      <c r="D135" s="31"/>
      <c r="E135" s="26">
        <f>+Hoja1!$F$14*6</f>
        <v>2.4000000000000004</v>
      </c>
      <c r="F135" s="37"/>
    </row>
    <row r="136" spans="2:6" ht="15.75">
      <c r="B136" s="35"/>
      <c r="C136" s="31" t="s">
        <v>137</v>
      </c>
      <c r="D136" s="31" t="s">
        <v>191</v>
      </c>
      <c r="E136" s="26">
        <f>'Lista de Precios'!$D$7*(113.4/3000)</f>
        <v>0.28349999999999997</v>
      </c>
      <c r="F136" s="37"/>
    </row>
    <row r="137" spans="2:6" ht="15.75">
      <c r="B137" s="35"/>
      <c r="C137" s="31" t="s">
        <v>101</v>
      </c>
      <c r="D137" s="31" t="s">
        <v>193</v>
      </c>
      <c r="E137" s="26">
        <f>'Lista de Precios'!$D$10*(35/45350)</f>
        <v>2.4696802646085998E-2</v>
      </c>
      <c r="F137" s="37"/>
    </row>
    <row r="138" spans="2:6" s="14" customFormat="1" ht="15.75">
      <c r="B138" s="38"/>
      <c r="C138" s="60" t="s">
        <v>138</v>
      </c>
      <c r="D138" s="60"/>
      <c r="E138" s="61">
        <f>+'Lista de Precios'!$D$26</f>
        <v>2.5</v>
      </c>
      <c r="F138" s="62"/>
    </row>
    <row r="139" spans="2:6" ht="15.75">
      <c r="B139" s="35"/>
      <c r="C139" s="31" t="s">
        <v>139</v>
      </c>
      <c r="D139" s="31"/>
      <c r="E139" s="26">
        <f>'Lista de Precios'!$E$3*2</f>
        <v>0.17666666666666667</v>
      </c>
      <c r="F139" s="37"/>
    </row>
    <row r="140" spans="2:6" ht="15.75">
      <c r="B140" s="35"/>
      <c r="C140" s="31" t="s">
        <v>140</v>
      </c>
      <c r="D140" s="31" t="s">
        <v>211</v>
      </c>
      <c r="E140" s="26">
        <f>+'Lista de Precios'!D19*4</f>
        <v>0.8</v>
      </c>
      <c r="F140" s="37"/>
    </row>
    <row r="141" spans="2:6" ht="15.75">
      <c r="B141" s="35"/>
      <c r="C141" s="31" t="s">
        <v>141</v>
      </c>
      <c r="D141" s="31"/>
      <c r="E141" s="26">
        <v>0.35</v>
      </c>
      <c r="F141" s="37"/>
    </row>
    <row r="142" spans="2:6">
      <c r="B142" s="35">
        <v>13</v>
      </c>
      <c r="C142" s="24" t="s">
        <v>151</v>
      </c>
      <c r="D142" s="1"/>
      <c r="E142" s="26"/>
      <c r="F142" s="36">
        <f>+SUM(E143:E150)</f>
        <v>3.4784166666666665</v>
      </c>
    </row>
    <row r="143" spans="2:6" ht="15.75">
      <c r="B143" s="35"/>
      <c r="C143" s="31" t="s">
        <v>154</v>
      </c>
      <c r="D143" s="30" t="s">
        <v>192</v>
      </c>
      <c r="E143" s="26">
        <f>'Lista de Precios'!$D$7*(76.7/3000)</f>
        <v>0.19175</v>
      </c>
      <c r="F143" s="37"/>
    </row>
    <row r="144" spans="2:6" ht="15.75">
      <c r="B144" s="35"/>
      <c r="C144" s="31" t="s">
        <v>155</v>
      </c>
      <c r="D144" s="1"/>
      <c r="E144" s="26">
        <f>+Hoja1!F15</f>
        <v>0.6</v>
      </c>
      <c r="F144" s="37"/>
    </row>
    <row r="145" spans="2:6" ht="15.75">
      <c r="B145" s="35"/>
      <c r="C145" s="31" t="s">
        <v>156</v>
      </c>
      <c r="D145" s="1"/>
      <c r="E145" s="26">
        <v>0.4</v>
      </c>
      <c r="F145" s="37"/>
    </row>
    <row r="146" spans="2:6" ht="15.75">
      <c r="B146" s="35"/>
      <c r="C146" s="31" t="s">
        <v>157</v>
      </c>
      <c r="D146" s="1"/>
      <c r="E146" s="26">
        <f>'Lista de Precios'!$E$3*5</f>
        <v>0.44166666666666665</v>
      </c>
      <c r="F146" s="37"/>
    </row>
    <row r="147" spans="2:6" ht="15.75">
      <c r="B147" s="35"/>
      <c r="C147" s="31" t="s">
        <v>158</v>
      </c>
      <c r="D147" s="52" t="s">
        <v>149</v>
      </c>
      <c r="E147" s="26">
        <f>'Lista de Precios'!$D$15*(375/750)</f>
        <v>1.25</v>
      </c>
      <c r="F147" s="37"/>
    </row>
    <row r="148" spans="2:6" s="14" customFormat="1" ht="15.75">
      <c r="B148" s="38"/>
      <c r="C148" s="60" t="s">
        <v>159</v>
      </c>
      <c r="D148" s="66" t="s">
        <v>213</v>
      </c>
      <c r="E148" s="61">
        <f>+'Lista de Precios'!$D$20*0.5</f>
        <v>0.47499999999999998</v>
      </c>
      <c r="F148" s="62"/>
    </row>
    <row r="149" spans="2:6" ht="15.75">
      <c r="B149" s="35"/>
      <c r="C149" s="31" t="s">
        <v>160</v>
      </c>
      <c r="D149" s="1"/>
      <c r="E149" s="26">
        <v>0.1</v>
      </c>
      <c r="F149" s="37"/>
    </row>
    <row r="150" spans="2:6" ht="15.75">
      <c r="B150" s="35"/>
      <c r="C150" s="31" t="s">
        <v>161</v>
      </c>
      <c r="D150" s="1"/>
      <c r="E150" s="26">
        <v>0.02</v>
      </c>
      <c r="F150" s="37"/>
    </row>
    <row r="151" spans="2:6" ht="15.75" thickBot="1">
      <c r="B151" s="39"/>
      <c r="C151" s="40"/>
      <c r="D151" s="40"/>
      <c r="E151" s="41"/>
      <c r="F151" s="42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1"/>
  <sheetViews>
    <sheetView tabSelected="1" workbookViewId="0">
      <selection activeCell="G8" sqref="G8"/>
    </sheetView>
  </sheetViews>
  <sheetFormatPr baseColWidth="10" defaultRowHeight="15"/>
  <cols>
    <col min="1" max="1" width="7.42578125" customWidth="1"/>
    <col min="2" max="2" width="28" customWidth="1"/>
    <col min="4" max="4" width="11.42578125" style="20"/>
    <col min="5" max="5" width="12.140625" style="20" customWidth="1"/>
  </cols>
  <sheetData>
    <row r="2" spans="1:7">
      <c r="A2" s="3"/>
      <c r="B2" s="11" t="s">
        <v>188</v>
      </c>
      <c r="C2" s="11" t="s">
        <v>187</v>
      </c>
      <c r="D2" s="23" t="s">
        <v>186</v>
      </c>
      <c r="E2" s="23" t="s">
        <v>239</v>
      </c>
    </row>
    <row r="3" spans="1:7">
      <c r="A3" s="1">
        <v>1</v>
      </c>
      <c r="B3" s="1" t="s">
        <v>162</v>
      </c>
      <c r="C3" s="1" t="s">
        <v>163</v>
      </c>
      <c r="D3" s="26">
        <v>2.65</v>
      </c>
      <c r="E3" s="26">
        <f>+D3/30</f>
        <v>8.8333333333333333E-2</v>
      </c>
    </row>
    <row r="4" spans="1:7">
      <c r="A4" s="1">
        <v>1</v>
      </c>
      <c r="B4" s="1" t="s">
        <v>164</v>
      </c>
      <c r="C4" s="1" t="s">
        <v>169</v>
      </c>
      <c r="D4" s="26">
        <v>25.5</v>
      </c>
      <c r="E4" s="26">
        <f>+D4/15</f>
        <v>1.7</v>
      </c>
    </row>
    <row r="5" spans="1:7">
      <c r="A5" s="1">
        <v>1</v>
      </c>
      <c r="B5" s="1" t="s">
        <v>165</v>
      </c>
      <c r="C5" s="1" t="s">
        <v>166</v>
      </c>
      <c r="D5" s="26">
        <v>15</v>
      </c>
      <c r="E5" s="26">
        <f>+D5/25</f>
        <v>0.6</v>
      </c>
    </row>
    <row r="6" spans="1:7">
      <c r="A6" s="1">
        <v>1</v>
      </c>
      <c r="B6" s="1" t="s">
        <v>167</v>
      </c>
      <c r="C6" s="1" t="s">
        <v>168</v>
      </c>
      <c r="D6" s="26">
        <v>32</v>
      </c>
      <c r="E6" s="26"/>
    </row>
    <row r="7" spans="1:7">
      <c r="A7" s="1">
        <v>1</v>
      </c>
      <c r="B7" s="1" t="s">
        <v>170</v>
      </c>
      <c r="C7" s="1" t="s">
        <v>171</v>
      </c>
      <c r="D7" s="26">
        <v>7.5</v>
      </c>
      <c r="E7" s="26"/>
    </row>
    <row r="8" spans="1:7">
      <c r="A8" s="1"/>
      <c r="B8" s="1" t="s">
        <v>174</v>
      </c>
      <c r="C8" s="1" t="s">
        <v>175</v>
      </c>
      <c r="D8" s="26">
        <v>0.3</v>
      </c>
      <c r="E8" s="26">
        <f>+D8/3</f>
        <v>9.9999999999999992E-2</v>
      </c>
      <c r="G8">
        <f>+D6*(20/45350)</f>
        <v>1.4112458654906285E-2</v>
      </c>
    </row>
    <row r="9" spans="1:7">
      <c r="A9" s="1"/>
      <c r="B9" s="1" t="s">
        <v>176</v>
      </c>
      <c r="C9" s="1" t="s">
        <v>175</v>
      </c>
      <c r="D9" s="26">
        <v>0.35</v>
      </c>
      <c r="E9" s="26"/>
    </row>
    <row r="10" spans="1:7">
      <c r="A10" s="1">
        <v>1</v>
      </c>
      <c r="B10" s="1" t="s">
        <v>178</v>
      </c>
      <c r="C10" s="1" t="s">
        <v>168</v>
      </c>
      <c r="D10" s="26">
        <v>32</v>
      </c>
      <c r="E10" s="26"/>
    </row>
    <row r="11" spans="1:7">
      <c r="A11" s="1"/>
      <c r="B11" s="1" t="s">
        <v>182</v>
      </c>
      <c r="C11" s="1" t="s">
        <v>175</v>
      </c>
      <c r="D11" s="26">
        <v>0.35</v>
      </c>
      <c r="E11" s="26"/>
    </row>
    <row r="12" spans="1:7">
      <c r="A12" s="1"/>
      <c r="B12" s="1" t="s">
        <v>183</v>
      </c>
      <c r="C12" s="1" t="s">
        <v>175</v>
      </c>
      <c r="D12" s="26">
        <v>0.6</v>
      </c>
      <c r="E12" s="26"/>
    </row>
    <row r="13" spans="1:7">
      <c r="A13" s="1">
        <v>1</v>
      </c>
      <c r="B13" s="1" t="s">
        <v>184</v>
      </c>
      <c r="C13" s="1" t="s">
        <v>185</v>
      </c>
      <c r="D13" s="26">
        <v>0.5</v>
      </c>
      <c r="E13" s="26"/>
    </row>
    <row r="14" spans="1:7">
      <c r="A14" s="1">
        <v>1</v>
      </c>
      <c r="B14" s="1" t="s">
        <v>194</v>
      </c>
      <c r="C14" s="1" t="s">
        <v>195</v>
      </c>
      <c r="D14" s="26">
        <v>1</v>
      </c>
      <c r="E14" s="26"/>
    </row>
    <row r="15" spans="1:7">
      <c r="A15" s="1">
        <v>1</v>
      </c>
      <c r="B15" s="1" t="s">
        <v>197</v>
      </c>
      <c r="C15" s="1" t="s">
        <v>198</v>
      </c>
      <c r="D15" s="26">
        <v>2.5</v>
      </c>
      <c r="E15" s="26"/>
    </row>
    <row r="16" spans="1:7">
      <c r="A16" s="1">
        <v>1</v>
      </c>
      <c r="B16" s="1" t="s">
        <v>230</v>
      </c>
      <c r="C16" s="1" t="s">
        <v>199</v>
      </c>
      <c r="D16" s="26">
        <v>0.95</v>
      </c>
      <c r="E16" s="26"/>
    </row>
    <row r="17" spans="1:5">
      <c r="A17" s="53">
        <v>1</v>
      </c>
      <c r="B17" s="53" t="s">
        <v>201</v>
      </c>
      <c r="C17" s="53" t="s">
        <v>200</v>
      </c>
      <c r="D17" s="26">
        <v>0.7</v>
      </c>
      <c r="E17" s="26"/>
    </row>
    <row r="18" spans="1:5">
      <c r="A18" s="53">
        <v>1</v>
      </c>
      <c r="B18" s="53" t="s">
        <v>204</v>
      </c>
      <c r="C18" s="53" t="s">
        <v>205</v>
      </c>
      <c r="D18" s="26">
        <v>1.3</v>
      </c>
      <c r="E18" s="26"/>
    </row>
    <row r="19" spans="1:5">
      <c r="A19" s="1">
        <v>1</v>
      </c>
      <c r="B19" s="1" t="s">
        <v>209</v>
      </c>
      <c r="C19" s="1" t="s">
        <v>192</v>
      </c>
      <c r="D19" s="26">
        <v>0.2</v>
      </c>
      <c r="E19" s="26"/>
    </row>
    <row r="20" spans="1:5">
      <c r="A20" s="53">
        <v>1</v>
      </c>
      <c r="B20" s="53" t="s">
        <v>212</v>
      </c>
      <c r="C20" s="53" t="s">
        <v>175</v>
      </c>
      <c r="D20" s="26">
        <v>0.95</v>
      </c>
      <c r="E20" s="26"/>
    </row>
    <row r="21" spans="1:5">
      <c r="A21" s="53">
        <v>1</v>
      </c>
      <c r="B21" s="53" t="s">
        <v>214</v>
      </c>
      <c r="C21" s="53" t="s">
        <v>195</v>
      </c>
      <c r="D21" s="26">
        <v>4.5</v>
      </c>
      <c r="E21" s="26"/>
    </row>
    <row r="22" spans="1:5">
      <c r="A22" s="53">
        <v>1</v>
      </c>
      <c r="B22" s="53" t="s">
        <v>215</v>
      </c>
      <c r="C22" s="58" t="s">
        <v>227</v>
      </c>
      <c r="D22" s="29">
        <v>2.5</v>
      </c>
      <c r="E22" s="26"/>
    </row>
    <row r="23" spans="1:5">
      <c r="A23" s="53">
        <v>1</v>
      </c>
      <c r="B23" s="53" t="s">
        <v>216</v>
      </c>
      <c r="C23" s="53" t="s">
        <v>217</v>
      </c>
      <c r="D23" s="26">
        <v>0.2</v>
      </c>
      <c r="E23" s="26">
        <f>+D23/20</f>
        <v>0.01</v>
      </c>
    </row>
    <row r="24" spans="1:5">
      <c r="A24" s="53">
        <v>1</v>
      </c>
      <c r="B24" s="53" t="s">
        <v>218</v>
      </c>
      <c r="C24" s="1" t="s">
        <v>175</v>
      </c>
      <c r="D24" s="26">
        <v>2</v>
      </c>
      <c r="E24" s="26"/>
    </row>
    <row r="25" spans="1:5">
      <c r="A25" s="53">
        <v>1</v>
      </c>
      <c r="B25" s="53" t="s">
        <v>220</v>
      </c>
      <c r="C25" s="1" t="s">
        <v>223</v>
      </c>
      <c r="D25" s="26">
        <v>1.5</v>
      </c>
      <c r="E25" s="26"/>
    </row>
    <row r="26" spans="1:5">
      <c r="A26" s="1">
        <v>1</v>
      </c>
      <c r="B26" s="1" t="s">
        <v>221</v>
      </c>
      <c r="C26" s="1" t="s">
        <v>222</v>
      </c>
      <c r="D26" s="26">
        <v>2.5</v>
      </c>
      <c r="E26" s="26"/>
    </row>
    <row r="27" spans="1:5">
      <c r="A27" s="53">
        <v>1</v>
      </c>
      <c r="B27" s="53" t="s">
        <v>224</v>
      </c>
      <c r="C27" s="53" t="s">
        <v>225</v>
      </c>
      <c r="D27" s="26">
        <v>0.35</v>
      </c>
      <c r="E27" s="26"/>
    </row>
    <row r="28" spans="1:5">
      <c r="A28" s="1">
        <v>1</v>
      </c>
      <c r="B28" s="1" t="s">
        <v>229</v>
      </c>
      <c r="C28" s="74" t="s">
        <v>231</v>
      </c>
      <c r="D28" s="26">
        <v>1.8</v>
      </c>
      <c r="E28" s="26"/>
    </row>
    <row r="29" spans="1:5">
      <c r="A29" s="53">
        <v>1</v>
      </c>
      <c r="B29" s="1" t="s">
        <v>233</v>
      </c>
      <c r="C29" s="58" t="s">
        <v>175</v>
      </c>
      <c r="D29" s="29">
        <v>3</v>
      </c>
      <c r="E29" s="26"/>
    </row>
    <row r="30" spans="1:5">
      <c r="A30" s="53">
        <v>1</v>
      </c>
      <c r="B30" s="53" t="s">
        <v>234</v>
      </c>
      <c r="C30" s="65" t="s">
        <v>235</v>
      </c>
      <c r="D30" s="29">
        <v>1.75</v>
      </c>
      <c r="E30" s="26"/>
    </row>
    <row r="31" spans="1:5">
      <c r="A31" s="53">
        <v>1</v>
      </c>
      <c r="B31" s="53" t="s">
        <v>237</v>
      </c>
      <c r="C31" s="66" t="s">
        <v>199</v>
      </c>
      <c r="D31" s="26">
        <v>2.1</v>
      </c>
      <c r="E3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Costo Mensual por Receta</vt:lpstr>
      <vt:lpstr>Costo Detallado por Receta</vt:lpstr>
      <vt:lpstr>Lista de Precios</vt:lpstr>
    </vt:vector>
  </TitlesOfParts>
  <Company>espol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labiche</dc:creator>
  <cp:keywords>Final</cp:keywords>
  <cp:lastModifiedBy>sol</cp:lastModifiedBy>
  <dcterms:created xsi:type="dcterms:W3CDTF">2010-01-22T18:16:25Z</dcterms:created>
  <dcterms:modified xsi:type="dcterms:W3CDTF">2010-02-17T21:40:18Z</dcterms:modified>
</cp:coreProperties>
</file>