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tabRatio="763" firstSheet="2" activeTab="2"/>
  </bookViews>
  <sheets>
    <sheet name="Inversion Inicial" sheetId="1" r:id="rId1"/>
    <sheet name="Ingresos y Costos año 1" sheetId="2" r:id="rId2"/>
    <sheet name="Capital de trabajo" sheetId="3" r:id="rId3"/>
    <sheet name="Datos de depreciacion" sheetId="4" r:id="rId4"/>
    <sheet name="Valor de Dep+Recompra" sheetId="5" r:id="rId5"/>
    <sheet name="Valor de Dep. anual" sheetId="6" r:id="rId6"/>
    <sheet name="Valor recompra anual" sheetId="7" r:id="rId7"/>
    <sheet name="CB_DATA_" sheetId="8" state="veryHidden" r:id="rId8"/>
    <sheet name="Precios Productos" sheetId="9" r:id="rId9"/>
    <sheet name="Distribucion de productos  " sheetId="10" r:id="rId10"/>
    <sheet name="Flujo de caja puro" sheetId="11" r:id="rId11"/>
    <sheet name="Tabla de amortizacion" sheetId="12" r:id="rId12"/>
    <sheet name="Flujo del inversionista" sheetId="13" r:id="rId13"/>
  </sheets>
  <definedNames>
    <definedName name="CB_a3b43c6d84ae4888a98cfe6a644e5ede" localSheetId="7" hidden="1">#N/A</definedName>
    <definedName name="CB_bccba95867f54fda81c716207929e21e" localSheetId="10" hidden="1">'Flujo de caja puro'!$C$5</definedName>
    <definedName name="CB_bccba95867f54fda81c716207929e21e" localSheetId="12" hidden="1">'Flujo del inversionista'!$C$5</definedName>
    <definedName name="CBWorkbookPriority" localSheetId="7" hidden="1">-1099040132</definedName>
    <definedName name="CBx_07d48042bb504e60af2f4bd9e33851dc" localSheetId="7" hidden="1">"'Hoja1'!$A$1"</definedName>
    <definedName name="CBx_0d58e1c448a5411e830d683f716abb29" localSheetId="7" hidden="1">"'Flujo -5% costos'!$A$1"</definedName>
    <definedName name="CBx_21ff450efaa745b0ad00bea0063e4013" localSheetId="7" hidden="1">"'Cristal Ball'!$A$1"</definedName>
    <definedName name="CBx_414c8db9c00e4ddc86a8087e95bdff90" localSheetId="7" hidden="1">"'CB_DATA_'!$A$1"</definedName>
    <definedName name="CBx_f809da25ea354b7fa1baed4fd8c6fea7" localSheetId="7" hidden="1">"'Flujo de caja puro'!$A$1"</definedName>
    <definedName name="CBx_Sheet_Guid" localSheetId="7" hidden="1">"'414c8db9-c00e-4ddc-86a8-087e95bdff90"</definedName>
    <definedName name="CBx_Sheet_Guid" localSheetId="10" hidden="1">"'f809da25-ea35-4b7f-a1ba-ed4fd8c6fea7"</definedName>
    <definedName name="CBx_Sheet_Guid" localSheetId="12" hidden="1">"'f809da25-ea35-4b7f-a1ba-ed4fd8c6fea7"</definedName>
    <definedName name="CBx_StorageType" localSheetId="7" hidden="1">1</definedName>
    <definedName name="p" localSheetId="12">#REF!</definedName>
    <definedName name="p">#REF!</definedName>
    <definedName name="q" localSheetId="12">#REF!</definedName>
    <definedName name="q">#REF!</definedName>
    <definedName name="TASA" localSheetId="12">#REF!</definedName>
    <definedName name="TASA">#REF!</definedName>
  </definedNames>
  <calcPr fullCalcOnLoad="1"/>
</workbook>
</file>

<file path=xl/sharedStrings.xml><?xml version="1.0" encoding="utf-8"?>
<sst xmlns="http://schemas.openxmlformats.org/spreadsheetml/2006/main" count="496" uniqueCount="213">
  <si>
    <t>INVERSION INICIAL</t>
  </si>
  <si>
    <t xml:space="preserve">CANTIDAD </t>
  </si>
  <si>
    <t>COSTO UNITARIO</t>
  </si>
  <si>
    <t>COSTO TOTAL</t>
  </si>
  <si>
    <t>Máquinas cafeteras</t>
  </si>
  <si>
    <t>Frigorífico</t>
  </si>
  <si>
    <t>Microondas</t>
  </si>
  <si>
    <t>Tazas</t>
  </si>
  <si>
    <t>Platos para tazas</t>
  </si>
  <si>
    <t>Cucharitas</t>
  </si>
  <si>
    <t>Cucharas</t>
  </si>
  <si>
    <t>Tenedores</t>
  </si>
  <si>
    <t>Cuchillos</t>
  </si>
  <si>
    <t>Platos para postres</t>
  </si>
  <si>
    <t>Vasos de vidrio</t>
  </si>
  <si>
    <t>Mesas</t>
  </si>
  <si>
    <t>Sillas</t>
  </si>
  <si>
    <t>Manteles</t>
  </si>
  <si>
    <t>Butacas</t>
  </si>
  <si>
    <t>Muebles grandes</t>
  </si>
  <si>
    <t>Muebles medianos</t>
  </si>
  <si>
    <t>Mesas de centro</t>
  </si>
  <si>
    <t>Lámparas</t>
  </si>
  <si>
    <t>Cuadros</t>
  </si>
  <si>
    <t>Alfombras</t>
  </si>
  <si>
    <t>Equipo de música</t>
  </si>
  <si>
    <t>TOTAL INVERSION INICIAL</t>
  </si>
  <si>
    <t>Inversion Organizacional</t>
  </si>
  <si>
    <t>Inversión Utensilios</t>
  </si>
  <si>
    <t>Computadoras</t>
  </si>
  <si>
    <t>Escritorios</t>
  </si>
  <si>
    <t>Anaquel</t>
  </si>
  <si>
    <t>Impresora y cartuchos</t>
  </si>
  <si>
    <t>Teléfonos</t>
  </si>
  <si>
    <t>Aire Acondicionado Central</t>
  </si>
  <si>
    <t>Total Inversión Organizacional</t>
  </si>
  <si>
    <t>Total Inversión Utensilios</t>
  </si>
  <si>
    <t>INGRESOS</t>
  </si>
  <si>
    <t>ARRIENDO</t>
  </si>
  <si>
    <t>DEPRECIACION MAQUINAS</t>
  </si>
  <si>
    <t>UAI</t>
  </si>
  <si>
    <t>IMPUESTO RENTA 25%</t>
  </si>
  <si>
    <t>UTILIDAD NETA</t>
  </si>
  <si>
    <t>INVERSION</t>
  </si>
  <si>
    <t>CAPITAL DE TRABAJO</t>
  </si>
  <si>
    <t>RECUPERACION CAPITAL DE TRABAJO</t>
  </si>
  <si>
    <t>FLUJO DE CAJA</t>
  </si>
  <si>
    <t>VAN</t>
  </si>
  <si>
    <t>TIR</t>
  </si>
  <si>
    <t>PERIODO DE RECUPERACION DESCONTADO</t>
  </si>
  <si>
    <t>FLUJO DE CAJA DESCONTADO</t>
  </si>
  <si>
    <t>FLUJO DE CAJA DSTDO. ACUMULADO</t>
  </si>
  <si>
    <t>PRD:</t>
  </si>
  <si>
    <t>años</t>
  </si>
  <si>
    <t>Productos vendidos</t>
  </si>
  <si>
    <t>Precio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</si>
  <si>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</si>
  <si>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</si>
  <si>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</si>
  <si>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</si>
  <si>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</si>
  <si>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</si>
  <si>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</si>
  <si>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</si>
  <si>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</si>
  <si>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</si>
  <si>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</si>
  <si>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</si>
  <si>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</si>
  <si>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1</t>
  </si>
  <si>
    <t>Sanduches</t>
  </si>
  <si>
    <t xml:space="preserve">Aplanchado mixto con Supán molde blanco </t>
  </si>
  <si>
    <t>Sánduche de queso ricotta</t>
  </si>
  <si>
    <t>Sánduche vegetariano con Supan Dieta</t>
  </si>
  <si>
    <t>Grillé Le Sándwich</t>
  </si>
  <si>
    <t>Sándwich de pollo Rex con Grilé Le Sándwich Gigante</t>
  </si>
  <si>
    <t>Sánduche triple integral</t>
  </si>
  <si>
    <t>Sándwich de pollo Light</t>
  </si>
  <si>
    <t>Sánduche de mermelada y queso con Grilé Amasado con Leche</t>
  </si>
  <si>
    <t>Sanduche de Jamón y Queso  Amarillo</t>
  </si>
  <si>
    <t>Grile sin Corteza Tricolor</t>
  </si>
  <si>
    <t>Sánduche de pollo</t>
  </si>
  <si>
    <t>Sanduche con queso cheddar y jamón de pierna</t>
  </si>
  <si>
    <t>Braunwich de atún con Braun Miel y Granola.</t>
  </si>
  <si>
    <r>
      <t>Integral con atun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en salsa de mayonesa</t>
    </r>
    <r>
      <rPr>
        <sz val="12"/>
        <rFont val="Times New Roman"/>
        <family val="1"/>
      </rPr>
      <t xml:space="preserve">  </t>
    </r>
  </si>
  <si>
    <t>Cheesecake de maracuyá</t>
  </si>
  <si>
    <t>Tres Leches</t>
  </si>
  <si>
    <t xml:space="preserve">Queso de Leche                                                                                                         </t>
  </si>
  <si>
    <t>Cinnamon Roll</t>
  </si>
  <si>
    <t>Muffin de Manzana</t>
  </si>
  <si>
    <t>Brownies</t>
  </si>
  <si>
    <t>Torta mojada de Chocolate</t>
  </si>
  <si>
    <t>Piña Dorada al Amaretto</t>
  </si>
  <si>
    <t>Higos con Rompope</t>
  </si>
  <si>
    <t>Torta de Cerezas con Licor</t>
  </si>
  <si>
    <t>Torta de manjar</t>
  </si>
  <si>
    <t>Torta de manzana y nueces</t>
  </si>
  <si>
    <t>Postres</t>
  </si>
  <si>
    <t>Frapuccino de café</t>
  </si>
  <si>
    <t xml:space="preserve">Mocca Frapuccino </t>
  </si>
  <si>
    <t>Frapuccino de caramelo</t>
  </si>
  <si>
    <t>Milkshake</t>
  </si>
  <si>
    <t>Bebidas frias</t>
  </si>
  <si>
    <t>Café tradicional</t>
  </si>
  <si>
    <t>Café Amaretto</t>
  </si>
  <si>
    <t>Capuccino rompope</t>
  </si>
  <si>
    <t>Mochaccino</t>
  </si>
  <si>
    <t>Caramelo Macchiato o Manchado</t>
  </si>
  <si>
    <t>Café Latte</t>
  </si>
  <si>
    <t>Cappuccino</t>
  </si>
  <si>
    <t>Café Mocha</t>
  </si>
  <si>
    <t>Espresso</t>
  </si>
  <si>
    <t>Vainilla Latte</t>
  </si>
  <si>
    <t>Chocolate caliente</t>
  </si>
  <si>
    <t>Chocolate caliente con caramelo</t>
  </si>
  <si>
    <t>Bebidas Calientes</t>
  </si>
  <si>
    <t>Costos</t>
  </si>
  <si>
    <t>Ingresos $</t>
  </si>
  <si>
    <t>Energia Electrica</t>
  </si>
  <si>
    <t>Agua Potable</t>
  </si>
  <si>
    <t>Servicio Telefonico</t>
  </si>
  <si>
    <t>Alquiler Local</t>
  </si>
  <si>
    <t>GASTOS ADMINISTRATIVOS</t>
  </si>
  <si>
    <t>Centros de Mesa</t>
  </si>
  <si>
    <t>Total Costos</t>
  </si>
  <si>
    <t>Instrucción del personal</t>
  </si>
  <si>
    <t>GASTOS DE MARKETING</t>
  </si>
  <si>
    <t>ENERGIA ELECTRICA</t>
  </si>
  <si>
    <t>AGUA POTABLE</t>
  </si>
  <si>
    <t>SERVICIO TELEFONICO</t>
  </si>
  <si>
    <t>Costos Administrativos</t>
  </si>
  <si>
    <t>Gastos de Marketing</t>
  </si>
  <si>
    <t>EGRESO MENSUAL</t>
  </si>
  <si>
    <t>INGRESO MENSUAL</t>
  </si>
  <si>
    <t>SALDO MENSUAL</t>
  </si>
  <si>
    <t>SALDO ACUMULADO</t>
  </si>
  <si>
    <t>MES</t>
  </si>
  <si>
    <t>Precio Promedio</t>
  </si>
  <si>
    <t>Total</t>
  </si>
  <si>
    <t>Porcentajes</t>
  </si>
  <si>
    <t>Silla</t>
  </si>
  <si>
    <t>Impresora</t>
  </si>
  <si>
    <t>PRESTAMO</t>
  </si>
  <si>
    <t>AMORTIZACION</t>
  </si>
  <si>
    <t>Año</t>
  </si>
  <si>
    <t>Tasa de Descuento</t>
  </si>
  <si>
    <t>CUOTA</t>
  </si>
  <si>
    <t>SALDO</t>
  </si>
  <si>
    <t>INTERESES</t>
  </si>
  <si>
    <t>Inversion inicial</t>
  </si>
  <si>
    <t>Capital de trabajo</t>
  </si>
  <si>
    <t xml:space="preserve">Tasa </t>
  </si>
  <si>
    <t>PRODUCTOS VENDIDOS</t>
  </si>
  <si>
    <t>PRECIO PROMEDIO</t>
  </si>
  <si>
    <t>FLUJO DE CAJA PURO</t>
  </si>
  <si>
    <t>Costo</t>
  </si>
  <si>
    <t>Costos Fijos</t>
  </si>
  <si>
    <t>Bebidas Frias</t>
  </si>
  <si>
    <t>Costos Variables</t>
  </si>
  <si>
    <t>Sanduche</t>
  </si>
  <si>
    <t xml:space="preserve">COSTOS </t>
  </si>
  <si>
    <t>COSTOS VARIABLES</t>
  </si>
  <si>
    <t>SANDUCHES</t>
  </si>
  <si>
    <t>POSTRES</t>
  </si>
  <si>
    <t>BEBIDAS FRIAS</t>
  </si>
  <si>
    <t>BEBIDAS CALIENTES</t>
  </si>
  <si>
    <t>COSTOS FIJOS</t>
  </si>
  <si>
    <t xml:space="preserve">TASA DE DESCUENTO PROYECTO </t>
  </si>
  <si>
    <t>DEPRECIACIÓN</t>
  </si>
  <si>
    <t>CANTIDAD</t>
  </si>
  <si>
    <t>ACTIVOS</t>
  </si>
  <si>
    <t>V.U</t>
  </si>
  <si>
    <t>Valor Unitario</t>
  </si>
  <si>
    <t>Valor Total</t>
  </si>
  <si>
    <t>Valor Residual</t>
  </si>
  <si>
    <t>Dep. Anual unitaria</t>
  </si>
  <si>
    <t>Dep. Anual total</t>
  </si>
  <si>
    <t>Valor Residual total</t>
  </si>
  <si>
    <t>Inversión para recompra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</si>
  <si>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El Valor Residual se considera de un 10% a un 20%, en vista de que la ley no establece un porcentaje fijo. Es la cantidad neta que su v.u; genralmente es insignificante</t>
    </r>
  </si>
  <si>
    <t>la empresa espera obtener por un activo al final de su V.U. Generalmente es insignificante y puede pasarse por alto.</t>
  </si>
  <si>
    <t>Depreciación de Activos Fijos</t>
  </si>
  <si>
    <t>AÑOS</t>
  </si>
  <si>
    <t>Depreciación anual</t>
  </si>
  <si>
    <t>TOTAL</t>
  </si>
  <si>
    <t>REPOSICION MAQUINAS</t>
  </si>
  <si>
    <t xml:space="preserve">Re </t>
  </si>
  <si>
    <t>Patrimonio</t>
  </si>
  <si>
    <t>Rd</t>
  </si>
  <si>
    <t>Deuda</t>
  </si>
  <si>
    <t>Rf</t>
  </si>
  <si>
    <t>Rm</t>
  </si>
  <si>
    <t>Beta</t>
  </si>
  <si>
    <t>Riesgo País</t>
  </si>
  <si>
    <t>PPCC</t>
  </si>
  <si>
    <t>Dep. anual-Valor residual</t>
  </si>
  <si>
    <t>APORTACIÓN 15%</t>
  </si>
  <si>
    <t>PAGOS</t>
  </si>
  <si>
    <t>INSTRUCCIÓN Y CAPACITACION DEL PERSONAL</t>
  </si>
  <si>
    <t>Bebidas Frías</t>
  </si>
  <si>
    <t>Meses</t>
  </si>
  <si>
    <t>Distribución de productos vendidos mensual</t>
  </si>
  <si>
    <t>Distribución de productos vendidos anual</t>
  </si>
  <si>
    <t>Costos Promedios</t>
  </si>
  <si>
    <t>Costo promedio anual</t>
  </si>
  <si>
    <t>Precio promedio anual</t>
  </si>
  <si>
    <t>Inflación Anual           3.29%</t>
  </si>
  <si>
    <t>Precio Promedio Máximo</t>
  </si>
  <si>
    <t>Valor a financiar (60%)</t>
  </si>
  <si>
    <t>COSTOS SEMI.VARIABLES</t>
  </si>
  <si>
    <t>COSTOS SEMI-VARIABLES</t>
  </si>
  <si>
    <r>
      <rPr>
        <vertAlign val="subscript"/>
        <sz val="8"/>
        <color indexed="8"/>
        <rFont val="Arial"/>
        <family val="2"/>
      </rPr>
      <t>Re</t>
    </r>
    <r>
      <rPr>
        <sz val="8"/>
        <color indexed="8"/>
        <rFont val="Arial"/>
        <family val="2"/>
      </rPr>
      <t xml:space="preserve"> = r</t>
    </r>
    <r>
      <rPr>
        <vertAlign val="subscript"/>
        <sz val="8"/>
        <color indexed="8"/>
        <rFont val="Arial"/>
        <family val="2"/>
      </rPr>
      <t>f</t>
    </r>
    <r>
      <rPr>
        <sz val="8"/>
        <color indexed="8"/>
        <rFont val="Arial"/>
        <family val="2"/>
      </rPr>
      <t xml:space="preserve"> + b (r</t>
    </r>
    <r>
      <rPr>
        <vertAlign val="subscript"/>
        <sz val="8"/>
        <color indexed="8"/>
        <rFont val="Arial"/>
        <family val="2"/>
      </rPr>
      <t>m</t>
    </r>
    <r>
      <rPr>
        <sz val="8"/>
        <color indexed="8"/>
        <rFont val="Arial"/>
        <family val="2"/>
      </rPr>
      <t xml:space="preserve"> –  r</t>
    </r>
    <r>
      <rPr>
        <vertAlign val="subscript"/>
        <sz val="8"/>
        <color indexed="8"/>
        <rFont val="Arial"/>
        <family val="2"/>
      </rPr>
      <t>f</t>
    </r>
    <r>
      <rPr>
        <sz val="8"/>
        <color indexed="8"/>
        <rFont val="Arial"/>
        <family val="2"/>
      </rPr>
      <t xml:space="preserve"> )</t>
    </r>
  </si>
  <si>
    <t>FLUJO DEL INVERSIONISTA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</si>
</sst>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300A]\ #,##0.00"/>
    <numFmt numFmtId="181" formatCode="_-* #,##0\ _€_-;\-* #,##0\ _€_-;_-* &quot;-&quot;??\ _€_-;_-@_-"/>
    <numFmt numFmtId="182" formatCode="_([$$-300A]\ * #,##0.00_);_([$$-300A]\ * \(#,##0.00\);_([$$-300A]\ * &quot;-&quot;??_);_(@_)"/>
    <numFmt numFmtId="183" formatCode="_ * #,##0.0_ ;_ * \-#,##0.0_ ;_ * &quot;-&quot;?_ ;_ @_ "/>
    <numFmt numFmtId="184" formatCode="0.0%"/>
    <numFmt numFmtId="185" formatCode="_ [$$-300A]\ * #,##0.00_ ;_ [$$-300A]\ * \-#,##0.00_ ;_ [$$-300A]\ * &quot;-&quot;??_ ;_ @_ "/>
    <numFmt numFmtId="186" formatCode="_-[$$-300A]\ * #,##0.00_ ;_-[$$-300A]\ * \-#,##0.00\ ;_-[$$-300A]\ * &quot;-&quot;??_ ;_-@_ "/>
    <numFmt numFmtId="187" formatCode="[$-C0A]dddd\,\ dd&quot; de &quot;mmmm&quot; de &quot;yyyy"/>
    <numFmt numFmtId="188" formatCode="_-* #,##0.000\ _€_-;\-* #,##0.000\ _€_-;_-* &quot;-&quot;??\ _€_-;_-@_-"/>
    <numFmt numFmtId="189" formatCode="[$$-409]#,##0.00"/>
    <numFmt numFmtId="190" formatCode="#,##0.00\ &quot;€&quot;"/>
    <numFmt numFmtId="191" formatCode="&quot;$&quot;\ #,##0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8.5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u val="single"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b/>
      <sz val="14"/>
      <color indexed="18"/>
      <name val="Arial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ndalus"/>
      <family val="0"/>
    </font>
    <font>
      <sz val="12"/>
      <name val="Andalus"/>
      <family val="0"/>
    </font>
    <font>
      <b/>
      <sz val="12"/>
      <name val="Andalus"/>
      <family val="0"/>
    </font>
    <font>
      <b/>
      <sz val="12"/>
      <color indexed="8"/>
      <name val="Andalus"/>
      <family val="0"/>
    </font>
    <font>
      <b/>
      <sz val="16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0" fillId="0" borderId="18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2" fontId="6" fillId="0" borderId="16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7" fillId="0" borderId="14" xfId="0" applyFont="1" applyBorder="1" applyAlignment="1">
      <alignment wrapText="1"/>
    </xf>
    <xf numFmtId="2" fontId="6" fillId="0" borderId="17" xfId="0" applyNumberFormat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7" fillId="0" borderId="18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82" fontId="0" fillId="0" borderId="0" xfId="44" applyNumberFormat="1" applyFont="1" applyAlignment="1">
      <alignment/>
    </xf>
    <xf numFmtId="182" fontId="0" fillId="0" borderId="0" xfId="0" applyNumberFormat="1" applyBorder="1" applyAlignment="1">
      <alignment horizontal="center"/>
    </xf>
    <xf numFmtId="182" fontId="0" fillId="0" borderId="0" xfId="0" applyNumberFormat="1" applyAlignment="1">
      <alignment/>
    </xf>
    <xf numFmtId="182" fontId="4" fillId="0" borderId="0" xfId="0" applyNumberFormat="1" applyFont="1" applyBorder="1" applyAlignment="1">
      <alignment horizontal="center"/>
    </xf>
    <xf numFmtId="182" fontId="4" fillId="0" borderId="0" xfId="44" applyNumberFormat="1" applyFont="1" applyBorder="1" applyAlignment="1">
      <alignment horizontal="center"/>
    </xf>
    <xf numFmtId="182" fontId="0" fillId="0" borderId="0" xfId="0" applyNumberFormat="1" applyFont="1" applyAlignment="1">
      <alignment/>
    </xf>
    <xf numFmtId="182" fontId="0" fillId="0" borderId="0" xfId="0" applyNumberFormat="1" applyBorder="1" applyAlignment="1">
      <alignment/>
    </xf>
    <xf numFmtId="182" fontId="0" fillId="0" borderId="0" xfId="44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3" fillId="0" borderId="23" xfId="0" applyFont="1" applyFill="1" applyBorder="1" applyAlignment="1">
      <alignment/>
    </xf>
    <xf numFmtId="179" fontId="3" fillId="0" borderId="24" xfId="0" applyNumberFormat="1" applyFont="1" applyBorder="1" applyAlignment="1">
      <alignment/>
    </xf>
    <xf numFmtId="0" fontId="13" fillId="0" borderId="25" xfId="0" applyFont="1" applyFill="1" applyBorder="1" applyAlignment="1">
      <alignment/>
    </xf>
    <xf numFmtId="179" fontId="13" fillId="0" borderId="26" xfId="0" applyNumberFormat="1" applyFont="1" applyBorder="1" applyAlignment="1">
      <alignment/>
    </xf>
    <xf numFmtId="179" fontId="13" fillId="0" borderId="26" xfId="0" applyNumberFormat="1" applyFont="1" applyFill="1" applyBorder="1" applyAlignment="1">
      <alignment/>
    </xf>
    <xf numFmtId="179" fontId="13" fillId="0" borderId="27" xfId="0" applyNumberFormat="1" applyFont="1" applyBorder="1" applyAlignment="1">
      <alignment/>
    </xf>
    <xf numFmtId="0" fontId="13" fillId="0" borderId="28" xfId="0" applyFont="1" applyFill="1" applyBorder="1" applyAlignment="1">
      <alignment/>
    </xf>
    <xf numFmtId="179" fontId="3" fillId="0" borderId="29" xfId="0" applyNumberFormat="1" applyFont="1" applyBorder="1" applyAlignment="1">
      <alignment/>
    </xf>
    <xf numFmtId="179" fontId="3" fillId="0" borderId="30" xfId="0" applyNumberFormat="1" applyFont="1" applyBorder="1" applyAlignment="1">
      <alignment/>
    </xf>
    <xf numFmtId="0" fontId="13" fillId="0" borderId="31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79" fontId="3" fillId="0" borderId="34" xfId="0" applyNumberFormat="1" applyFont="1" applyBorder="1" applyAlignment="1">
      <alignment/>
    </xf>
    <xf numFmtId="179" fontId="13" fillId="33" borderId="35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179" fontId="13" fillId="0" borderId="35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6" xfId="0" applyFont="1" applyBorder="1" applyAlignment="1">
      <alignment/>
    </xf>
    <xf numFmtId="182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182" fontId="6" fillId="0" borderId="3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10" fillId="34" borderId="10" xfId="0" applyFont="1" applyFill="1" applyBorder="1" applyAlignment="1">
      <alignment/>
    </xf>
    <xf numFmtId="182" fontId="10" fillId="34" borderId="14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10" fontId="10" fillId="35" borderId="40" xfId="0" applyNumberFormat="1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9" fontId="10" fillId="35" borderId="37" xfId="59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44" xfId="0" applyFont="1" applyBorder="1" applyAlignment="1">
      <alignment/>
    </xf>
    <xf numFmtId="2" fontId="6" fillId="0" borderId="45" xfId="0" applyNumberFormat="1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7" fillId="0" borderId="37" xfId="0" applyFont="1" applyBorder="1" applyAlignment="1">
      <alignment wrapText="1"/>
    </xf>
    <xf numFmtId="2" fontId="6" fillId="0" borderId="37" xfId="0" applyNumberFormat="1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center"/>
    </xf>
    <xf numFmtId="182" fontId="4" fillId="0" borderId="44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180" fontId="22" fillId="33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4" fillId="36" borderId="14" xfId="0" applyFont="1" applyFill="1" applyBorder="1" applyAlignment="1">
      <alignment horizontal="center"/>
    </xf>
    <xf numFmtId="182" fontId="0" fillId="0" borderId="3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82" fontId="6" fillId="33" borderId="22" xfId="0" applyNumberFormat="1" applyFont="1" applyFill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182" fontId="0" fillId="0" borderId="22" xfId="0" applyNumberFormat="1" applyBorder="1" applyAlignment="1">
      <alignment/>
    </xf>
    <xf numFmtId="182" fontId="0" fillId="0" borderId="24" xfId="0" applyNumberFormat="1" applyBorder="1" applyAlignment="1">
      <alignment/>
    </xf>
    <xf numFmtId="0" fontId="0" fillId="0" borderId="26" xfId="0" applyBorder="1" applyAlignment="1">
      <alignment horizontal="center"/>
    </xf>
    <xf numFmtId="182" fontId="6" fillId="33" borderId="26" xfId="0" applyNumberFormat="1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82" fontId="0" fillId="0" borderId="26" xfId="0" applyNumberFormat="1" applyBorder="1" applyAlignment="1">
      <alignment/>
    </xf>
    <xf numFmtId="182" fontId="0" fillId="0" borderId="47" xfId="0" applyNumberFormat="1" applyBorder="1" applyAlignment="1">
      <alignment/>
    </xf>
    <xf numFmtId="182" fontId="0" fillId="0" borderId="2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36" borderId="31" xfId="0" applyFont="1" applyFill="1" applyBorder="1" applyAlignment="1">
      <alignment horizontal="center"/>
    </xf>
    <xf numFmtId="0" fontId="27" fillId="36" borderId="20" xfId="0" applyFont="1" applyFill="1" applyBorder="1" applyAlignment="1">
      <alignment horizontal="center"/>
    </xf>
    <xf numFmtId="0" fontId="27" fillId="36" borderId="21" xfId="0" applyFont="1" applyFill="1" applyBorder="1" applyAlignment="1">
      <alignment horizontal="center"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3" xfId="0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0" fontId="11" fillId="36" borderId="10" xfId="0" applyFont="1" applyFill="1" applyBorder="1" applyAlignment="1">
      <alignment horizontal="center"/>
    </xf>
    <xf numFmtId="2" fontId="4" fillId="36" borderId="20" xfId="0" applyNumberFormat="1" applyFont="1" applyFill="1" applyBorder="1" applyAlignment="1">
      <alignment/>
    </xf>
    <xf numFmtId="4" fontId="4" fillId="36" borderId="20" xfId="0" applyNumberFormat="1" applyFont="1" applyFill="1" applyBorder="1" applyAlignment="1">
      <alignment/>
    </xf>
    <xf numFmtId="0" fontId="4" fillId="36" borderId="20" xfId="0" applyFont="1" applyFill="1" applyBorder="1" applyAlignment="1">
      <alignment/>
    </xf>
    <xf numFmtId="2" fontId="4" fillId="36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82" fontId="6" fillId="0" borderId="0" xfId="44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182" fontId="6" fillId="33" borderId="42" xfId="0" applyNumberFormat="1" applyFont="1" applyFill="1" applyBorder="1" applyAlignment="1">
      <alignment horizontal="center"/>
    </xf>
    <xf numFmtId="182" fontId="0" fillId="0" borderId="49" xfId="0" applyNumberFormat="1" applyBorder="1" applyAlignment="1">
      <alignment/>
    </xf>
    <xf numFmtId="9" fontId="0" fillId="0" borderId="42" xfId="0" applyNumberFormat="1" applyBorder="1" applyAlignment="1">
      <alignment horizontal="center"/>
    </xf>
    <xf numFmtId="182" fontId="0" fillId="0" borderId="42" xfId="0" applyNumberFormat="1" applyBorder="1" applyAlignment="1">
      <alignment/>
    </xf>
    <xf numFmtId="182" fontId="0" fillId="0" borderId="43" xfId="0" applyNumberFormat="1" applyBorder="1" applyAlignment="1">
      <alignment/>
    </xf>
    <xf numFmtId="0" fontId="0" fillId="0" borderId="25" xfId="0" applyBorder="1" applyAlignment="1">
      <alignment/>
    </xf>
    <xf numFmtId="0" fontId="10" fillId="36" borderId="31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8" xfId="0" applyFont="1" applyBorder="1" applyAlignment="1">
      <alignment/>
    </xf>
    <xf numFmtId="0" fontId="10" fillId="36" borderId="10" xfId="0" applyFont="1" applyFill="1" applyBorder="1" applyAlignment="1">
      <alignment horizontal="center"/>
    </xf>
    <xf numFmtId="2" fontId="29" fillId="36" borderId="20" xfId="0" applyNumberFormat="1" applyFont="1" applyFill="1" applyBorder="1" applyAlignment="1">
      <alignment/>
    </xf>
    <xf numFmtId="4" fontId="29" fillId="36" borderId="20" xfId="0" applyNumberFormat="1" applyFont="1" applyFill="1" applyBorder="1" applyAlignment="1">
      <alignment/>
    </xf>
    <xf numFmtId="0" fontId="29" fillId="36" borderId="20" xfId="0" applyFont="1" applyFill="1" applyBorder="1" applyAlignment="1">
      <alignment/>
    </xf>
    <xf numFmtId="2" fontId="29" fillId="36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10" fillId="35" borderId="14" xfId="59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2" fontId="30" fillId="0" borderId="42" xfId="0" applyNumberFormat="1" applyFont="1" applyBorder="1" applyAlignment="1">
      <alignment horizontal="center"/>
    </xf>
    <xf numFmtId="2" fontId="30" fillId="0" borderId="26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2" fontId="30" fillId="0" borderId="41" xfId="0" applyNumberFormat="1" applyFont="1" applyBorder="1" applyAlignment="1">
      <alignment horizontal="center"/>
    </xf>
    <xf numFmtId="2" fontId="30" fillId="0" borderId="23" xfId="0" applyNumberFormat="1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74" fillId="0" borderId="0" xfId="53" applyFont="1" applyAlignment="1" applyProtection="1">
      <alignment/>
      <protection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2" fontId="31" fillId="6" borderId="2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5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3" xfId="0" applyFont="1" applyBorder="1" applyAlignment="1">
      <alignment/>
    </xf>
    <xf numFmtId="0" fontId="33" fillId="34" borderId="29" xfId="0" applyFont="1" applyFill="1" applyBorder="1" applyAlignment="1">
      <alignment/>
    </xf>
    <xf numFmtId="179" fontId="33" fillId="34" borderId="29" xfId="42" applyFont="1" applyFill="1" applyBorder="1" applyAlignment="1">
      <alignment/>
    </xf>
    <xf numFmtId="0" fontId="32" fillId="0" borderId="22" xfId="0" applyFont="1" applyBorder="1" applyAlignment="1">
      <alignment/>
    </xf>
    <xf numFmtId="0" fontId="33" fillId="0" borderId="22" xfId="0" applyFont="1" applyBorder="1" applyAlignment="1">
      <alignment/>
    </xf>
    <xf numFmtId="179" fontId="32" fillId="0" borderId="22" xfId="42" applyFont="1" applyBorder="1" applyAlignment="1">
      <alignment vertical="center"/>
    </xf>
    <xf numFmtId="179" fontId="2" fillId="0" borderId="22" xfId="42" applyFont="1" applyBorder="1" applyAlignment="1">
      <alignment vertical="center"/>
    </xf>
    <xf numFmtId="179" fontId="2" fillId="0" borderId="22" xfId="42" applyFont="1" applyBorder="1" applyAlignment="1">
      <alignment/>
    </xf>
    <xf numFmtId="0" fontId="2" fillId="0" borderId="52" xfId="0" applyFont="1" applyFill="1" applyBorder="1" applyAlignment="1">
      <alignment/>
    </xf>
    <xf numFmtId="179" fontId="34" fillId="0" borderId="52" xfId="42" applyFont="1" applyBorder="1" applyAlignment="1">
      <alignment/>
    </xf>
    <xf numFmtId="0" fontId="2" fillId="0" borderId="22" xfId="0" applyFont="1" applyFill="1" applyBorder="1" applyAlignment="1">
      <alignment/>
    </xf>
    <xf numFmtId="179" fontId="34" fillId="0" borderId="22" xfId="42" applyFont="1" applyBorder="1" applyAlignment="1">
      <alignment/>
    </xf>
    <xf numFmtId="0" fontId="33" fillId="0" borderId="0" xfId="0" applyFont="1" applyAlignment="1">
      <alignment/>
    </xf>
    <xf numFmtId="0" fontId="32" fillId="0" borderId="51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79" fontId="2" fillId="0" borderId="51" xfId="0" applyNumberFormat="1" applyFont="1" applyBorder="1" applyAlignment="1">
      <alignment/>
    </xf>
    <xf numFmtId="0" fontId="33" fillId="34" borderId="31" xfId="0" applyFont="1" applyFill="1" applyBorder="1" applyAlignment="1">
      <alignment/>
    </xf>
    <xf numFmtId="0" fontId="33" fillId="34" borderId="20" xfId="0" applyFont="1" applyFill="1" applyBorder="1" applyAlignment="1">
      <alignment/>
    </xf>
    <xf numFmtId="179" fontId="33" fillId="34" borderId="20" xfId="0" applyNumberFormat="1" applyFont="1" applyFill="1" applyBorder="1" applyAlignment="1">
      <alignment/>
    </xf>
    <xf numFmtId="179" fontId="33" fillId="34" borderId="21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79" fontId="2" fillId="0" borderId="29" xfId="0" applyNumberFormat="1" applyFont="1" applyBorder="1" applyAlignment="1">
      <alignment/>
    </xf>
    <xf numFmtId="179" fontId="32" fillId="0" borderId="22" xfId="42" applyFont="1" applyFill="1" applyBorder="1" applyAlignment="1">
      <alignment/>
    </xf>
    <xf numFmtId="0" fontId="2" fillId="0" borderId="52" xfId="0" applyFont="1" applyBorder="1" applyAlignment="1">
      <alignment/>
    </xf>
    <xf numFmtId="179" fontId="2" fillId="0" borderId="34" xfId="42" applyFont="1" applyFill="1" applyBorder="1" applyAlignment="1">
      <alignment/>
    </xf>
    <xf numFmtId="0" fontId="2" fillId="0" borderId="53" xfId="0" applyFont="1" applyBorder="1" applyAlignment="1">
      <alignment/>
    </xf>
    <xf numFmtId="179" fontId="2" fillId="0" borderId="22" xfId="0" applyNumberFormat="1" applyFont="1" applyBorder="1" applyAlignment="1">
      <alignment/>
    </xf>
    <xf numFmtId="179" fontId="33" fillId="34" borderId="20" xfId="42" applyFont="1" applyFill="1" applyBorder="1" applyAlignment="1">
      <alignment/>
    </xf>
    <xf numFmtId="179" fontId="33" fillId="34" borderId="21" xfId="42" applyFont="1" applyFill="1" applyBorder="1" applyAlignment="1">
      <alignment/>
    </xf>
    <xf numFmtId="0" fontId="33" fillId="33" borderId="19" xfId="0" applyFont="1" applyFill="1" applyBorder="1" applyAlignment="1">
      <alignment/>
    </xf>
    <xf numFmtId="4" fontId="33" fillId="37" borderId="15" xfId="44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3" fillId="33" borderId="17" xfId="0" applyFont="1" applyFill="1" applyBorder="1" applyAlignment="1">
      <alignment/>
    </xf>
    <xf numFmtId="9" fontId="33" fillId="37" borderId="17" xfId="42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9" fontId="32" fillId="35" borderId="40" xfId="42" applyNumberFormat="1" applyFont="1" applyFill="1" applyBorder="1" applyAlignment="1">
      <alignment horizontal="center"/>
    </xf>
    <xf numFmtId="9" fontId="32" fillId="0" borderId="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179" fontId="2" fillId="0" borderId="30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179" fontId="34" fillId="0" borderId="26" xfId="0" applyNumberFormat="1" applyFont="1" applyBorder="1" applyAlignment="1">
      <alignment/>
    </xf>
    <xf numFmtId="179" fontId="34" fillId="0" borderId="35" xfId="0" applyNumberFormat="1" applyFont="1" applyBorder="1" applyAlignment="1">
      <alignment/>
    </xf>
    <xf numFmtId="179" fontId="34" fillId="38" borderId="35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9" fontId="33" fillId="0" borderId="0" xfId="0" applyNumberFormat="1" applyFont="1" applyBorder="1" applyAlignment="1">
      <alignment/>
    </xf>
    <xf numFmtId="179" fontId="33" fillId="39" borderId="10" xfId="0" applyNumberFormat="1" applyFont="1" applyFill="1" applyBorder="1" applyAlignment="1">
      <alignment/>
    </xf>
    <xf numFmtId="179" fontId="33" fillId="39" borderId="32" xfId="0" applyNumberFormat="1" applyFont="1" applyFill="1" applyBorder="1" applyAlignment="1">
      <alignment/>
    </xf>
    <xf numFmtId="179" fontId="33" fillId="39" borderId="40" xfId="0" applyNumberFormat="1" applyFont="1" applyFill="1" applyBorder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 horizontal="right"/>
    </xf>
    <xf numFmtId="10" fontId="75" fillId="0" borderId="0" xfId="59" applyNumberFormat="1" applyFont="1" applyAlignment="1">
      <alignment/>
    </xf>
    <xf numFmtId="10" fontId="75" fillId="0" borderId="0" xfId="0" applyNumberFormat="1" applyFont="1" applyAlignment="1">
      <alignment/>
    </xf>
    <xf numFmtId="0" fontId="77" fillId="0" borderId="22" xfId="0" applyFont="1" applyBorder="1" applyAlignment="1">
      <alignment/>
    </xf>
    <xf numFmtId="9" fontId="75" fillId="0" borderId="22" xfId="0" applyNumberFormat="1" applyFont="1" applyBorder="1" applyAlignment="1">
      <alignment/>
    </xf>
    <xf numFmtId="0" fontId="75" fillId="40" borderId="41" xfId="0" applyFont="1" applyFill="1" applyBorder="1" applyAlignment="1">
      <alignment/>
    </xf>
    <xf numFmtId="10" fontId="75" fillId="0" borderId="43" xfId="0" applyNumberFormat="1" applyFont="1" applyBorder="1" applyAlignment="1">
      <alignment/>
    </xf>
    <xf numFmtId="0" fontId="75" fillId="40" borderId="23" xfId="0" applyFont="1" applyFill="1" applyBorder="1" applyAlignment="1">
      <alignment/>
    </xf>
    <xf numFmtId="10" fontId="75" fillId="0" borderId="24" xfId="0" applyNumberFormat="1" applyFont="1" applyBorder="1" applyAlignment="1">
      <alignment/>
    </xf>
    <xf numFmtId="0" fontId="75" fillId="0" borderId="54" xfId="0" applyFont="1" applyBorder="1" applyAlignment="1">
      <alignment/>
    </xf>
    <xf numFmtId="10" fontId="75" fillId="0" borderId="24" xfId="59" applyNumberFormat="1" applyFont="1" applyBorder="1" applyAlignment="1">
      <alignment/>
    </xf>
    <xf numFmtId="10" fontId="75" fillId="0" borderId="0" xfId="59" applyNumberFormat="1" applyFont="1" applyBorder="1" applyAlignment="1">
      <alignment/>
    </xf>
    <xf numFmtId="0" fontId="77" fillId="40" borderId="25" xfId="0" applyFont="1" applyFill="1" applyBorder="1" applyAlignment="1">
      <alignment/>
    </xf>
    <xf numFmtId="10" fontId="77" fillId="0" borderId="27" xfId="0" applyNumberFormat="1" applyFont="1" applyBorder="1" applyAlignment="1">
      <alignment/>
    </xf>
    <xf numFmtId="10" fontId="77" fillId="0" borderId="0" xfId="0" applyNumberFormat="1" applyFont="1" applyBorder="1" applyAlignment="1">
      <alignment/>
    </xf>
    <xf numFmtId="0" fontId="32" fillId="38" borderId="31" xfId="0" applyFont="1" applyFill="1" applyBorder="1" applyAlignment="1">
      <alignment horizontal="center"/>
    </xf>
    <xf numFmtId="0" fontId="33" fillId="38" borderId="20" xfId="0" applyFont="1" applyFill="1" applyBorder="1" applyAlignment="1">
      <alignment horizontal="center"/>
    </xf>
    <xf numFmtId="0" fontId="33" fillId="38" borderId="21" xfId="0" applyFont="1" applyFill="1" applyBorder="1" applyAlignment="1">
      <alignment horizontal="center"/>
    </xf>
    <xf numFmtId="0" fontId="33" fillId="38" borderId="31" xfId="0" applyFont="1" applyFill="1" applyBorder="1" applyAlignment="1">
      <alignment/>
    </xf>
    <xf numFmtId="0" fontId="33" fillId="38" borderId="20" xfId="0" applyFont="1" applyFill="1" applyBorder="1" applyAlignment="1">
      <alignment/>
    </xf>
    <xf numFmtId="179" fontId="33" fillId="38" borderId="20" xfId="42" applyFont="1" applyFill="1" applyBorder="1" applyAlignment="1">
      <alignment/>
    </xf>
    <xf numFmtId="179" fontId="33" fillId="38" borderId="21" xfId="42" applyFont="1" applyFill="1" applyBorder="1" applyAlignment="1">
      <alignment/>
    </xf>
    <xf numFmtId="0" fontId="33" fillId="0" borderId="31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179" fontId="33" fillId="0" borderId="20" xfId="0" applyNumberFormat="1" applyFont="1" applyBorder="1" applyAlignment="1">
      <alignment/>
    </xf>
    <xf numFmtId="179" fontId="33" fillId="0" borderId="21" xfId="0" applyNumberFormat="1" applyFont="1" applyBorder="1" applyAlignment="1">
      <alignment/>
    </xf>
    <xf numFmtId="0" fontId="33" fillId="38" borderId="55" xfId="0" applyFont="1" applyFill="1" applyBorder="1" applyAlignment="1">
      <alignment/>
    </xf>
    <xf numFmtId="0" fontId="33" fillId="38" borderId="56" xfId="0" applyFont="1" applyFill="1" applyBorder="1" applyAlignment="1">
      <alignment/>
    </xf>
    <xf numFmtId="179" fontId="33" fillId="38" borderId="56" xfId="0" applyNumberFormat="1" applyFont="1" applyFill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35" xfId="0" applyFont="1" applyBorder="1" applyAlignment="1">
      <alignment/>
    </xf>
    <xf numFmtId="179" fontId="2" fillId="0" borderId="31" xfId="42" applyFont="1" applyBorder="1" applyAlignment="1">
      <alignment/>
    </xf>
    <xf numFmtId="179" fontId="2" fillId="0" borderId="20" xfId="42" applyFont="1" applyBorder="1" applyAlignment="1">
      <alignment/>
    </xf>
    <xf numFmtId="179" fontId="2" fillId="0" borderId="21" xfId="42" applyFont="1" applyBorder="1" applyAlignment="1">
      <alignment/>
    </xf>
    <xf numFmtId="181" fontId="32" fillId="0" borderId="57" xfId="42" applyNumberFormat="1" applyFont="1" applyBorder="1" applyAlignment="1">
      <alignment horizontal="center"/>
    </xf>
    <xf numFmtId="179" fontId="2" fillId="0" borderId="55" xfId="42" applyFont="1" applyBorder="1" applyAlignment="1">
      <alignment/>
    </xf>
    <xf numFmtId="179" fontId="2" fillId="0" borderId="56" xfId="42" applyFont="1" applyBorder="1" applyAlignment="1">
      <alignment/>
    </xf>
    <xf numFmtId="179" fontId="2" fillId="0" borderId="58" xfId="42" applyFont="1" applyBorder="1" applyAlignment="1">
      <alignment/>
    </xf>
    <xf numFmtId="181" fontId="2" fillId="0" borderId="22" xfId="42" applyNumberFormat="1" applyFont="1" applyBorder="1" applyAlignment="1">
      <alignment horizontal="center"/>
    </xf>
    <xf numFmtId="0" fontId="33" fillId="38" borderId="59" xfId="0" applyFont="1" applyFill="1" applyBorder="1" applyAlignment="1">
      <alignment/>
    </xf>
    <xf numFmtId="0" fontId="33" fillId="38" borderId="57" xfId="0" applyFont="1" applyFill="1" applyBorder="1" applyAlignment="1">
      <alignment/>
    </xf>
    <xf numFmtId="179" fontId="33" fillId="38" borderId="57" xfId="0" applyNumberFormat="1" applyFont="1" applyFill="1" applyBorder="1" applyAlignment="1">
      <alignment/>
    </xf>
    <xf numFmtId="179" fontId="33" fillId="38" borderId="60" xfId="0" applyNumberFormat="1" applyFont="1" applyFill="1" applyBorder="1" applyAlignment="1">
      <alignment/>
    </xf>
    <xf numFmtId="0" fontId="33" fillId="0" borderId="22" xfId="0" applyFont="1" applyFill="1" applyBorder="1" applyAlignment="1">
      <alignment/>
    </xf>
    <xf numFmtId="179" fontId="33" fillId="0" borderId="22" xfId="0" applyNumberFormat="1" applyFont="1" applyBorder="1" applyAlignment="1">
      <alignment/>
    </xf>
    <xf numFmtId="181" fontId="2" fillId="0" borderId="52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33" borderId="34" xfId="0" applyFont="1" applyFill="1" applyBorder="1" applyAlignment="1">
      <alignment/>
    </xf>
    <xf numFmtId="0" fontId="22" fillId="33" borderId="62" xfId="0" applyFont="1" applyFill="1" applyBorder="1" applyAlignment="1">
      <alignment/>
    </xf>
    <xf numFmtId="0" fontId="22" fillId="33" borderId="5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61" xfId="0" applyFont="1" applyFill="1" applyBorder="1" applyAlignment="1">
      <alignment horizontal="center"/>
    </xf>
    <xf numFmtId="0" fontId="10" fillId="36" borderId="5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61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61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/>
    </xf>
    <xf numFmtId="9" fontId="10" fillId="35" borderId="37" xfId="59" applyFont="1" applyFill="1" applyBorder="1" applyAlignment="1">
      <alignment horizontal="center"/>
    </xf>
    <xf numFmtId="9" fontId="10" fillId="35" borderId="45" xfId="59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41" borderId="10" xfId="0" applyFont="1" applyFill="1" applyBorder="1" applyAlignment="1">
      <alignment horizontal="center"/>
    </xf>
    <xf numFmtId="0" fontId="32" fillId="41" borderId="61" xfId="0" applyFont="1" applyFill="1" applyBorder="1" applyAlignment="1">
      <alignment horizontal="center"/>
    </xf>
    <xf numFmtId="0" fontId="32" fillId="41" borderId="4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41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6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zoomScale="130" zoomScaleNormal="130" zoomScalePageLayoutView="0" workbookViewId="0" topLeftCell="B6">
      <selection activeCell="F28" sqref="F28"/>
    </sheetView>
  </sheetViews>
  <sheetFormatPr defaultColWidth="11.421875" defaultRowHeight="12.75"/>
  <cols>
    <col min="1" max="1" width="13.7109375" style="120" customWidth="1"/>
    <col min="2" max="2" width="23.57421875" style="120" customWidth="1"/>
    <col min="3" max="3" width="23.140625" style="120" customWidth="1"/>
    <col min="4" max="4" width="20.421875" style="120" customWidth="1"/>
    <col min="5" max="54" width="11.421875" style="120" customWidth="1"/>
    <col min="55" max="16384" width="11.421875" style="121" customWidth="1"/>
  </cols>
  <sheetData>
    <row r="3" ht="12.75" thickBot="1"/>
    <row r="4" spans="1:4" ht="14.25" thickBot="1">
      <c r="A4" s="112" t="s">
        <v>1</v>
      </c>
      <c r="B4" s="112" t="s">
        <v>0</v>
      </c>
      <c r="C4" s="112" t="s">
        <v>2</v>
      </c>
      <c r="D4" s="113" t="s">
        <v>3</v>
      </c>
    </row>
    <row r="5" spans="1:4" ht="14.25" thickBot="1">
      <c r="A5" s="329" t="s">
        <v>28</v>
      </c>
      <c r="B5" s="330"/>
      <c r="C5" s="330"/>
      <c r="D5" s="331"/>
    </row>
    <row r="6" spans="1:8" ht="13.5">
      <c r="A6" s="114">
        <v>2</v>
      </c>
      <c r="B6" s="114" t="s">
        <v>4</v>
      </c>
      <c r="C6" s="114">
        <v>2500</v>
      </c>
      <c r="D6" s="115">
        <f>C6*A6</f>
        <v>5000</v>
      </c>
      <c r="H6" s="122"/>
    </row>
    <row r="7" spans="1:8" ht="13.5">
      <c r="A7" s="116">
        <v>1</v>
      </c>
      <c r="B7" s="116" t="s">
        <v>5</v>
      </c>
      <c r="C7" s="116">
        <v>1600</v>
      </c>
      <c r="D7" s="117">
        <f aca="true" t="shared" si="0" ref="D7:D29">C7*A7</f>
        <v>1600</v>
      </c>
      <c r="H7" s="122"/>
    </row>
    <row r="8" spans="1:8" ht="13.5">
      <c r="A8" s="116">
        <v>1</v>
      </c>
      <c r="B8" s="116" t="s">
        <v>6</v>
      </c>
      <c r="C8" s="116">
        <v>450</v>
      </c>
      <c r="D8" s="117">
        <f t="shared" si="0"/>
        <v>450</v>
      </c>
      <c r="H8" s="122"/>
    </row>
    <row r="9" spans="1:8" ht="13.5">
      <c r="A9" s="116">
        <v>100</v>
      </c>
      <c r="B9" s="116" t="s">
        <v>7</v>
      </c>
      <c r="C9" s="116">
        <v>0.4</v>
      </c>
      <c r="D9" s="117">
        <f t="shared" si="0"/>
        <v>40</v>
      </c>
      <c r="H9" s="122"/>
    </row>
    <row r="10" spans="1:8" ht="13.5">
      <c r="A10" s="116">
        <v>100</v>
      </c>
      <c r="B10" s="116" t="s">
        <v>8</v>
      </c>
      <c r="C10" s="116">
        <v>0.3</v>
      </c>
      <c r="D10" s="117">
        <f t="shared" si="0"/>
        <v>30</v>
      </c>
      <c r="H10" s="122"/>
    </row>
    <row r="11" spans="1:8" ht="13.5">
      <c r="A11" s="116">
        <v>100</v>
      </c>
      <c r="B11" s="116" t="s">
        <v>9</v>
      </c>
      <c r="C11" s="116">
        <v>0.2</v>
      </c>
      <c r="D11" s="117">
        <f t="shared" si="0"/>
        <v>20</v>
      </c>
      <c r="H11" s="122"/>
    </row>
    <row r="12" spans="1:8" ht="13.5">
      <c r="A12" s="116">
        <v>100</v>
      </c>
      <c r="B12" s="116" t="s">
        <v>10</v>
      </c>
      <c r="C12" s="116">
        <v>0.25</v>
      </c>
      <c r="D12" s="117">
        <f t="shared" si="0"/>
        <v>25</v>
      </c>
      <c r="H12" s="122"/>
    </row>
    <row r="13" spans="1:8" ht="13.5">
      <c r="A13" s="116">
        <v>50</v>
      </c>
      <c r="B13" s="116" t="s">
        <v>11</v>
      </c>
      <c r="C13" s="116">
        <v>0.3</v>
      </c>
      <c r="D13" s="117">
        <f t="shared" si="0"/>
        <v>15</v>
      </c>
      <c r="H13" s="122"/>
    </row>
    <row r="14" spans="1:8" ht="13.5">
      <c r="A14" s="116">
        <v>50</v>
      </c>
      <c r="B14" s="116" t="s">
        <v>12</v>
      </c>
      <c r="C14" s="116">
        <v>0.3</v>
      </c>
      <c r="D14" s="117">
        <f t="shared" si="0"/>
        <v>15</v>
      </c>
      <c r="H14" s="122"/>
    </row>
    <row r="15" spans="1:8" ht="13.5">
      <c r="A15" s="116">
        <v>100</v>
      </c>
      <c r="B15" s="116" t="s">
        <v>13</v>
      </c>
      <c r="C15" s="116">
        <v>0.45</v>
      </c>
      <c r="D15" s="117">
        <f t="shared" si="0"/>
        <v>45</v>
      </c>
      <c r="H15" s="122"/>
    </row>
    <row r="16" spans="1:8" ht="13.5">
      <c r="A16" s="116">
        <v>50</v>
      </c>
      <c r="B16" s="116" t="s">
        <v>14</v>
      </c>
      <c r="C16" s="116">
        <v>0.4</v>
      </c>
      <c r="D16" s="117">
        <f t="shared" si="0"/>
        <v>20</v>
      </c>
      <c r="H16" s="122"/>
    </row>
    <row r="17" spans="1:8" ht="13.5">
      <c r="A17" s="116">
        <v>5</v>
      </c>
      <c r="B17" s="116" t="s">
        <v>15</v>
      </c>
      <c r="C17" s="116">
        <v>100</v>
      </c>
      <c r="D17" s="117">
        <f t="shared" si="0"/>
        <v>500</v>
      </c>
      <c r="H17" s="122"/>
    </row>
    <row r="18" spans="1:8" ht="13.5">
      <c r="A18" s="116">
        <v>20</v>
      </c>
      <c r="B18" s="116" t="s">
        <v>16</v>
      </c>
      <c r="C18" s="116">
        <v>45</v>
      </c>
      <c r="D18" s="117">
        <f t="shared" si="0"/>
        <v>900</v>
      </c>
      <c r="H18" s="122"/>
    </row>
    <row r="19" spans="1:8" ht="13.5">
      <c r="A19" s="116">
        <v>15</v>
      </c>
      <c r="B19" s="116" t="s">
        <v>17</v>
      </c>
      <c r="C19" s="116">
        <v>8</v>
      </c>
      <c r="D19" s="117">
        <f t="shared" si="0"/>
        <v>120</v>
      </c>
      <c r="H19" s="122"/>
    </row>
    <row r="20" spans="1:8" ht="13.5">
      <c r="A20" s="116">
        <v>5</v>
      </c>
      <c r="B20" s="116" t="s">
        <v>123</v>
      </c>
      <c r="C20" s="116">
        <v>2.5</v>
      </c>
      <c r="D20" s="117">
        <f t="shared" si="0"/>
        <v>12.5</v>
      </c>
      <c r="H20" s="122"/>
    </row>
    <row r="21" spans="1:8" ht="13.5">
      <c r="A21" s="116">
        <v>8</v>
      </c>
      <c r="B21" s="116" t="s">
        <v>18</v>
      </c>
      <c r="C21" s="116">
        <v>55</v>
      </c>
      <c r="D21" s="117">
        <f t="shared" si="0"/>
        <v>440</v>
      </c>
      <c r="H21" s="122"/>
    </row>
    <row r="22" spans="1:8" ht="13.5">
      <c r="A22" s="116">
        <v>3</v>
      </c>
      <c r="B22" s="116" t="s">
        <v>19</v>
      </c>
      <c r="C22" s="116">
        <v>210</v>
      </c>
      <c r="D22" s="117">
        <f t="shared" si="0"/>
        <v>630</v>
      </c>
      <c r="H22" s="122"/>
    </row>
    <row r="23" spans="1:8" ht="13.5">
      <c r="A23" s="116">
        <v>2</v>
      </c>
      <c r="B23" s="116" t="s">
        <v>20</v>
      </c>
      <c r="C23" s="116">
        <v>160</v>
      </c>
      <c r="D23" s="117">
        <f t="shared" si="0"/>
        <v>320</v>
      </c>
      <c r="H23" s="122"/>
    </row>
    <row r="24" spans="1:8" ht="13.5">
      <c r="A24" s="116">
        <v>2</v>
      </c>
      <c r="B24" s="116" t="s">
        <v>21</v>
      </c>
      <c r="C24" s="116">
        <v>56</v>
      </c>
      <c r="D24" s="117">
        <f t="shared" si="0"/>
        <v>112</v>
      </c>
      <c r="H24" s="122"/>
    </row>
    <row r="25" spans="1:8" ht="13.5">
      <c r="A25" s="116">
        <v>4</v>
      </c>
      <c r="B25" s="116" t="s">
        <v>22</v>
      </c>
      <c r="C25" s="116">
        <v>35</v>
      </c>
      <c r="D25" s="117">
        <f t="shared" si="0"/>
        <v>140</v>
      </c>
      <c r="H25" s="122"/>
    </row>
    <row r="26" spans="1:8" ht="13.5">
      <c r="A26" s="116">
        <v>4</v>
      </c>
      <c r="B26" s="116" t="s">
        <v>23</v>
      </c>
      <c r="C26" s="116">
        <v>30</v>
      </c>
      <c r="D26" s="117">
        <f t="shared" si="0"/>
        <v>120</v>
      </c>
      <c r="H26" s="122"/>
    </row>
    <row r="27" spans="1:8" ht="13.5">
      <c r="A27" s="116">
        <v>2</v>
      </c>
      <c r="B27" s="116" t="s">
        <v>24</v>
      </c>
      <c r="C27" s="116">
        <v>50</v>
      </c>
      <c r="D27" s="117">
        <f t="shared" si="0"/>
        <v>100</v>
      </c>
      <c r="H27" s="122"/>
    </row>
    <row r="28" spans="1:8" ht="13.5">
      <c r="A28" s="116">
        <v>1</v>
      </c>
      <c r="B28" s="116" t="s">
        <v>34</v>
      </c>
      <c r="C28" s="116">
        <v>1350</v>
      </c>
      <c r="D28" s="117">
        <f t="shared" si="0"/>
        <v>1350</v>
      </c>
      <c r="H28" s="122"/>
    </row>
    <row r="29" spans="1:8" ht="14.25" thickBot="1">
      <c r="A29" s="118">
        <v>1</v>
      </c>
      <c r="B29" s="118" t="s">
        <v>25</v>
      </c>
      <c r="C29" s="118">
        <v>600</v>
      </c>
      <c r="D29" s="119">
        <f t="shared" si="0"/>
        <v>600</v>
      </c>
      <c r="H29" s="122"/>
    </row>
    <row r="30" spans="1:8" ht="14.25" thickBot="1">
      <c r="A30" s="329" t="s">
        <v>36</v>
      </c>
      <c r="B30" s="330"/>
      <c r="C30" s="331"/>
      <c r="D30" s="113">
        <f>SUM(D6:D29)</f>
        <v>12604.5</v>
      </c>
      <c r="H30" s="122"/>
    </row>
    <row r="31" spans="1:8" ht="14.25" thickBot="1">
      <c r="A31" s="332"/>
      <c r="B31" s="333"/>
      <c r="C31" s="333"/>
      <c r="D31" s="334"/>
      <c r="H31" s="122"/>
    </row>
    <row r="32" spans="1:8" ht="14.25" thickBot="1">
      <c r="A32" s="329" t="s">
        <v>27</v>
      </c>
      <c r="B32" s="330"/>
      <c r="C32" s="330"/>
      <c r="D32" s="331"/>
      <c r="H32" s="122"/>
    </row>
    <row r="33" spans="1:8" ht="13.5">
      <c r="A33" s="114">
        <v>5</v>
      </c>
      <c r="B33" s="114" t="s">
        <v>29</v>
      </c>
      <c r="C33" s="114">
        <v>383</v>
      </c>
      <c r="D33" s="115">
        <f aca="true" t="shared" si="1" ref="D33:D38">C33*A33</f>
        <v>1915</v>
      </c>
      <c r="H33" s="122"/>
    </row>
    <row r="34" spans="1:8" ht="13.5">
      <c r="A34" s="116">
        <v>4</v>
      </c>
      <c r="B34" s="116" t="s">
        <v>30</v>
      </c>
      <c r="C34" s="116">
        <v>150</v>
      </c>
      <c r="D34" s="117">
        <f t="shared" si="1"/>
        <v>600</v>
      </c>
      <c r="H34" s="122"/>
    </row>
    <row r="35" spans="1:8" ht="13.5">
      <c r="A35" s="116">
        <v>6</v>
      </c>
      <c r="B35" s="116" t="s">
        <v>16</v>
      </c>
      <c r="C35" s="116">
        <v>45</v>
      </c>
      <c r="D35" s="117">
        <f t="shared" si="1"/>
        <v>270</v>
      </c>
      <c r="H35" s="122"/>
    </row>
    <row r="36" spans="1:8" ht="13.5">
      <c r="A36" s="116">
        <v>1</v>
      </c>
      <c r="B36" s="116" t="s">
        <v>31</v>
      </c>
      <c r="C36" s="116">
        <v>180</v>
      </c>
      <c r="D36" s="117">
        <f t="shared" si="1"/>
        <v>180</v>
      </c>
      <c r="H36" s="122"/>
    </row>
    <row r="37" spans="1:8" ht="13.5">
      <c r="A37" s="116">
        <v>1</v>
      </c>
      <c r="B37" s="116" t="s">
        <v>32</v>
      </c>
      <c r="C37" s="116">
        <v>225</v>
      </c>
      <c r="D37" s="117">
        <f t="shared" si="1"/>
        <v>225</v>
      </c>
      <c r="H37" s="122"/>
    </row>
    <row r="38" spans="1:8" ht="14.25" thickBot="1">
      <c r="A38" s="118">
        <v>2</v>
      </c>
      <c r="B38" s="118" t="s">
        <v>33</v>
      </c>
      <c r="C38" s="118">
        <v>15</v>
      </c>
      <c r="D38" s="119">
        <f t="shared" si="1"/>
        <v>30</v>
      </c>
      <c r="H38" s="122"/>
    </row>
    <row r="39" spans="1:8" ht="14.25" thickBot="1">
      <c r="A39" s="329" t="s">
        <v>35</v>
      </c>
      <c r="B39" s="330"/>
      <c r="C39" s="331"/>
      <c r="D39" s="113">
        <f>SUM(D33:D38)</f>
        <v>3220</v>
      </c>
      <c r="H39" s="122"/>
    </row>
    <row r="40" spans="1:4" ht="14.25" thickBot="1">
      <c r="A40" s="329" t="s">
        <v>26</v>
      </c>
      <c r="B40" s="330"/>
      <c r="C40" s="331"/>
      <c r="D40" s="113">
        <f>(D39+D30)</f>
        <v>15824.5</v>
      </c>
    </row>
  </sheetData>
  <sheetProtection/>
  <mergeCells count="6">
    <mergeCell ref="A40:C40"/>
    <mergeCell ref="A5:D5"/>
    <mergeCell ref="A32:D32"/>
    <mergeCell ref="A30:C30"/>
    <mergeCell ref="A31:D31"/>
    <mergeCell ref="A39:C39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37"/>
  <sheetViews>
    <sheetView zoomScalePageLayoutView="0" workbookViewId="0" topLeftCell="A1">
      <selection activeCell="B28" sqref="B28:B37"/>
    </sheetView>
  </sheetViews>
  <sheetFormatPr defaultColWidth="9.140625" defaultRowHeight="12.75"/>
  <cols>
    <col min="1" max="1" width="16.00390625" style="5" customWidth="1"/>
    <col min="2" max="2" width="19.8515625" style="5" customWidth="1"/>
    <col min="3" max="3" width="13.7109375" style="5" customWidth="1"/>
    <col min="4" max="4" width="12.00390625" style="5" customWidth="1"/>
    <col min="5" max="5" width="15.7109375" style="5" customWidth="1"/>
    <col min="6" max="6" width="16.7109375" style="5" customWidth="1"/>
    <col min="7" max="7" width="12.140625" style="5" customWidth="1"/>
    <col min="8" max="8" width="9.140625" style="5" customWidth="1"/>
    <col min="9" max="9" width="10.421875" style="5" customWidth="1"/>
    <col min="10" max="10" width="25.7109375" style="5" customWidth="1"/>
    <col min="11" max="11" width="17.421875" style="5" customWidth="1"/>
    <col min="12" max="12" width="15.57421875" style="5" customWidth="1"/>
    <col min="13" max="13" width="17.57421875" style="5" customWidth="1"/>
    <col min="14" max="14" width="24.421875" style="5" customWidth="1"/>
    <col min="15" max="15" width="16.28125" style="5" customWidth="1"/>
    <col min="16" max="16" width="28.140625" style="5" customWidth="1"/>
    <col min="17" max="17" width="16.57421875" style="5" customWidth="1"/>
    <col min="18" max="16384" width="9.140625" style="5" customWidth="1"/>
  </cols>
  <sheetData>
    <row r="3" spans="1:17" ht="18">
      <c r="A3" s="352" t="s">
        <v>201</v>
      </c>
      <c r="B3" s="352"/>
      <c r="C3" s="352"/>
      <c r="D3" s="352"/>
      <c r="E3" s="352"/>
      <c r="F3" s="352"/>
      <c r="I3" s="163"/>
      <c r="J3" s="163"/>
      <c r="K3" s="164"/>
      <c r="L3" s="164"/>
      <c r="M3" s="163"/>
      <c r="N3" s="164"/>
      <c r="O3" s="163"/>
      <c r="P3" s="168"/>
      <c r="Q3" s="164"/>
    </row>
    <row r="4" spans="9:17" ht="16.5" thickBot="1">
      <c r="I4" s="163"/>
      <c r="J4" s="163"/>
      <c r="K4" s="164"/>
      <c r="L4" s="164"/>
      <c r="M4" s="163"/>
      <c r="N4" s="164"/>
      <c r="O4" s="163"/>
      <c r="P4" s="168"/>
      <c r="Q4" s="164"/>
    </row>
    <row r="5" spans="3:17" ht="16.5" thickBot="1">
      <c r="C5" s="353" t="s">
        <v>139</v>
      </c>
      <c r="D5" s="354"/>
      <c r="E5" s="354"/>
      <c r="F5" s="355"/>
      <c r="I5" s="163"/>
      <c r="J5" s="163"/>
      <c r="K5" s="165"/>
      <c r="L5" s="164"/>
      <c r="M5" s="163"/>
      <c r="N5" s="164"/>
      <c r="O5" s="163"/>
      <c r="P5" s="168"/>
      <c r="Q5" s="164"/>
    </row>
    <row r="6" spans="1:17" ht="16.5" thickBot="1">
      <c r="A6" s="356" t="s">
        <v>200</v>
      </c>
      <c r="B6" s="356" t="s">
        <v>54</v>
      </c>
      <c r="C6" s="95" t="s">
        <v>70</v>
      </c>
      <c r="D6" s="95" t="s">
        <v>97</v>
      </c>
      <c r="E6" s="95" t="s">
        <v>157</v>
      </c>
      <c r="F6" s="95" t="s">
        <v>115</v>
      </c>
      <c r="I6" s="163"/>
      <c r="J6" s="163"/>
      <c r="K6" s="165"/>
      <c r="L6" s="164"/>
      <c r="M6" s="163"/>
      <c r="N6" s="164"/>
      <c r="O6" s="163"/>
      <c r="P6" s="168"/>
      <c r="Q6" s="164"/>
    </row>
    <row r="7" spans="1:17" ht="16.5" thickBot="1">
      <c r="A7" s="357"/>
      <c r="B7" s="357"/>
      <c r="C7" s="203">
        <v>0.35</v>
      </c>
      <c r="D7" s="203">
        <v>0.25</v>
      </c>
      <c r="E7" s="203">
        <v>0.15</v>
      </c>
      <c r="F7" s="203">
        <v>0.25</v>
      </c>
      <c r="I7" s="163"/>
      <c r="J7" s="163"/>
      <c r="K7" s="165"/>
      <c r="L7" s="164"/>
      <c r="M7" s="163"/>
      <c r="N7" s="164"/>
      <c r="O7" s="163"/>
      <c r="P7" s="168"/>
      <c r="Q7" s="164"/>
    </row>
    <row r="8" spans="1:17" ht="15.75">
      <c r="A8" s="94" t="s">
        <v>57</v>
      </c>
      <c r="B8" s="94">
        <v>925</v>
      </c>
      <c r="C8" s="204">
        <f>B8*$C$7</f>
        <v>323.75</v>
      </c>
      <c r="D8" s="204">
        <f>B8*$D$7</f>
        <v>231.25</v>
      </c>
      <c r="E8" s="204">
        <f>B8*$E$7</f>
        <v>138.75</v>
      </c>
      <c r="F8" s="204">
        <f>B8*$F$7</f>
        <v>231.25</v>
      </c>
      <c r="G8" s="93"/>
      <c r="I8" s="163"/>
      <c r="J8" s="163"/>
      <c r="K8" s="165"/>
      <c r="L8" s="164"/>
      <c r="M8" s="163"/>
      <c r="N8" s="164"/>
      <c r="O8" s="163"/>
      <c r="P8" s="168"/>
      <c r="Q8" s="164"/>
    </row>
    <row r="9" spans="1:17" ht="15.75">
      <c r="A9" s="94" t="s">
        <v>58</v>
      </c>
      <c r="B9" s="94">
        <v>955</v>
      </c>
      <c r="C9" s="204">
        <f aca="true" t="shared" si="0" ref="C9:C19">B9*$C$7</f>
        <v>334.25</v>
      </c>
      <c r="D9" s="204">
        <f aca="true" t="shared" si="1" ref="D9:D19">B9*$D$7</f>
        <v>238.75</v>
      </c>
      <c r="E9" s="204">
        <f aca="true" t="shared" si="2" ref="E9:E19">B9*$E$7</f>
        <v>143.25</v>
      </c>
      <c r="F9" s="204">
        <f aca="true" t="shared" si="3" ref="F9:F19">B9*$F$7</f>
        <v>238.75</v>
      </c>
      <c r="I9" s="163"/>
      <c r="J9" s="163"/>
      <c r="K9" s="164"/>
      <c r="L9" s="164"/>
      <c r="M9" s="163"/>
      <c r="N9" s="164"/>
      <c r="O9" s="163"/>
      <c r="P9" s="168"/>
      <c r="Q9" s="164"/>
    </row>
    <row r="10" spans="1:17" ht="15.75">
      <c r="A10" s="94" t="s">
        <v>59</v>
      </c>
      <c r="B10" s="94">
        <v>973</v>
      </c>
      <c r="C10" s="204">
        <f t="shared" si="0"/>
        <v>340.54999999999995</v>
      </c>
      <c r="D10" s="204">
        <f t="shared" si="1"/>
        <v>243.25</v>
      </c>
      <c r="E10" s="204">
        <f t="shared" si="2"/>
        <v>145.95</v>
      </c>
      <c r="F10" s="204">
        <f t="shared" si="3"/>
        <v>243.25</v>
      </c>
      <c r="I10" s="163"/>
      <c r="J10" s="163"/>
      <c r="K10" s="164"/>
      <c r="L10" s="164"/>
      <c r="M10" s="163"/>
      <c r="N10" s="164"/>
      <c r="O10" s="163"/>
      <c r="P10" s="168"/>
      <c r="Q10" s="164"/>
    </row>
    <row r="11" spans="1:17" ht="15.75">
      <c r="A11" s="94" t="s">
        <v>60</v>
      </c>
      <c r="B11" s="94">
        <v>1012</v>
      </c>
      <c r="C11" s="204">
        <f t="shared" si="0"/>
        <v>354.2</v>
      </c>
      <c r="D11" s="204">
        <f t="shared" si="1"/>
        <v>253</v>
      </c>
      <c r="E11" s="204">
        <f t="shared" si="2"/>
        <v>151.79999999999998</v>
      </c>
      <c r="F11" s="204">
        <f t="shared" si="3"/>
        <v>253</v>
      </c>
      <c r="I11" s="166"/>
      <c r="J11" s="166"/>
      <c r="K11" s="358"/>
      <c r="L11" s="358"/>
      <c r="M11" s="358"/>
      <c r="N11" s="167"/>
      <c r="O11" s="358"/>
      <c r="P11" s="358"/>
      <c r="Q11" s="167"/>
    </row>
    <row r="12" spans="1:6" ht="15.75">
      <c r="A12" s="94" t="s">
        <v>61</v>
      </c>
      <c r="B12" s="94">
        <v>1052</v>
      </c>
      <c r="C12" s="204">
        <f t="shared" si="0"/>
        <v>368.2</v>
      </c>
      <c r="D12" s="204">
        <f t="shared" si="1"/>
        <v>263</v>
      </c>
      <c r="E12" s="204">
        <f t="shared" si="2"/>
        <v>157.79999999999998</v>
      </c>
      <c r="F12" s="204">
        <f t="shared" si="3"/>
        <v>263</v>
      </c>
    </row>
    <row r="13" spans="1:6" ht="15.75">
      <c r="A13" s="94" t="s">
        <v>62</v>
      </c>
      <c r="B13" s="94">
        <v>1105</v>
      </c>
      <c r="C13" s="204">
        <f t="shared" si="0"/>
        <v>386.75</v>
      </c>
      <c r="D13" s="204">
        <f t="shared" si="1"/>
        <v>276.25</v>
      </c>
      <c r="E13" s="204">
        <f t="shared" si="2"/>
        <v>165.75</v>
      </c>
      <c r="F13" s="204">
        <f t="shared" si="3"/>
        <v>276.25</v>
      </c>
    </row>
    <row r="14" spans="1:6" ht="15.75">
      <c r="A14" s="94" t="s">
        <v>63</v>
      </c>
      <c r="B14" s="94">
        <v>1160</v>
      </c>
      <c r="C14" s="204">
        <f t="shared" si="0"/>
        <v>406</v>
      </c>
      <c r="D14" s="204">
        <f t="shared" si="1"/>
        <v>290</v>
      </c>
      <c r="E14" s="204">
        <f t="shared" si="2"/>
        <v>174</v>
      </c>
      <c r="F14" s="204">
        <f t="shared" si="3"/>
        <v>290</v>
      </c>
    </row>
    <row r="15" spans="1:6" ht="15.75">
      <c r="A15" s="94" t="s">
        <v>64</v>
      </c>
      <c r="B15" s="94">
        <v>1218</v>
      </c>
      <c r="C15" s="204">
        <f t="shared" si="0"/>
        <v>426.29999999999995</v>
      </c>
      <c r="D15" s="204">
        <f t="shared" si="1"/>
        <v>304.5</v>
      </c>
      <c r="E15" s="204">
        <f t="shared" si="2"/>
        <v>182.7</v>
      </c>
      <c r="F15" s="204">
        <f t="shared" si="3"/>
        <v>304.5</v>
      </c>
    </row>
    <row r="16" spans="1:6" ht="15.75">
      <c r="A16" s="94" t="s">
        <v>65</v>
      </c>
      <c r="B16" s="94">
        <v>1279</v>
      </c>
      <c r="C16" s="204">
        <f t="shared" si="0"/>
        <v>447.65</v>
      </c>
      <c r="D16" s="204">
        <f t="shared" si="1"/>
        <v>319.75</v>
      </c>
      <c r="E16" s="204">
        <f t="shared" si="2"/>
        <v>191.85</v>
      </c>
      <c r="F16" s="204">
        <f t="shared" si="3"/>
        <v>319.75</v>
      </c>
    </row>
    <row r="17" spans="1:6" ht="15.75">
      <c r="A17" s="94" t="s">
        <v>66</v>
      </c>
      <c r="B17" s="94">
        <v>1356</v>
      </c>
      <c r="C17" s="204">
        <f t="shared" si="0"/>
        <v>474.59999999999997</v>
      </c>
      <c r="D17" s="204">
        <f t="shared" si="1"/>
        <v>339</v>
      </c>
      <c r="E17" s="204">
        <f t="shared" si="2"/>
        <v>203.4</v>
      </c>
      <c r="F17" s="204">
        <f t="shared" si="3"/>
        <v>339</v>
      </c>
    </row>
    <row r="18" spans="1:6" ht="15.75">
      <c r="A18" s="94" t="s">
        <v>67</v>
      </c>
      <c r="B18" s="94">
        <v>1437</v>
      </c>
      <c r="C18" s="204">
        <f t="shared" si="0"/>
        <v>502.95</v>
      </c>
      <c r="D18" s="204">
        <f t="shared" si="1"/>
        <v>359.25</v>
      </c>
      <c r="E18" s="204">
        <f t="shared" si="2"/>
        <v>215.54999999999998</v>
      </c>
      <c r="F18" s="204">
        <f t="shared" si="3"/>
        <v>359.25</v>
      </c>
    </row>
    <row r="19" spans="1:6" ht="15.75">
      <c r="A19" s="94" t="s">
        <v>68</v>
      </c>
      <c r="B19" s="94">
        <v>1580</v>
      </c>
      <c r="C19" s="204">
        <f t="shared" si="0"/>
        <v>553</v>
      </c>
      <c r="D19" s="204">
        <f t="shared" si="1"/>
        <v>395</v>
      </c>
      <c r="E19" s="204">
        <f t="shared" si="2"/>
        <v>237</v>
      </c>
      <c r="F19" s="204">
        <f t="shared" si="3"/>
        <v>395</v>
      </c>
    </row>
    <row r="23" spans="1:6" ht="18">
      <c r="A23" s="352" t="s">
        <v>202</v>
      </c>
      <c r="B23" s="352"/>
      <c r="C23" s="352"/>
      <c r="D23" s="352"/>
      <c r="E23" s="352"/>
      <c r="F23" s="352"/>
    </row>
    <row r="24" ht="13.5" thickBot="1"/>
    <row r="25" spans="3:6" ht="16.5" thickBot="1">
      <c r="C25" s="353" t="s">
        <v>139</v>
      </c>
      <c r="D25" s="354"/>
      <c r="E25" s="354"/>
      <c r="F25" s="355"/>
    </row>
    <row r="26" spans="1:6" ht="16.5" thickBot="1">
      <c r="A26" s="356" t="s">
        <v>144</v>
      </c>
      <c r="B26" s="356" t="s">
        <v>54</v>
      </c>
      <c r="C26" s="95" t="s">
        <v>70</v>
      </c>
      <c r="D26" s="95" t="s">
        <v>97</v>
      </c>
      <c r="E26" s="95" t="s">
        <v>157</v>
      </c>
      <c r="F26" s="95" t="s">
        <v>115</v>
      </c>
    </row>
    <row r="27" spans="1:6" ht="16.5" thickBot="1">
      <c r="A27" s="357"/>
      <c r="B27" s="357"/>
      <c r="C27" s="203">
        <v>0.35</v>
      </c>
      <c r="D27" s="203">
        <v>0.25</v>
      </c>
      <c r="E27" s="203">
        <v>0.15</v>
      </c>
      <c r="F27" s="203">
        <v>0.25</v>
      </c>
    </row>
    <row r="28" spans="1:7" ht="15.75">
      <c r="A28" s="94">
        <v>1</v>
      </c>
      <c r="B28" s="204">
        <f>'Flujo de caja puro'!C5</f>
        <v>14052</v>
      </c>
      <c r="C28" s="204">
        <f>B28*$C$27</f>
        <v>4918.2</v>
      </c>
      <c r="D28" s="204">
        <f>B28*$D$27</f>
        <v>3513</v>
      </c>
      <c r="E28" s="204">
        <f>B28*$E$27</f>
        <v>2107.7999999999997</v>
      </c>
      <c r="F28" s="204">
        <f>B28*$F$27</f>
        <v>3513</v>
      </c>
      <c r="G28" s="93"/>
    </row>
    <row r="29" spans="1:6" ht="15.75">
      <c r="A29" s="94">
        <v>2</v>
      </c>
      <c r="B29" s="204">
        <f aca="true" t="shared" si="4" ref="B29:B37">B28*1.05</f>
        <v>14754.6</v>
      </c>
      <c r="C29" s="204">
        <f aca="true" t="shared" si="5" ref="C29:C37">B29*$C$27</f>
        <v>5164.11</v>
      </c>
      <c r="D29" s="204">
        <f aca="true" t="shared" si="6" ref="D29:D37">B29*$D$27</f>
        <v>3688.65</v>
      </c>
      <c r="E29" s="204">
        <f aca="true" t="shared" si="7" ref="E29:E37">B29*$E$27</f>
        <v>2213.19</v>
      </c>
      <c r="F29" s="204">
        <f aca="true" t="shared" si="8" ref="F29:F37">B29*$F$27</f>
        <v>3688.65</v>
      </c>
    </row>
    <row r="30" spans="1:6" ht="15.75">
      <c r="A30" s="94">
        <v>3</v>
      </c>
      <c r="B30" s="204">
        <f t="shared" si="4"/>
        <v>15492.330000000002</v>
      </c>
      <c r="C30" s="204">
        <f t="shared" si="5"/>
        <v>5422.315500000001</v>
      </c>
      <c r="D30" s="204">
        <f t="shared" si="6"/>
        <v>3873.0825000000004</v>
      </c>
      <c r="E30" s="204">
        <f t="shared" si="7"/>
        <v>2323.8495000000003</v>
      </c>
      <c r="F30" s="204">
        <f t="shared" si="8"/>
        <v>3873.0825000000004</v>
      </c>
    </row>
    <row r="31" spans="1:6" ht="15.75">
      <c r="A31" s="94">
        <v>4</v>
      </c>
      <c r="B31" s="204">
        <f t="shared" si="4"/>
        <v>16266.946500000002</v>
      </c>
      <c r="C31" s="204">
        <f t="shared" si="5"/>
        <v>5693.431275</v>
      </c>
      <c r="D31" s="204">
        <f t="shared" si="6"/>
        <v>4066.7366250000005</v>
      </c>
      <c r="E31" s="204">
        <f t="shared" si="7"/>
        <v>2440.041975</v>
      </c>
      <c r="F31" s="204">
        <f t="shared" si="8"/>
        <v>4066.7366250000005</v>
      </c>
    </row>
    <row r="32" spans="1:6" ht="15.75">
      <c r="A32" s="94">
        <v>5</v>
      </c>
      <c r="B32" s="204">
        <f t="shared" si="4"/>
        <v>17080.293825000004</v>
      </c>
      <c r="C32" s="204">
        <f t="shared" si="5"/>
        <v>5978.102838750001</v>
      </c>
      <c r="D32" s="204">
        <f t="shared" si="6"/>
        <v>4270.073456250001</v>
      </c>
      <c r="E32" s="204">
        <f t="shared" si="7"/>
        <v>2562.0440737500007</v>
      </c>
      <c r="F32" s="204">
        <f t="shared" si="8"/>
        <v>4270.073456250001</v>
      </c>
    </row>
    <row r="33" spans="1:6" ht="15.75">
      <c r="A33" s="94">
        <v>6</v>
      </c>
      <c r="B33" s="204">
        <f t="shared" si="4"/>
        <v>17934.308516250007</v>
      </c>
      <c r="C33" s="204">
        <f t="shared" si="5"/>
        <v>6277.007980687502</v>
      </c>
      <c r="D33" s="204">
        <f t="shared" si="6"/>
        <v>4483.577129062502</v>
      </c>
      <c r="E33" s="204">
        <f t="shared" si="7"/>
        <v>2690.146277437501</v>
      </c>
      <c r="F33" s="204">
        <f t="shared" si="8"/>
        <v>4483.577129062502</v>
      </c>
    </row>
    <row r="34" spans="1:6" ht="15.75">
      <c r="A34" s="94">
        <v>7</v>
      </c>
      <c r="B34" s="204">
        <f t="shared" si="4"/>
        <v>18831.023942062508</v>
      </c>
      <c r="C34" s="204">
        <f t="shared" si="5"/>
        <v>6590.858379721877</v>
      </c>
      <c r="D34" s="204">
        <f t="shared" si="6"/>
        <v>4707.755985515627</v>
      </c>
      <c r="E34" s="204">
        <f t="shared" si="7"/>
        <v>2824.653591309376</v>
      </c>
      <c r="F34" s="204">
        <f t="shared" si="8"/>
        <v>4707.755985515627</v>
      </c>
    </row>
    <row r="35" spans="1:6" ht="15.75">
      <c r="A35" s="94">
        <v>8</v>
      </c>
      <c r="B35" s="204">
        <f t="shared" si="4"/>
        <v>19772.575139165634</v>
      </c>
      <c r="C35" s="204">
        <f t="shared" si="5"/>
        <v>6920.401298707971</v>
      </c>
      <c r="D35" s="204">
        <f t="shared" si="6"/>
        <v>4943.1437847914085</v>
      </c>
      <c r="E35" s="204">
        <f t="shared" si="7"/>
        <v>2965.886270874845</v>
      </c>
      <c r="F35" s="204">
        <f t="shared" si="8"/>
        <v>4943.1437847914085</v>
      </c>
    </row>
    <row r="36" spans="1:6" ht="15.75">
      <c r="A36" s="94">
        <v>9</v>
      </c>
      <c r="B36" s="204">
        <f t="shared" si="4"/>
        <v>20761.203896123916</v>
      </c>
      <c r="C36" s="204">
        <f t="shared" si="5"/>
        <v>7266.42136364337</v>
      </c>
      <c r="D36" s="204">
        <f t="shared" si="6"/>
        <v>5190.300974030979</v>
      </c>
      <c r="E36" s="204">
        <f t="shared" si="7"/>
        <v>3114.1805844185874</v>
      </c>
      <c r="F36" s="204">
        <f t="shared" si="8"/>
        <v>5190.300974030979</v>
      </c>
    </row>
    <row r="37" spans="1:6" ht="15.75">
      <c r="A37" s="94">
        <v>10</v>
      </c>
      <c r="B37" s="204">
        <f t="shared" si="4"/>
        <v>21799.26409093011</v>
      </c>
      <c r="C37" s="204">
        <f t="shared" si="5"/>
        <v>7629.742431825539</v>
      </c>
      <c r="D37" s="204">
        <f t="shared" si="6"/>
        <v>5449.816022732528</v>
      </c>
      <c r="E37" s="204">
        <f t="shared" si="7"/>
        <v>3269.8896136395165</v>
      </c>
      <c r="F37" s="204">
        <f t="shared" si="8"/>
        <v>5449.816022732528</v>
      </c>
    </row>
  </sheetData>
  <sheetProtection/>
  <mergeCells count="10">
    <mergeCell ref="B6:B7"/>
    <mergeCell ref="A6:A7"/>
    <mergeCell ref="C5:F5"/>
    <mergeCell ref="A3:F3"/>
    <mergeCell ref="A23:F23"/>
    <mergeCell ref="C25:F25"/>
    <mergeCell ref="A26:A27"/>
    <mergeCell ref="B26:B27"/>
    <mergeCell ref="O11:P11"/>
    <mergeCell ref="K11:M1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9">
      <selection activeCell="G49" sqref="G49"/>
    </sheetView>
  </sheetViews>
  <sheetFormatPr defaultColWidth="12.00390625" defaultRowHeight="12.75"/>
  <cols>
    <col min="1" max="1" width="34.421875" style="226" customWidth="1"/>
    <col min="2" max="16384" width="12.00390625" style="226" customWidth="1"/>
  </cols>
  <sheetData>
    <row r="1" ht="11.25"/>
    <row r="2" spans="1:12" ht="27" customHeight="1">
      <c r="A2" s="359" t="s">
        <v>154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ht="12" thickBot="1"/>
    <row r="4" spans="1:12" ht="40.5" customHeight="1" thickBot="1">
      <c r="A4" s="297" t="s">
        <v>144</v>
      </c>
      <c r="B4" s="298">
        <v>0</v>
      </c>
      <c r="C4" s="298">
        <v>1</v>
      </c>
      <c r="D4" s="298">
        <v>2</v>
      </c>
      <c r="E4" s="298">
        <v>3</v>
      </c>
      <c r="F4" s="298">
        <v>4</v>
      </c>
      <c r="G4" s="299">
        <v>5</v>
      </c>
      <c r="H4" s="299">
        <v>6</v>
      </c>
      <c r="I4" s="299">
        <v>7</v>
      </c>
      <c r="J4" s="299">
        <v>8</v>
      </c>
      <c r="K4" s="299">
        <v>9</v>
      </c>
      <c r="L4" s="299">
        <v>10</v>
      </c>
    </row>
    <row r="5" spans="1:12" ht="12" thickBot="1">
      <c r="A5" s="227" t="s">
        <v>152</v>
      </c>
      <c r="B5" s="228"/>
      <c r="C5" s="317">
        <f>'Ingresos y Costos año 1'!N5</f>
        <v>14052</v>
      </c>
      <c r="D5" s="317">
        <f>C5*1.06</f>
        <v>14895.12</v>
      </c>
      <c r="E5" s="317">
        <f aca="true" t="shared" si="0" ref="E5:L5">D5*1.06</f>
        <v>15788.827200000002</v>
      </c>
      <c r="F5" s="317">
        <f t="shared" si="0"/>
        <v>16736.156832000004</v>
      </c>
      <c r="G5" s="317">
        <f t="shared" si="0"/>
        <v>17740.326241920004</v>
      </c>
      <c r="H5" s="317">
        <f t="shared" si="0"/>
        <v>18804.745816435207</v>
      </c>
      <c r="I5" s="317">
        <f t="shared" si="0"/>
        <v>19933.03056542132</v>
      </c>
      <c r="J5" s="317">
        <f t="shared" si="0"/>
        <v>21129.0123993466</v>
      </c>
      <c r="K5" s="317">
        <f t="shared" si="0"/>
        <v>22396.753143307396</v>
      </c>
      <c r="L5" s="317">
        <f t="shared" si="0"/>
        <v>23740.558331905842</v>
      </c>
    </row>
    <row r="6" spans="1:12" ht="11.25">
      <c r="A6" s="229" t="s">
        <v>162</v>
      </c>
      <c r="B6" s="230"/>
      <c r="C6" s="321">
        <f>C5*0.35</f>
        <v>4918.2</v>
      </c>
      <c r="D6" s="321">
        <f aca="true" t="shared" si="1" ref="D6:L6">D5*0.35</f>
        <v>5213.292</v>
      </c>
      <c r="E6" s="321">
        <f t="shared" si="1"/>
        <v>5526.08952</v>
      </c>
      <c r="F6" s="321">
        <f t="shared" si="1"/>
        <v>5857.654891200001</v>
      </c>
      <c r="G6" s="321">
        <f t="shared" si="1"/>
        <v>6209.114184672001</v>
      </c>
      <c r="H6" s="321">
        <f t="shared" si="1"/>
        <v>6581.661035752322</v>
      </c>
      <c r="I6" s="321">
        <f t="shared" si="1"/>
        <v>6976.560697897461</v>
      </c>
      <c r="J6" s="321">
        <f t="shared" si="1"/>
        <v>7395.154339771309</v>
      </c>
      <c r="K6" s="321">
        <f t="shared" si="1"/>
        <v>7838.863600157588</v>
      </c>
      <c r="L6" s="321">
        <f t="shared" si="1"/>
        <v>8309.195416167044</v>
      </c>
    </row>
    <row r="7" spans="1:12" ht="11.25">
      <c r="A7" s="229" t="s">
        <v>163</v>
      </c>
      <c r="B7" s="230"/>
      <c r="C7" s="321">
        <f>C5*0.25</f>
        <v>3513</v>
      </c>
      <c r="D7" s="321">
        <f aca="true" t="shared" si="2" ref="D7:L7">D5*0.25</f>
        <v>3723.78</v>
      </c>
      <c r="E7" s="321">
        <f t="shared" si="2"/>
        <v>3947.2068000000004</v>
      </c>
      <c r="F7" s="321">
        <f t="shared" si="2"/>
        <v>4184.039208000001</v>
      </c>
      <c r="G7" s="321">
        <f t="shared" si="2"/>
        <v>4435.081560480001</v>
      </c>
      <c r="H7" s="321">
        <f t="shared" si="2"/>
        <v>4701.186454108802</v>
      </c>
      <c r="I7" s="321">
        <f t="shared" si="2"/>
        <v>4983.25764135533</v>
      </c>
      <c r="J7" s="321">
        <f t="shared" si="2"/>
        <v>5282.25309983665</v>
      </c>
      <c r="K7" s="321">
        <f t="shared" si="2"/>
        <v>5599.188285826849</v>
      </c>
      <c r="L7" s="321">
        <f t="shared" si="2"/>
        <v>5935.139582976461</v>
      </c>
    </row>
    <row r="8" spans="1:12" ht="11.25">
      <c r="A8" s="229" t="s">
        <v>164</v>
      </c>
      <c r="B8" s="230"/>
      <c r="C8" s="321">
        <f>C5*0.15</f>
        <v>2107.7999999999997</v>
      </c>
      <c r="D8" s="321">
        <f aca="true" t="shared" si="3" ref="D8:L8">D5*0.15</f>
        <v>2234.268</v>
      </c>
      <c r="E8" s="321">
        <f t="shared" si="3"/>
        <v>2368.3240800000003</v>
      </c>
      <c r="F8" s="321">
        <f t="shared" si="3"/>
        <v>2510.4235248000005</v>
      </c>
      <c r="G8" s="321">
        <f t="shared" si="3"/>
        <v>2661.0489362880003</v>
      </c>
      <c r="H8" s="321">
        <f t="shared" si="3"/>
        <v>2820.711872465281</v>
      </c>
      <c r="I8" s="321">
        <f t="shared" si="3"/>
        <v>2989.954584813198</v>
      </c>
      <c r="J8" s="321">
        <f t="shared" si="3"/>
        <v>3169.35185990199</v>
      </c>
      <c r="K8" s="321">
        <f t="shared" si="3"/>
        <v>3359.5129714961095</v>
      </c>
      <c r="L8" s="321">
        <f t="shared" si="3"/>
        <v>3561.083749785876</v>
      </c>
    </row>
    <row r="9" spans="1:12" ht="12" thickBot="1">
      <c r="A9" s="229" t="s">
        <v>165</v>
      </c>
      <c r="B9" s="230"/>
      <c r="C9" s="328">
        <f>C5*0.25</f>
        <v>3513</v>
      </c>
      <c r="D9" s="328">
        <f aca="true" t="shared" si="4" ref="D9:K9">D5*0.25</f>
        <v>3723.78</v>
      </c>
      <c r="E9" s="328">
        <f t="shared" si="4"/>
        <v>3947.2068000000004</v>
      </c>
      <c r="F9" s="328">
        <f t="shared" si="4"/>
        <v>4184.039208000001</v>
      </c>
      <c r="G9" s="328">
        <f t="shared" si="4"/>
        <v>4435.081560480001</v>
      </c>
      <c r="H9" s="328">
        <f t="shared" si="4"/>
        <v>4701.186454108802</v>
      </c>
      <c r="I9" s="328">
        <f t="shared" si="4"/>
        <v>4983.25764135533</v>
      </c>
      <c r="J9" s="328">
        <f t="shared" si="4"/>
        <v>5282.25309983665</v>
      </c>
      <c r="K9" s="328">
        <f t="shared" si="4"/>
        <v>5599.188285826849</v>
      </c>
      <c r="L9" s="328">
        <f>L5*0.25</f>
        <v>5935.139582976461</v>
      </c>
    </row>
    <row r="10" spans="1:12" ht="12" thickBot="1">
      <c r="A10" s="231" t="s">
        <v>153</v>
      </c>
      <c r="B10" s="313"/>
      <c r="C10" s="314">
        <f>'Precios Productos'!B81</f>
        <v>5</v>
      </c>
      <c r="D10" s="315">
        <f>'Precios Productos'!C81</f>
        <v>5.2485</v>
      </c>
      <c r="E10" s="315">
        <f>'Precios Productos'!D81</f>
        <v>5.4211756499999995</v>
      </c>
      <c r="F10" s="315">
        <f>'Precios Productos'!E81</f>
        <v>5.599532328884999</v>
      </c>
      <c r="G10" s="315">
        <f>'Precios Productos'!F81</f>
        <v>5.783756942505315</v>
      </c>
      <c r="H10" s="315">
        <f>'Precios Productos'!G81</f>
        <v>5.97404254591374</v>
      </c>
      <c r="I10" s="315">
        <f>'Precios Productos'!H81</f>
        <v>6.170588545674302</v>
      </c>
      <c r="J10" s="315">
        <f>'Precios Productos'!I81</f>
        <v>6.373600908826986</v>
      </c>
      <c r="K10" s="315">
        <f>'Precios Productos'!J81</f>
        <v>6.583292378727394</v>
      </c>
      <c r="L10" s="316">
        <f>'Precios Productos'!K81</f>
        <v>6.799882697987524</v>
      </c>
    </row>
    <row r="11" spans="1:12" ht="12" thickBot="1">
      <c r="A11" s="300" t="s">
        <v>37</v>
      </c>
      <c r="B11" s="301"/>
      <c r="C11" s="302">
        <f>C5*C10</f>
        <v>70260</v>
      </c>
      <c r="D11" s="302">
        <f aca="true" t="shared" si="5" ref="D11:L11">D5*D10</f>
        <v>78177.03732</v>
      </c>
      <c r="E11" s="302">
        <f t="shared" si="5"/>
        <v>85594.00555869768</v>
      </c>
      <c r="F11" s="302">
        <f t="shared" si="5"/>
        <v>93714.65124207357</v>
      </c>
      <c r="G11" s="303">
        <f t="shared" si="5"/>
        <v>102605.73506401405</v>
      </c>
      <c r="H11" s="303">
        <f t="shared" si="5"/>
        <v>112340.35157247733</v>
      </c>
      <c r="I11" s="303">
        <f t="shared" si="5"/>
        <v>122998.53008756453</v>
      </c>
      <c r="J11" s="303">
        <f t="shared" si="5"/>
        <v>134667.89263109214</v>
      </c>
      <c r="K11" s="303">
        <f t="shared" si="5"/>
        <v>147444.37427657438</v>
      </c>
      <c r="L11" s="303">
        <f t="shared" si="5"/>
        <v>161433.01184169008</v>
      </c>
    </row>
    <row r="12" spans="1:12" ht="11.25">
      <c r="A12" s="232" t="s">
        <v>160</v>
      </c>
      <c r="B12" s="232"/>
      <c r="C12" s="233">
        <f>+C13+C21+C18</f>
        <v>-74240.93875</v>
      </c>
      <c r="D12" s="233">
        <f aca="true" t="shared" si="6" ref="D12:J12">+D13+D21+D18</f>
        <v>-76174.0025302275</v>
      </c>
      <c r="E12" s="233">
        <f t="shared" si="6"/>
        <v>-78757.92565933861</v>
      </c>
      <c r="F12" s="233">
        <f t="shared" si="6"/>
        <v>-81620.3737232842</v>
      </c>
      <c r="G12" s="233">
        <f t="shared" si="6"/>
        <v>-84792.0996342113</v>
      </c>
      <c r="H12" s="233">
        <f t="shared" si="6"/>
        <v>-88307.2900121855</v>
      </c>
      <c r="I12" s="233">
        <f t="shared" si="6"/>
        <v>-92203.95052268021</v>
      </c>
      <c r="J12" s="233">
        <f t="shared" si="6"/>
        <v>-96524.33455568553</v>
      </c>
      <c r="K12" s="233">
        <f>+K13+K21+K18</f>
        <v>-101315.42012630843</v>
      </c>
      <c r="L12" s="233">
        <f>+L13+L21+L18</f>
        <v>-106629.44042641117</v>
      </c>
    </row>
    <row r="13" spans="1:12" ht="11.25">
      <c r="A13" s="234" t="s">
        <v>161</v>
      </c>
      <c r="B13" s="235"/>
      <c r="C13" s="236">
        <f aca="true" t="shared" si="7" ref="C13:L13">SUM(C14:C17)</f>
        <v>-19000.93875</v>
      </c>
      <c r="D13" s="236">
        <f t="shared" si="7"/>
        <v>-21142.002530227503</v>
      </c>
      <c r="E13" s="236">
        <f t="shared" si="7"/>
        <v>-23524.3256593386</v>
      </c>
      <c r="F13" s="236">
        <f t="shared" si="7"/>
        <v>-26175.093723284197</v>
      </c>
      <c r="G13" s="236">
        <f t="shared" si="7"/>
        <v>-29124.555634211305</v>
      </c>
      <c r="H13" s="236">
        <f t="shared" si="7"/>
        <v>-32406.368812185516</v>
      </c>
      <c r="I13" s="236">
        <f t="shared" si="7"/>
        <v>-36057.98326268021</v>
      </c>
      <c r="J13" s="236">
        <f t="shared" si="7"/>
        <v>-40121.068932685535</v>
      </c>
      <c r="K13" s="236">
        <f t="shared" si="7"/>
        <v>-44641.991222158416</v>
      </c>
      <c r="L13" s="236">
        <f t="shared" si="7"/>
        <v>-49672.340077053675</v>
      </c>
    </row>
    <row r="14" spans="1:12" ht="11.25">
      <c r="A14" s="229" t="s">
        <v>162</v>
      </c>
      <c r="B14" s="235"/>
      <c r="C14" s="237">
        <f>-C6*'Precios Productos'!B67</f>
        <v>-5137.7625</v>
      </c>
      <c r="D14" s="237">
        <f>-D6*'Precios Productos'!C67</f>
        <v>-5716.695854025001</v>
      </c>
      <c r="E14" s="237">
        <f>-E6*'Precios Productos'!D67</f>
        <v>-6360.864576248246</v>
      </c>
      <c r="F14" s="237">
        <f>-F6*'Precios Productos'!E67</f>
        <v>-7077.619518429051</v>
      </c>
      <c r="G14" s="237">
        <f>-G6*'Precios Productos'!F67</f>
        <v>-7875.139841004674</v>
      </c>
      <c r="H14" s="237">
        <f>-H6*'Precios Productos'!G67</f>
        <v>-8762.526348568765</v>
      </c>
      <c r="I14" s="237">
        <f>-I6*'Precios Productos'!H67</f>
        <v>-9749.905342578191</v>
      </c>
      <c r="J14" s="237">
        <f>-J6*'Precios Productos'!I67</f>
        <v>-10848.54417639059</v>
      </c>
      <c r="K14" s="237">
        <f>-K6*'Precios Productos'!J67</f>
        <v>-12070.979831274633</v>
      </c>
      <c r="L14" s="237">
        <f>-L6*'Precios Productos'!K67</f>
        <v>-13431.161980622324</v>
      </c>
    </row>
    <row r="15" spans="1:12" ht="11.25">
      <c r="A15" s="229" t="s">
        <v>163</v>
      </c>
      <c r="B15" s="235"/>
      <c r="C15" s="237">
        <f>-C7*'Precios Productos'!B68</f>
        <v>-6695.1925</v>
      </c>
      <c r="D15" s="237">
        <f>-D7*'Precios Productos'!C68</f>
        <v>-7449.620181285001</v>
      </c>
      <c r="E15" s="237">
        <f>-E7*'Precios Productos'!D68</f>
        <v>-8289.058282552558</v>
      </c>
      <c r="F15" s="237">
        <f>-F7*'Precios Productos'!E68</f>
        <v>-9223.085947947147</v>
      </c>
      <c r="G15" s="237">
        <f>-G7*'Precios Productos'!F68</f>
        <v>-10262.361718733728</v>
      </c>
      <c r="H15" s="237">
        <f>-H7*'Precios Productos'!G68</f>
        <v>-11418.745161924086</v>
      </c>
      <c r="I15" s="237">
        <f>-I7*'Precios Productos'!H68</f>
        <v>-12705.432204260016</v>
      </c>
      <c r="J15" s="237">
        <f>-J7*'Precios Productos'!I68</f>
        <v>-14137.105715900445</v>
      </c>
      <c r="K15" s="237">
        <f>-K7*'Precios Productos'!J68</f>
        <v>-15730.10306217954</v>
      </c>
      <c r="L15" s="237">
        <f>-L7*'Precios Productos'!K68</f>
        <v>-17502.602535432055</v>
      </c>
    </row>
    <row r="16" spans="1:12" ht="11.25">
      <c r="A16" s="229" t="s">
        <v>164</v>
      </c>
      <c r="B16" s="235"/>
      <c r="C16" s="237">
        <f>-C8*'Precios Productos'!B69</f>
        <v>-2871.8774999999996</v>
      </c>
      <c r="D16" s="237">
        <f>-D8*'Precios Productos'!C69</f>
        <v>-3195.4864004550004</v>
      </c>
      <c r="E16" s="237">
        <f>-E8*'Precios Productos'!D69</f>
        <v>-3555.5601990310715</v>
      </c>
      <c r="F16" s="237">
        <f>-F8*'Precios Productos'!E69</f>
        <v>-3956.207833378291</v>
      </c>
      <c r="G16" s="237">
        <f>-G8*'Precios Productos'!F69</f>
        <v>-4402.001244459024</v>
      </c>
      <c r="H16" s="237">
        <f>-H8*'Precios Productos'!G69</f>
        <v>-4898.027548687157</v>
      </c>
      <c r="I16" s="237">
        <f>-I8*'Precios Productos'!H69</f>
        <v>-5449.947088928324</v>
      </c>
      <c r="J16" s="237">
        <f>-J8*'Precios Productos'!I69</f>
        <v>-6064.058026802946</v>
      </c>
      <c r="K16" s="237">
        <f>-K8*'Precios Productos'!J69</f>
        <v>-6747.368213379156</v>
      </c>
      <c r="L16" s="237">
        <f>-L8*'Precios Productos'!K69</f>
        <v>-7507.675158399147</v>
      </c>
    </row>
    <row r="17" spans="1:12" ht="11.25">
      <c r="A17" s="229" t="s">
        <v>165</v>
      </c>
      <c r="B17" s="235"/>
      <c r="C17" s="237">
        <f>-C9*'Precios Productos'!B70</f>
        <v>-4296.10625</v>
      </c>
      <c r="D17" s="237">
        <f>-D9*'Precios Productos'!C70</f>
        <v>-4780.200094462501</v>
      </c>
      <c r="E17" s="237">
        <f>-E9*'Precios Productos'!D70</f>
        <v>-5318.842601506724</v>
      </c>
      <c r="F17" s="237">
        <f>-F9*'Precios Productos'!E70</f>
        <v>-5918.180423529706</v>
      </c>
      <c r="G17" s="237">
        <f>-G9*'Precios Productos'!F70</f>
        <v>-6585.05283001388</v>
      </c>
      <c r="H17" s="237">
        <f>-H9*'Precios Productos'!G70</f>
        <v>-7327.069753005506</v>
      </c>
      <c r="I17" s="237">
        <f>-I9*'Precios Productos'!H70</f>
        <v>-8152.698626913673</v>
      </c>
      <c r="J17" s="237">
        <f>-J9*'Precios Productos'!I70</f>
        <v>-9071.361013591562</v>
      </c>
      <c r="K17" s="237">
        <f>-K9*'Precios Productos'!J70</f>
        <v>-10093.540115325088</v>
      </c>
      <c r="L17" s="237">
        <f>-L9*'Precios Productos'!K70</f>
        <v>-11230.900402600151</v>
      </c>
    </row>
    <row r="18" spans="1:12" ht="11.25">
      <c r="A18" s="234" t="s">
        <v>210</v>
      </c>
      <c r="B18" s="235"/>
      <c r="C18" s="236">
        <f>SUM(C19:C20)</f>
        <v>-3840</v>
      </c>
      <c r="D18" s="236">
        <f aca="true" t="shared" si="8" ref="D18:L18">SUM(D19:D20)</f>
        <v>-4032</v>
      </c>
      <c r="E18" s="236">
        <f t="shared" si="8"/>
        <v>-4233.6</v>
      </c>
      <c r="F18" s="236">
        <f t="shared" si="8"/>
        <v>-4445.280000000001</v>
      </c>
      <c r="G18" s="236">
        <f t="shared" si="8"/>
        <v>-4667.544000000001</v>
      </c>
      <c r="H18" s="236">
        <f t="shared" si="8"/>
        <v>-4900.921200000001</v>
      </c>
      <c r="I18" s="236">
        <f t="shared" si="8"/>
        <v>-5145.967260000001</v>
      </c>
      <c r="J18" s="236">
        <f t="shared" si="8"/>
        <v>-5403.265623000002</v>
      </c>
      <c r="K18" s="236">
        <f t="shared" si="8"/>
        <v>-5673.4289041500015</v>
      </c>
      <c r="L18" s="236">
        <f t="shared" si="8"/>
        <v>-5957.100349357503</v>
      </c>
    </row>
    <row r="19" spans="1:12" ht="11.25">
      <c r="A19" s="229" t="s">
        <v>127</v>
      </c>
      <c r="B19" s="229"/>
      <c r="C19" s="238">
        <f>-'Ingresos y Costos año 1'!N22</f>
        <v>-2400</v>
      </c>
      <c r="D19" s="238">
        <f>C19*1.05</f>
        <v>-2520</v>
      </c>
      <c r="E19" s="238">
        <f aca="true" t="shared" si="9" ref="E19:L19">D19*1.05</f>
        <v>-2646</v>
      </c>
      <c r="F19" s="238">
        <f t="shared" si="9"/>
        <v>-2778.3</v>
      </c>
      <c r="G19" s="238">
        <f t="shared" si="9"/>
        <v>-2917.215</v>
      </c>
      <c r="H19" s="238">
        <f t="shared" si="9"/>
        <v>-3063.0757500000004</v>
      </c>
      <c r="I19" s="238">
        <f t="shared" si="9"/>
        <v>-3216.229537500001</v>
      </c>
      <c r="J19" s="238">
        <f t="shared" si="9"/>
        <v>-3377.041014375001</v>
      </c>
      <c r="K19" s="238">
        <f t="shared" si="9"/>
        <v>-3545.893065093751</v>
      </c>
      <c r="L19" s="238">
        <f t="shared" si="9"/>
        <v>-3723.1877183484385</v>
      </c>
    </row>
    <row r="20" spans="1:12" ht="11.25">
      <c r="A20" s="229" t="s">
        <v>128</v>
      </c>
      <c r="B20" s="229"/>
      <c r="C20" s="238">
        <f>-'Ingresos y Costos año 1'!N23</f>
        <v>-1440</v>
      </c>
      <c r="D20" s="238">
        <f>C20*1.05</f>
        <v>-1512</v>
      </c>
      <c r="E20" s="238">
        <f aca="true" t="shared" si="10" ref="E20:L20">D20*1.05</f>
        <v>-1587.6000000000001</v>
      </c>
      <c r="F20" s="238">
        <f t="shared" si="10"/>
        <v>-1666.9800000000002</v>
      </c>
      <c r="G20" s="238">
        <f t="shared" si="10"/>
        <v>-1750.3290000000004</v>
      </c>
      <c r="H20" s="238">
        <f t="shared" si="10"/>
        <v>-1837.8454500000005</v>
      </c>
      <c r="I20" s="238">
        <f t="shared" si="10"/>
        <v>-1929.7377225000007</v>
      </c>
      <c r="J20" s="238">
        <f t="shared" si="10"/>
        <v>-2026.2246086250009</v>
      </c>
      <c r="K20" s="238">
        <f t="shared" si="10"/>
        <v>-2127.535839056251</v>
      </c>
      <c r="L20" s="238">
        <f t="shared" si="10"/>
        <v>-2233.9126310090637</v>
      </c>
    </row>
    <row r="21" spans="1:12" ht="11.25">
      <c r="A21" s="234" t="s">
        <v>166</v>
      </c>
      <c r="B21" s="235"/>
      <c r="C21" s="236">
        <f aca="true" t="shared" si="11" ref="C21:L21">SUM(C22:C26)</f>
        <v>-51400</v>
      </c>
      <c r="D21" s="236">
        <f t="shared" si="11"/>
        <v>-51000</v>
      </c>
      <c r="E21" s="236">
        <f t="shared" si="11"/>
        <v>-51000</v>
      </c>
      <c r="F21" s="236">
        <f t="shared" si="11"/>
        <v>-51000</v>
      </c>
      <c r="G21" s="236">
        <f t="shared" si="11"/>
        <v>-51000</v>
      </c>
      <c r="H21" s="236">
        <f t="shared" si="11"/>
        <v>-51000</v>
      </c>
      <c r="I21" s="236">
        <f t="shared" si="11"/>
        <v>-51000</v>
      </c>
      <c r="J21" s="236">
        <f t="shared" si="11"/>
        <v>-51000</v>
      </c>
      <c r="K21" s="236">
        <f t="shared" si="11"/>
        <v>-51000</v>
      </c>
      <c r="L21" s="236">
        <f t="shared" si="11"/>
        <v>-51000</v>
      </c>
    </row>
    <row r="22" spans="1:12" ht="11.25">
      <c r="A22" s="229" t="s">
        <v>122</v>
      </c>
      <c r="B22" s="229"/>
      <c r="C22" s="237">
        <f>-'Ingresos y Costos año 1'!N20</f>
        <v>-33000</v>
      </c>
      <c r="D22" s="237">
        <f aca="true" t="shared" si="12" ref="D22:L26">C22</f>
        <v>-33000</v>
      </c>
      <c r="E22" s="237">
        <f t="shared" si="12"/>
        <v>-33000</v>
      </c>
      <c r="F22" s="237">
        <f t="shared" si="12"/>
        <v>-33000</v>
      </c>
      <c r="G22" s="237">
        <f>F22</f>
        <v>-33000</v>
      </c>
      <c r="H22" s="237">
        <f t="shared" si="12"/>
        <v>-33000</v>
      </c>
      <c r="I22" s="237">
        <f t="shared" si="12"/>
        <v>-33000</v>
      </c>
      <c r="J22" s="237">
        <f t="shared" si="12"/>
        <v>-33000</v>
      </c>
      <c r="K22" s="237">
        <f t="shared" si="12"/>
        <v>-33000</v>
      </c>
      <c r="L22" s="237">
        <f t="shared" si="12"/>
        <v>-33000</v>
      </c>
    </row>
    <row r="23" spans="1:12" ht="11.25">
      <c r="A23" s="229" t="s">
        <v>38</v>
      </c>
      <c r="B23" s="229"/>
      <c r="C23" s="237">
        <f>-'Ingresos y Costos año 1'!N25</f>
        <v>-14400</v>
      </c>
      <c r="D23" s="237">
        <f t="shared" si="12"/>
        <v>-14400</v>
      </c>
      <c r="E23" s="237">
        <f t="shared" si="12"/>
        <v>-14400</v>
      </c>
      <c r="F23" s="237">
        <f t="shared" si="12"/>
        <v>-14400</v>
      </c>
      <c r="G23" s="237">
        <f t="shared" si="12"/>
        <v>-14400</v>
      </c>
      <c r="H23" s="237">
        <f t="shared" si="12"/>
        <v>-14400</v>
      </c>
      <c r="I23" s="237">
        <f t="shared" si="12"/>
        <v>-14400</v>
      </c>
      <c r="J23" s="237">
        <f t="shared" si="12"/>
        <v>-14400</v>
      </c>
      <c r="K23" s="237">
        <f t="shared" si="12"/>
        <v>-14400</v>
      </c>
      <c r="L23" s="237">
        <f t="shared" si="12"/>
        <v>-14400</v>
      </c>
    </row>
    <row r="24" spans="1:12" ht="11.25">
      <c r="A24" s="229" t="s">
        <v>129</v>
      </c>
      <c r="B24" s="229"/>
      <c r="C24" s="238">
        <f>-'Ingresos y Costos año 1'!N24</f>
        <v>-600</v>
      </c>
      <c r="D24" s="238">
        <f t="shared" si="12"/>
        <v>-600</v>
      </c>
      <c r="E24" s="238">
        <f t="shared" si="12"/>
        <v>-600</v>
      </c>
      <c r="F24" s="238">
        <f t="shared" si="12"/>
        <v>-600</v>
      </c>
      <c r="G24" s="238">
        <f t="shared" si="12"/>
        <v>-600</v>
      </c>
      <c r="H24" s="238">
        <f t="shared" si="12"/>
        <v>-600</v>
      </c>
      <c r="I24" s="238">
        <f t="shared" si="12"/>
        <v>-600</v>
      </c>
      <c r="J24" s="238">
        <f t="shared" si="12"/>
        <v>-600</v>
      </c>
      <c r="K24" s="238">
        <f t="shared" si="12"/>
        <v>-600</v>
      </c>
      <c r="L24" s="238">
        <f t="shared" si="12"/>
        <v>-600</v>
      </c>
    </row>
    <row r="25" spans="1:12" ht="11.25">
      <c r="A25" s="229" t="s">
        <v>198</v>
      </c>
      <c r="B25" s="229"/>
      <c r="C25" s="238">
        <f>-'Ingresos y Costos año 1'!N21</f>
        <v>-1000</v>
      </c>
      <c r="D25" s="238">
        <f>-600</f>
        <v>-600</v>
      </c>
      <c r="E25" s="238">
        <f t="shared" si="12"/>
        <v>-600</v>
      </c>
      <c r="F25" s="238">
        <f t="shared" si="12"/>
        <v>-600</v>
      </c>
      <c r="G25" s="238">
        <f t="shared" si="12"/>
        <v>-600</v>
      </c>
      <c r="H25" s="238">
        <f t="shared" si="12"/>
        <v>-600</v>
      </c>
      <c r="I25" s="238">
        <f t="shared" si="12"/>
        <v>-600</v>
      </c>
      <c r="J25" s="238">
        <f t="shared" si="12"/>
        <v>-600</v>
      </c>
      <c r="K25" s="238">
        <f t="shared" si="12"/>
        <v>-600</v>
      </c>
      <c r="L25" s="238">
        <f t="shared" si="12"/>
        <v>-600</v>
      </c>
    </row>
    <row r="26" spans="1:12" ht="11.25">
      <c r="A26" s="229" t="s">
        <v>126</v>
      </c>
      <c r="B26" s="229"/>
      <c r="C26" s="238">
        <f>-'Ingresos y Costos año 1'!N26</f>
        <v>-2400</v>
      </c>
      <c r="D26" s="238">
        <f t="shared" si="12"/>
        <v>-2400</v>
      </c>
      <c r="E26" s="238">
        <f t="shared" si="12"/>
        <v>-2400</v>
      </c>
      <c r="F26" s="238">
        <f t="shared" si="12"/>
        <v>-2400</v>
      </c>
      <c r="G26" s="238">
        <f t="shared" si="12"/>
        <v>-2400</v>
      </c>
      <c r="H26" s="238">
        <f t="shared" si="12"/>
        <v>-2400</v>
      </c>
      <c r="I26" s="238">
        <f t="shared" si="12"/>
        <v>-2400</v>
      </c>
      <c r="J26" s="238">
        <f t="shared" si="12"/>
        <v>-2400</v>
      </c>
      <c r="K26" s="238">
        <f t="shared" si="12"/>
        <v>-2400</v>
      </c>
      <c r="L26" s="238">
        <f t="shared" si="12"/>
        <v>-2400</v>
      </c>
    </row>
    <row r="27" spans="1:12" ht="11.25">
      <c r="A27" s="239" t="s">
        <v>39</v>
      </c>
      <c r="B27" s="239"/>
      <c r="C27" s="240">
        <f>-'Valor de Dep. anual'!C51</f>
        <v>-2390.8266666666664</v>
      </c>
      <c r="D27" s="240">
        <f>-'Valor de Dep. anual'!D51</f>
        <v>-2390.8266666666664</v>
      </c>
      <c r="E27" s="240">
        <f>-'Valor de Dep. anual'!E51</f>
        <v>-1842.8266666666666</v>
      </c>
      <c r="F27" s="240">
        <f>-'Valor de Dep. anual'!F51</f>
        <v>-1660.16</v>
      </c>
      <c r="G27" s="240">
        <f>-'Valor de Dep. anual'!G51</f>
        <v>-710.8266666666667</v>
      </c>
      <c r="H27" s="240">
        <f>-'Valor de Dep. anual'!H51</f>
        <v>-1046.8266666666666</v>
      </c>
      <c r="I27" s="240">
        <f>-'Valor de Dep. anual'!I51</f>
        <v>-1842.8266666666666</v>
      </c>
      <c r="J27" s="240">
        <f>-'Valor de Dep. anual'!J51</f>
        <v>-1660.16</v>
      </c>
      <c r="K27" s="240">
        <f>-'Valor de Dep. anual'!K51</f>
        <v>-2390.8266666666664</v>
      </c>
      <c r="L27" s="240">
        <f>-'Valor de Dep. anual'!L51</f>
        <v>2702.2400000000002</v>
      </c>
    </row>
    <row r="28" spans="1:12" ht="11.25">
      <c r="A28" s="241" t="s">
        <v>185</v>
      </c>
      <c r="B28" s="241"/>
      <c r="C28" s="242">
        <f>'Valor recompra anual'!C51</f>
        <v>0</v>
      </c>
      <c r="D28" s="242">
        <f>'Valor recompra anual'!D51</f>
        <v>0</v>
      </c>
      <c r="E28" s="242">
        <f>'Valor recompra anual'!E51</f>
        <v>0</v>
      </c>
      <c r="F28" s="242">
        <f>-'Valor recompra anual'!F51</f>
        <v>-2740</v>
      </c>
      <c r="G28" s="242">
        <f>'Valor recompra anual'!G51</f>
        <v>0</v>
      </c>
      <c r="H28" s="242">
        <f>-'Valor recompra anual'!H51</f>
        <v>-8400</v>
      </c>
      <c r="I28" s="242">
        <f>'Valor recompra anual'!I51</f>
        <v>0</v>
      </c>
      <c r="J28" s="242">
        <f>-'Valor recompra anual'!J51</f>
        <v>-2740</v>
      </c>
      <c r="K28" s="242">
        <f>'Valor recompra anual'!K51</f>
        <v>0</v>
      </c>
      <c r="L28" s="242">
        <f>'Valor recompra anual'!L51</f>
        <v>0</v>
      </c>
    </row>
    <row r="29" spans="1:12" s="243" customFormat="1" ht="12" thickBot="1">
      <c r="A29" s="308" t="s">
        <v>40</v>
      </c>
      <c r="B29" s="309"/>
      <c r="C29" s="310">
        <f aca="true" t="shared" si="13" ref="C29:L29">SUM(C11:C12)+C27+C28</f>
        <v>-6371.765416666667</v>
      </c>
      <c r="D29" s="310">
        <f t="shared" si="13"/>
        <v>-387.79187689416585</v>
      </c>
      <c r="E29" s="310">
        <f t="shared" si="13"/>
        <v>4993.253232692406</v>
      </c>
      <c r="F29" s="310">
        <f t="shared" si="13"/>
        <v>7694.117518789371</v>
      </c>
      <c r="G29" s="310">
        <f t="shared" si="13"/>
        <v>17102.808763136076</v>
      </c>
      <c r="H29" s="310">
        <f t="shared" si="13"/>
        <v>14586.234893625158</v>
      </c>
      <c r="I29" s="310">
        <f t="shared" si="13"/>
        <v>28951.75289821765</v>
      </c>
      <c r="J29" s="310">
        <f t="shared" si="13"/>
        <v>33743.3980754066</v>
      </c>
      <c r="K29" s="310">
        <f t="shared" si="13"/>
        <v>43738.12748359929</v>
      </c>
      <c r="L29" s="310">
        <f t="shared" si="13"/>
        <v>57505.81141527891</v>
      </c>
    </row>
    <row r="30" spans="1:12" s="243" customFormat="1" ht="12" thickBot="1">
      <c r="A30" s="304" t="s">
        <v>196</v>
      </c>
      <c r="B30" s="305"/>
      <c r="C30" s="306"/>
      <c r="D30" s="306"/>
      <c r="E30" s="306">
        <f>-E29*0.15</f>
        <v>-748.9879849038608</v>
      </c>
      <c r="F30" s="306">
        <f aca="true" t="shared" si="14" ref="F30:L30">-F29*0.15</f>
        <v>-1154.1176278184057</v>
      </c>
      <c r="G30" s="306">
        <f t="shared" si="14"/>
        <v>-2565.4213144704113</v>
      </c>
      <c r="H30" s="306">
        <f t="shared" si="14"/>
        <v>-2187.9352340437736</v>
      </c>
      <c r="I30" s="306">
        <f t="shared" si="14"/>
        <v>-4342.762934732647</v>
      </c>
      <c r="J30" s="306">
        <f t="shared" si="14"/>
        <v>-5061.50971131099</v>
      </c>
      <c r="K30" s="306">
        <f t="shared" si="14"/>
        <v>-6560.719122539893</v>
      </c>
      <c r="L30" s="307">
        <f t="shared" si="14"/>
        <v>-8625.871712291837</v>
      </c>
    </row>
    <row r="31" spans="1:12" ht="12" thickBot="1">
      <c r="A31" s="244" t="s">
        <v>41</v>
      </c>
      <c r="B31" s="245"/>
      <c r="C31" s="246"/>
      <c r="D31" s="246"/>
      <c r="E31" s="246">
        <f aca="true" t="shared" si="15" ref="E31:L31">-(E29*0.25)</f>
        <v>-1248.3133081731014</v>
      </c>
      <c r="F31" s="246">
        <f t="shared" si="15"/>
        <v>-1923.5293796973428</v>
      </c>
      <c r="G31" s="246">
        <f t="shared" si="15"/>
        <v>-4275.702190784019</v>
      </c>
      <c r="H31" s="246">
        <f t="shared" si="15"/>
        <v>-3646.5587234062896</v>
      </c>
      <c r="I31" s="246">
        <f t="shared" si="15"/>
        <v>-7237.938224554413</v>
      </c>
      <c r="J31" s="246">
        <f t="shared" si="15"/>
        <v>-8435.84951885165</v>
      </c>
      <c r="K31" s="246">
        <f t="shared" si="15"/>
        <v>-10934.531870899822</v>
      </c>
      <c r="L31" s="246">
        <f t="shared" si="15"/>
        <v>-14376.452853819728</v>
      </c>
    </row>
    <row r="32" spans="1:12" s="243" customFormat="1" ht="12" thickBot="1">
      <c r="A32" s="247" t="s">
        <v>42</v>
      </c>
      <c r="B32" s="248"/>
      <c r="C32" s="249">
        <f aca="true" t="shared" si="16" ref="C32:L32">SUM(C29:C31)</f>
        <v>-6371.765416666667</v>
      </c>
      <c r="D32" s="249">
        <f t="shared" si="16"/>
        <v>-387.79187689416585</v>
      </c>
      <c r="E32" s="249">
        <f t="shared" si="16"/>
        <v>2995.9519396154437</v>
      </c>
      <c r="F32" s="249">
        <f t="shared" si="16"/>
        <v>4616.470511273623</v>
      </c>
      <c r="G32" s="250">
        <f t="shared" si="16"/>
        <v>10261.685257881645</v>
      </c>
      <c r="H32" s="249">
        <f t="shared" si="16"/>
        <v>8751.740936175096</v>
      </c>
      <c r="I32" s="250">
        <f t="shared" si="16"/>
        <v>17371.05173893059</v>
      </c>
      <c r="J32" s="249">
        <f t="shared" si="16"/>
        <v>20246.038845243962</v>
      </c>
      <c r="K32" s="250">
        <f t="shared" si="16"/>
        <v>26242.87649015957</v>
      </c>
      <c r="L32" s="249">
        <f t="shared" si="16"/>
        <v>34503.48684916735</v>
      </c>
    </row>
    <row r="33" spans="1:12" ht="11.25">
      <c r="A33" s="251" t="s">
        <v>39</v>
      </c>
      <c r="B33" s="251"/>
      <c r="C33" s="252">
        <f aca="true" t="shared" si="17" ref="C33:L33">-C27</f>
        <v>2390.8266666666664</v>
      </c>
      <c r="D33" s="252">
        <f t="shared" si="17"/>
        <v>2390.8266666666664</v>
      </c>
      <c r="E33" s="252">
        <f t="shared" si="17"/>
        <v>1842.8266666666666</v>
      </c>
      <c r="F33" s="252">
        <f t="shared" si="17"/>
        <v>1660.16</v>
      </c>
      <c r="G33" s="252">
        <f t="shared" si="17"/>
        <v>710.8266666666667</v>
      </c>
      <c r="H33" s="252">
        <f t="shared" si="17"/>
        <v>1046.8266666666666</v>
      </c>
      <c r="I33" s="252">
        <f t="shared" si="17"/>
        <v>1842.8266666666666</v>
      </c>
      <c r="J33" s="252">
        <f t="shared" si="17"/>
        <v>1660.16</v>
      </c>
      <c r="K33" s="252">
        <f t="shared" si="17"/>
        <v>2390.8266666666664</v>
      </c>
      <c r="L33" s="252">
        <f t="shared" si="17"/>
        <v>-2702.2400000000002</v>
      </c>
    </row>
    <row r="34" spans="1:12" ht="11.25">
      <c r="A34" s="241" t="s">
        <v>43</v>
      </c>
      <c r="B34" s="253">
        <f>-'Inversion Inicial'!D40</f>
        <v>-15824.5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  <row r="35" spans="1:12" ht="11.25">
      <c r="A35" s="241" t="s">
        <v>44</v>
      </c>
      <c r="B35" s="253">
        <f>'Capital de trabajo'!L31</f>
        <v>-11609.482499999998</v>
      </c>
      <c r="C35" s="254"/>
      <c r="D35" s="229"/>
      <c r="E35" s="229"/>
      <c r="F35" s="229"/>
      <c r="G35" s="229"/>
      <c r="H35" s="229"/>
      <c r="I35" s="229"/>
      <c r="J35" s="229"/>
      <c r="K35" s="229"/>
      <c r="L35" s="229"/>
    </row>
    <row r="36" spans="1:12" ht="12" thickBot="1">
      <c r="A36" s="241" t="s">
        <v>45</v>
      </c>
      <c r="B36" s="255"/>
      <c r="C36" s="229"/>
      <c r="D36" s="256"/>
      <c r="E36" s="229"/>
      <c r="F36" s="229"/>
      <c r="H36" s="257"/>
      <c r="I36" s="257"/>
      <c r="J36" s="257"/>
      <c r="K36" s="257"/>
      <c r="L36" s="257">
        <f>-B35</f>
        <v>11609.482499999998</v>
      </c>
    </row>
    <row r="37" spans="1:12" s="243" customFormat="1" ht="12" thickBot="1">
      <c r="A37" s="247" t="s">
        <v>46</v>
      </c>
      <c r="B37" s="258">
        <f aca="true" t="shared" si="18" ref="B37:L37">SUM(B32:B36)</f>
        <v>-27433.9825</v>
      </c>
      <c r="C37" s="258">
        <f t="shared" si="18"/>
        <v>-3980.9387500000007</v>
      </c>
      <c r="D37" s="258">
        <f t="shared" si="18"/>
        <v>2003.0347897725005</v>
      </c>
      <c r="E37" s="258">
        <f t="shared" si="18"/>
        <v>4838.778606282111</v>
      </c>
      <c r="F37" s="258">
        <f t="shared" si="18"/>
        <v>6276.630511273623</v>
      </c>
      <c r="G37" s="259">
        <f t="shared" si="18"/>
        <v>10972.511924548311</v>
      </c>
      <c r="H37" s="258">
        <f t="shared" si="18"/>
        <v>9798.567602841762</v>
      </c>
      <c r="I37" s="258">
        <f t="shared" si="18"/>
        <v>19213.878405597257</v>
      </c>
      <c r="J37" s="259">
        <f t="shared" si="18"/>
        <v>21906.198845243962</v>
      </c>
      <c r="K37" s="258">
        <f t="shared" si="18"/>
        <v>28633.70315682624</v>
      </c>
      <c r="L37" s="258">
        <f t="shared" si="18"/>
        <v>43410.72934916735</v>
      </c>
    </row>
    <row r="38" spans="1:12" s="243" customFormat="1" ht="12" thickBot="1">
      <c r="A38" s="260" t="s">
        <v>47</v>
      </c>
      <c r="B38" s="261">
        <f>NPV(G39,C37,D37,E37,F37,G37,H37,I37,J37,K37,L37)+B37</f>
        <v>27204.014482581122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1:12" ht="12" thickBot="1">
      <c r="A39" s="263" t="s">
        <v>48</v>
      </c>
      <c r="B39" s="264">
        <f>IRR(B37:L37)</f>
        <v>0.2378808066636601</v>
      </c>
      <c r="D39" s="265"/>
      <c r="E39" s="364" t="s">
        <v>145</v>
      </c>
      <c r="F39" s="365"/>
      <c r="G39" s="266">
        <v>0.13</v>
      </c>
      <c r="H39" s="267"/>
      <c r="I39" s="267"/>
      <c r="J39" s="267"/>
      <c r="K39" s="267"/>
      <c r="L39" s="267"/>
    </row>
    <row r="40" ht="12" thickBot="1"/>
    <row r="41" spans="1:12" ht="12" thickBot="1">
      <c r="A41" s="360" t="s">
        <v>49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2"/>
    </row>
    <row r="42" spans="1:12" ht="11.25">
      <c r="A42" s="268" t="s">
        <v>46</v>
      </c>
      <c r="B42" s="252">
        <f>B37</f>
        <v>-27433.9825</v>
      </c>
      <c r="C42" s="252">
        <f aca="true" t="shared" si="19" ref="C42:L42">C37</f>
        <v>-3980.9387500000007</v>
      </c>
      <c r="D42" s="252">
        <f>D37</f>
        <v>2003.0347897725005</v>
      </c>
      <c r="E42" s="252">
        <f>E37</f>
        <v>4838.778606282111</v>
      </c>
      <c r="F42" s="252">
        <f t="shared" si="19"/>
        <v>6276.630511273623</v>
      </c>
      <c r="G42" s="269">
        <f t="shared" si="19"/>
        <v>10972.511924548311</v>
      </c>
      <c r="H42" s="252">
        <f t="shared" si="19"/>
        <v>9798.567602841762</v>
      </c>
      <c r="I42" s="269">
        <f t="shared" si="19"/>
        <v>19213.878405597257</v>
      </c>
      <c r="J42" s="252">
        <f t="shared" si="19"/>
        <v>21906.198845243962</v>
      </c>
      <c r="K42" s="269">
        <f t="shared" si="19"/>
        <v>28633.70315682624</v>
      </c>
      <c r="L42" s="252">
        <f t="shared" si="19"/>
        <v>43410.72934916735</v>
      </c>
    </row>
    <row r="43" spans="1:12" ht="11.25">
      <c r="A43" s="270" t="s">
        <v>50</v>
      </c>
      <c r="B43" s="238">
        <f>B42</f>
        <v>-27433.9825</v>
      </c>
      <c r="C43" s="238">
        <f aca="true" t="shared" si="20" ref="C43:L43">C42/(1+$G$39)^1</f>
        <v>-3522.9546460177003</v>
      </c>
      <c r="D43" s="238">
        <f t="shared" si="20"/>
        <v>1772.5971590907086</v>
      </c>
      <c r="E43" s="238">
        <f t="shared" si="20"/>
        <v>4282.104961311603</v>
      </c>
      <c r="F43" s="238">
        <f t="shared" si="20"/>
        <v>5554.540275463383</v>
      </c>
      <c r="G43" s="238">
        <f t="shared" si="20"/>
        <v>9710.187543848064</v>
      </c>
      <c r="H43" s="238">
        <f t="shared" si="20"/>
        <v>8671.298763576782</v>
      </c>
      <c r="I43" s="238">
        <f t="shared" si="20"/>
        <v>17003.432217342706</v>
      </c>
      <c r="J43" s="238">
        <f t="shared" si="20"/>
        <v>19386.016677207048</v>
      </c>
      <c r="K43" s="238">
        <f t="shared" si="20"/>
        <v>25339.560315775434</v>
      </c>
      <c r="L43" s="238">
        <f t="shared" si="20"/>
        <v>38416.574645280845</v>
      </c>
    </row>
    <row r="44" spans="1:12" ht="12" thickBot="1">
      <c r="A44" s="271" t="s">
        <v>51</v>
      </c>
      <c r="B44" s="272">
        <f>B43</f>
        <v>-27433.9825</v>
      </c>
      <c r="C44" s="273">
        <f aca="true" t="shared" si="21" ref="C44:L44">B44+C43</f>
        <v>-30956.9371460177</v>
      </c>
      <c r="D44" s="274">
        <f t="shared" si="21"/>
        <v>-29184.33998692699</v>
      </c>
      <c r="E44" s="274">
        <f t="shared" si="21"/>
        <v>-24902.235025615388</v>
      </c>
      <c r="F44" s="273">
        <f t="shared" si="21"/>
        <v>-19347.694750152004</v>
      </c>
      <c r="G44" s="273">
        <f t="shared" si="21"/>
        <v>-9637.50720630394</v>
      </c>
      <c r="H44" s="273">
        <f t="shared" si="21"/>
        <v>-966.2084427271584</v>
      </c>
      <c r="I44" s="273">
        <f t="shared" si="21"/>
        <v>16037.223774615548</v>
      </c>
      <c r="J44" s="273">
        <f t="shared" si="21"/>
        <v>35423.240451822596</v>
      </c>
      <c r="K44" s="273">
        <f t="shared" si="21"/>
        <v>60762.80076759803</v>
      </c>
      <c r="L44" s="273">
        <f t="shared" si="21"/>
        <v>99179.37541287887</v>
      </c>
    </row>
    <row r="45" spans="1:12" ht="12" thickBot="1">
      <c r="A45" s="275"/>
      <c r="B45" s="276"/>
      <c r="C45" s="276"/>
      <c r="D45" s="277" t="s">
        <v>52</v>
      </c>
      <c r="E45" s="278">
        <f>2+(E43/F43)</f>
        <v>2.7709197789468494</v>
      </c>
      <c r="F45" s="279" t="s">
        <v>53</v>
      </c>
      <c r="G45" s="276"/>
      <c r="H45" s="276"/>
      <c r="I45" s="276"/>
      <c r="J45" s="276"/>
      <c r="K45" s="276"/>
      <c r="L45" s="276"/>
    </row>
    <row r="48" spans="1:8" ht="11.25">
      <c r="A48" s="363"/>
      <c r="B48" s="363"/>
      <c r="C48" s="366" t="s">
        <v>167</v>
      </c>
      <c r="D48" s="366"/>
      <c r="E48" s="366"/>
      <c r="F48" s="366"/>
      <c r="G48" s="366"/>
      <c r="H48" s="366"/>
    </row>
    <row r="50" spans="2:8" ht="11.25">
      <c r="B50" s="280"/>
      <c r="C50" s="280"/>
      <c r="D50" s="280"/>
      <c r="E50" s="280"/>
      <c r="F50" s="280"/>
      <c r="G50" s="280"/>
      <c r="H50" s="280"/>
    </row>
    <row r="51" spans="2:8" ht="11.25">
      <c r="B51" s="280"/>
      <c r="C51" s="281" t="s">
        <v>211</v>
      </c>
      <c r="D51" s="280"/>
      <c r="E51" s="280"/>
      <c r="F51" s="280"/>
      <c r="G51" s="280"/>
      <c r="H51" s="280"/>
    </row>
    <row r="52" spans="2:8" ht="12" thickBot="1">
      <c r="B52" s="282" t="s">
        <v>186</v>
      </c>
      <c r="C52" s="283">
        <f>(D54+(D56*(D55-D54)))+D57</f>
        <v>0.17846</v>
      </c>
      <c r="D52" s="284"/>
      <c r="E52" s="280"/>
      <c r="F52" s="280"/>
      <c r="G52" s="285" t="s">
        <v>187</v>
      </c>
      <c r="H52" s="286">
        <v>0.4</v>
      </c>
    </row>
    <row r="53" spans="2:8" ht="11.25">
      <c r="B53" s="280"/>
      <c r="C53" s="287" t="s">
        <v>188</v>
      </c>
      <c r="D53" s="288">
        <v>0.1</v>
      </c>
      <c r="E53" s="280"/>
      <c r="F53" s="280"/>
      <c r="G53" s="285" t="s">
        <v>189</v>
      </c>
      <c r="H53" s="286">
        <v>0.6</v>
      </c>
    </row>
    <row r="54" spans="2:8" ht="11.25">
      <c r="B54" s="280"/>
      <c r="C54" s="289" t="s">
        <v>190</v>
      </c>
      <c r="D54" s="290">
        <v>0.052</v>
      </c>
      <c r="E54" s="280"/>
      <c r="F54" s="280"/>
      <c r="G54" s="280"/>
      <c r="H54" s="280"/>
    </row>
    <row r="55" spans="2:8" ht="11.25">
      <c r="B55" s="280"/>
      <c r="C55" s="289" t="s">
        <v>191</v>
      </c>
      <c r="D55" s="290">
        <v>0.11</v>
      </c>
      <c r="E55" s="280"/>
      <c r="F55" s="280"/>
      <c r="G55" s="280"/>
      <c r="H55" s="280"/>
    </row>
    <row r="56" spans="2:8" ht="11.25">
      <c r="B56" s="280"/>
      <c r="C56" s="289" t="s">
        <v>192</v>
      </c>
      <c r="D56" s="291">
        <v>0.77</v>
      </c>
      <c r="E56" s="280"/>
      <c r="F56" s="280"/>
      <c r="G56" s="280"/>
      <c r="H56" s="280"/>
    </row>
    <row r="57" spans="2:8" ht="11.25">
      <c r="B57" s="280"/>
      <c r="C57" s="289" t="s">
        <v>193</v>
      </c>
      <c r="D57" s="292">
        <v>0.0818</v>
      </c>
      <c r="E57" s="293"/>
      <c r="F57" s="280"/>
      <c r="G57" s="280"/>
      <c r="H57" s="280"/>
    </row>
    <row r="58" spans="2:8" ht="12" thickBot="1">
      <c r="B58" s="280"/>
      <c r="C58" s="294" t="s">
        <v>194</v>
      </c>
      <c r="D58" s="295">
        <f>(H52*C52)+(H53*D53)</f>
        <v>0.131384</v>
      </c>
      <c r="E58" s="296"/>
      <c r="F58" s="280"/>
      <c r="G58" s="280"/>
      <c r="H58" s="280"/>
    </row>
  </sheetData>
  <sheetProtection/>
  <mergeCells count="5">
    <mergeCell ref="A2:L2"/>
    <mergeCell ref="A41:L41"/>
    <mergeCell ref="A48:B48"/>
    <mergeCell ref="E39:F39"/>
    <mergeCell ref="C48:H4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9" sqref="B9:F20"/>
    </sheetView>
  </sheetViews>
  <sheetFormatPr defaultColWidth="9.140625" defaultRowHeight="12.75"/>
  <cols>
    <col min="1" max="1" width="23.28125" style="2" customWidth="1"/>
    <col min="2" max="2" width="15.28125" style="2" customWidth="1"/>
    <col min="3" max="3" width="9.140625" style="2" customWidth="1"/>
    <col min="4" max="4" width="16.00390625" style="2" customWidth="1"/>
    <col min="5" max="5" width="13.140625" style="2" customWidth="1"/>
    <col min="6" max="6" width="11.140625" style="2" customWidth="1"/>
    <col min="7" max="16384" width="9.140625" style="2" customWidth="1"/>
  </cols>
  <sheetData>
    <row r="1" ht="16.5" thickBot="1"/>
    <row r="2" spans="4:5" ht="16.5" thickBot="1">
      <c r="D2" s="83" t="s">
        <v>151</v>
      </c>
      <c r="E2" s="84">
        <v>0.1</v>
      </c>
    </row>
    <row r="3" spans="1:2" ht="16.5" thickBot="1">
      <c r="A3" s="75" t="s">
        <v>149</v>
      </c>
      <c r="B3" s="76">
        <f>'Inversion Inicial'!D40</f>
        <v>15824.5</v>
      </c>
    </row>
    <row r="4" spans="1:2" ht="15.75">
      <c r="A4" s="77" t="s">
        <v>150</v>
      </c>
      <c r="B4" s="76">
        <f>-'Capital de trabajo'!K31</f>
        <v>11696.389062499999</v>
      </c>
    </row>
    <row r="5" spans="1:2" ht="16.5" thickBot="1">
      <c r="A5" s="77" t="s">
        <v>138</v>
      </c>
      <c r="B5" s="78">
        <f>SUM(B3:B4)</f>
        <v>27520.8890625</v>
      </c>
    </row>
    <row r="6" spans="1:2" ht="16.5" thickBot="1">
      <c r="A6" s="81" t="s">
        <v>208</v>
      </c>
      <c r="B6" s="82">
        <f>B5*0.6</f>
        <v>16512.5334375</v>
      </c>
    </row>
    <row r="8" ht="16.5" thickBot="1"/>
    <row r="9" spans="2:6" ht="15.75">
      <c r="B9" s="85" t="s">
        <v>146</v>
      </c>
      <c r="C9" s="86" t="s">
        <v>147</v>
      </c>
      <c r="D9" s="86" t="s">
        <v>197</v>
      </c>
      <c r="E9" s="86" t="s">
        <v>148</v>
      </c>
      <c r="F9" s="87" t="s">
        <v>146</v>
      </c>
    </row>
    <row r="10" spans="2:6" ht="15.75">
      <c r="B10" s="88">
        <v>0</v>
      </c>
      <c r="C10" s="79">
        <f>B6</f>
        <v>16512.5334375</v>
      </c>
      <c r="D10" s="74"/>
      <c r="E10" s="74"/>
      <c r="F10" s="80"/>
    </row>
    <row r="11" spans="2:6" ht="15.75">
      <c r="B11" s="88">
        <v>1</v>
      </c>
      <c r="C11" s="79">
        <f aca="true" t="shared" si="0" ref="C11:C20">C10-D11</f>
        <v>14861.280093749998</v>
      </c>
      <c r="D11" s="79">
        <f>C10/10</f>
        <v>1651.2533437499999</v>
      </c>
      <c r="E11" s="79">
        <f>C10/E2</f>
        <v>165125.33437499998</v>
      </c>
      <c r="F11" s="89">
        <f aca="true" t="shared" si="1" ref="F11:F20">E11+D11</f>
        <v>166776.58771874997</v>
      </c>
    </row>
    <row r="12" spans="2:6" ht="15.75">
      <c r="B12" s="88">
        <v>2</v>
      </c>
      <c r="C12" s="79">
        <f t="shared" si="0"/>
        <v>13210.026749999997</v>
      </c>
      <c r="D12" s="79">
        <f>C10/10</f>
        <v>1651.2533437499999</v>
      </c>
      <c r="E12" s="79">
        <f>C11/E2</f>
        <v>148612.80093749997</v>
      </c>
      <c r="F12" s="89">
        <f t="shared" si="1"/>
        <v>150264.05428124996</v>
      </c>
    </row>
    <row r="13" spans="2:6" ht="15.75">
      <c r="B13" s="88">
        <v>3</v>
      </c>
      <c r="C13" s="79">
        <f t="shared" si="0"/>
        <v>11558.773406249997</v>
      </c>
      <c r="D13" s="79">
        <f>C10/10</f>
        <v>1651.2533437499999</v>
      </c>
      <c r="E13" s="79">
        <f>C12/E2</f>
        <v>132100.26749999996</v>
      </c>
      <c r="F13" s="89">
        <f t="shared" si="1"/>
        <v>133751.52084374995</v>
      </c>
    </row>
    <row r="14" spans="2:6" ht="15.75">
      <c r="B14" s="88">
        <v>4</v>
      </c>
      <c r="C14" s="79">
        <f t="shared" si="0"/>
        <v>9907.520062499996</v>
      </c>
      <c r="D14" s="79">
        <f>C10/10</f>
        <v>1651.2533437499999</v>
      </c>
      <c r="E14" s="79">
        <f>C13/E2</f>
        <v>115587.73406249996</v>
      </c>
      <c r="F14" s="89">
        <f t="shared" si="1"/>
        <v>117238.98740624996</v>
      </c>
    </row>
    <row r="15" spans="2:6" ht="15.75">
      <c r="B15" s="88">
        <v>5</v>
      </c>
      <c r="C15" s="79">
        <f t="shared" si="0"/>
        <v>8256.266718749996</v>
      </c>
      <c r="D15" s="79">
        <f>C10/10</f>
        <v>1651.2533437499999</v>
      </c>
      <c r="E15" s="79">
        <f>C14/E2</f>
        <v>99075.20062499995</v>
      </c>
      <c r="F15" s="89">
        <f t="shared" si="1"/>
        <v>100726.45396874995</v>
      </c>
    </row>
    <row r="16" spans="2:6" ht="15.75">
      <c r="B16" s="88">
        <v>6</v>
      </c>
      <c r="C16" s="79">
        <f t="shared" si="0"/>
        <v>6605.013374999996</v>
      </c>
      <c r="D16" s="79">
        <f>C10/10</f>
        <v>1651.2533437499999</v>
      </c>
      <c r="E16" s="79">
        <f>C15/E2</f>
        <v>82562.66718749994</v>
      </c>
      <c r="F16" s="89">
        <f t="shared" si="1"/>
        <v>84213.92053124994</v>
      </c>
    </row>
    <row r="17" spans="2:6" ht="15.75">
      <c r="B17" s="88">
        <v>7</v>
      </c>
      <c r="C17" s="79">
        <f t="shared" si="0"/>
        <v>4953.760031249996</v>
      </c>
      <c r="D17" s="79">
        <f>C10/10</f>
        <v>1651.2533437499999</v>
      </c>
      <c r="E17" s="79">
        <f>C16/E2</f>
        <v>66050.13374999995</v>
      </c>
      <c r="F17" s="89">
        <f t="shared" si="1"/>
        <v>67701.38709374995</v>
      </c>
    </row>
    <row r="18" spans="2:6" ht="15.75">
      <c r="B18" s="88">
        <v>8</v>
      </c>
      <c r="C18" s="79">
        <f t="shared" si="0"/>
        <v>3302.5066874999966</v>
      </c>
      <c r="D18" s="79">
        <f>C10/10</f>
        <v>1651.2533437499999</v>
      </c>
      <c r="E18" s="79">
        <f>C17/E2</f>
        <v>49537.60031249996</v>
      </c>
      <c r="F18" s="89">
        <f t="shared" si="1"/>
        <v>51188.853656249965</v>
      </c>
    </row>
    <row r="19" spans="2:6" ht="15.75">
      <c r="B19" s="88">
        <v>9</v>
      </c>
      <c r="C19" s="79">
        <f t="shared" si="0"/>
        <v>1651.2533437499967</v>
      </c>
      <c r="D19" s="79">
        <f>C10/10</f>
        <v>1651.2533437499999</v>
      </c>
      <c r="E19" s="79">
        <f>C18/E2</f>
        <v>33025.06687499996</v>
      </c>
      <c r="F19" s="89">
        <f t="shared" si="1"/>
        <v>34676.32021874996</v>
      </c>
    </row>
    <row r="20" spans="2:6" ht="16.5" thickBot="1">
      <c r="B20" s="90">
        <v>10</v>
      </c>
      <c r="C20" s="91">
        <f t="shared" si="0"/>
        <v>-3.183231456205249E-12</v>
      </c>
      <c r="D20" s="91">
        <f>C10/10</f>
        <v>1651.2533437499999</v>
      </c>
      <c r="E20" s="91">
        <f>C19/E2</f>
        <v>16512.533437499966</v>
      </c>
      <c r="F20" s="92">
        <f t="shared" si="1"/>
        <v>18163.786781249964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26">
      <selection activeCell="B55" sqref="B55"/>
    </sheetView>
  </sheetViews>
  <sheetFormatPr defaultColWidth="11.00390625" defaultRowHeight="12.75"/>
  <cols>
    <col min="1" max="1" width="36.140625" style="226" customWidth="1"/>
    <col min="2" max="16384" width="11.00390625" style="226" customWidth="1"/>
  </cols>
  <sheetData>
    <row r="1" ht="11.25"/>
    <row r="2" spans="1:12" ht="27" customHeight="1">
      <c r="A2" s="359" t="s">
        <v>212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ht="12" thickBot="1"/>
    <row r="4" spans="1:12" ht="36" customHeight="1" thickBot="1">
      <c r="A4" s="297" t="s">
        <v>144</v>
      </c>
      <c r="B4" s="298">
        <v>0</v>
      </c>
      <c r="C4" s="298">
        <v>1</v>
      </c>
      <c r="D4" s="298">
        <v>2</v>
      </c>
      <c r="E4" s="298">
        <v>3</v>
      </c>
      <c r="F4" s="298">
        <v>4</v>
      </c>
      <c r="G4" s="299">
        <v>5</v>
      </c>
      <c r="H4" s="299">
        <v>6</v>
      </c>
      <c r="I4" s="299">
        <v>7</v>
      </c>
      <c r="J4" s="299">
        <v>8</v>
      </c>
      <c r="K4" s="299">
        <v>9</v>
      </c>
      <c r="L4" s="299">
        <v>10</v>
      </c>
    </row>
    <row r="5" spans="1:12" ht="12" thickBot="1">
      <c r="A5" s="227" t="s">
        <v>152</v>
      </c>
      <c r="B5" s="228"/>
      <c r="C5" s="317">
        <f>'Ingresos y Costos año 1'!N5</f>
        <v>14052</v>
      </c>
      <c r="D5" s="317">
        <f>C5*1.06</f>
        <v>14895.12</v>
      </c>
      <c r="E5" s="317">
        <f aca="true" t="shared" si="0" ref="E5:L5">D5*1.06</f>
        <v>15788.827200000002</v>
      </c>
      <c r="F5" s="317">
        <f t="shared" si="0"/>
        <v>16736.156832000004</v>
      </c>
      <c r="G5" s="317">
        <f t="shared" si="0"/>
        <v>17740.326241920004</v>
      </c>
      <c r="H5" s="317">
        <f t="shared" si="0"/>
        <v>18804.745816435207</v>
      </c>
      <c r="I5" s="317">
        <f t="shared" si="0"/>
        <v>19933.03056542132</v>
      </c>
      <c r="J5" s="317">
        <f t="shared" si="0"/>
        <v>21129.0123993466</v>
      </c>
      <c r="K5" s="317">
        <f t="shared" si="0"/>
        <v>22396.753143307396</v>
      </c>
      <c r="L5" s="317">
        <f t="shared" si="0"/>
        <v>23740.558331905842</v>
      </c>
    </row>
    <row r="6" spans="1:12" ht="11.25">
      <c r="A6" s="229" t="s">
        <v>162</v>
      </c>
      <c r="B6" s="230"/>
      <c r="C6" s="321">
        <f>C5*0.35</f>
        <v>4918.2</v>
      </c>
      <c r="D6" s="321">
        <f aca="true" t="shared" si="1" ref="D6:L6">D5*0.35</f>
        <v>5213.292</v>
      </c>
      <c r="E6" s="321">
        <f t="shared" si="1"/>
        <v>5526.08952</v>
      </c>
      <c r="F6" s="321">
        <f t="shared" si="1"/>
        <v>5857.654891200001</v>
      </c>
      <c r="G6" s="321">
        <f t="shared" si="1"/>
        <v>6209.114184672001</v>
      </c>
      <c r="H6" s="321">
        <f t="shared" si="1"/>
        <v>6581.661035752322</v>
      </c>
      <c r="I6" s="321">
        <f t="shared" si="1"/>
        <v>6976.560697897461</v>
      </c>
      <c r="J6" s="321">
        <f t="shared" si="1"/>
        <v>7395.154339771309</v>
      </c>
      <c r="K6" s="321">
        <f t="shared" si="1"/>
        <v>7838.863600157588</v>
      </c>
      <c r="L6" s="321">
        <f t="shared" si="1"/>
        <v>8309.195416167044</v>
      </c>
    </row>
    <row r="7" spans="1:12" ht="11.25">
      <c r="A7" s="229" t="s">
        <v>163</v>
      </c>
      <c r="B7" s="230"/>
      <c r="C7" s="321">
        <f>C5*0.25</f>
        <v>3513</v>
      </c>
      <c r="D7" s="321">
        <f aca="true" t="shared" si="2" ref="D7:L7">D5*0.25</f>
        <v>3723.78</v>
      </c>
      <c r="E7" s="321">
        <f t="shared" si="2"/>
        <v>3947.2068000000004</v>
      </c>
      <c r="F7" s="321">
        <f t="shared" si="2"/>
        <v>4184.039208000001</v>
      </c>
      <c r="G7" s="321">
        <f t="shared" si="2"/>
        <v>4435.081560480001</v>
      </c>
      <c r="H7" s="321">
        <f t="shared" si="2"/>
        <v>4701.186454108802</v>
      </c>
      <c r="I7" s="321">
        <f t="shared" si="2"/>
        <v>4983.25764135533</v>
      </c>
      <c r="J7" s="321">
        <f t="shared" si="2"/>
        <v>5282.25309983665</v>
      </c>
      <c r="K7" s="321">
        <f t="shared" si="2"/>
        <v>5599.188285826849</v>
      </c>
      <c r="L7" s="321">
        <f t="shared" si="2"/>
        <v>5935.139582976461</v>
      </c>
    </row>
    <row r="8" spans="1:12" ht="11.25">
      <c r="A8" s="229" t="s">
        <v>164</v>
      </c>
      <c r="B8" s="230"/>
      <c r="C8" s="321">
        <f>C5*0.15</f>
        <v>2107.7999999999997</v>
      </c>
      <c r="D8" s="321">
        <f aca="true" t="shared" si="3" ref="D8:L8">D5*0.15</f>
        <v>2234.268</v>
      </c>
      <c r="E8" s="321">
        <f t="shared" si="3"/>
        <v>2368.3240800000003</v>
      </c>
      <c r="F8" s="321">
        <f t="shared" si="3"/>
        <v>2510.4235248000005</v>
      </c>
      <c r="G8" s="321">
        <f t="shared" si="3"/>
        <v>2661.0489362880003</v>
      </c>
      <c r="H8" s="321">
        <f t="shared" si="3"/>
        <v>2820.711872465281</v>
      </c>
      <c r="I8" s="321">
        <f t="shared" si="3"/>
        <v>2989.954584813198</v>
      </c>
      <c r="J8" s="321">
        <f t="shared" si="3"/>
        <v>3169.35185990199</v>
      </c>
      <c r="K8" s="321">
        <f t="shared" si="3"/>
        <v>3359.5129714961095</v>
      </c>
      <c r="L8" s="321">
        <f t="shared" si="3"/>
        <v>3561.083749785876</v>
      </c>
    </row>
    <row r="9" spans="1:12" ht="11.25">
      <c r="A9" s="229" t="s">
        <v>165</v>
      </c>
      <c r="B9" s="230"/>
      <c r="C9" s="321">
        <f>C5*0.25</f>
        <v>3513</v>
      </c>
      <c r="D9" s="321">
        <f aca="true" t="shared" si="4" ref="D9:K9">D5*0.25</f>
        <v>3723.78</v>
      </c>
      <c r="E9" s="321">
        <f t="shared" si="4"/>
        <v>3947.2068000000004</v>
      </c>
      <c r="F9" s="321">
        <f t="shared" si="4"/>
        <v>4184.039208000001</v>
      </c>
      <c r="G9" s="321">
        <f t="shared" si="4"/>
        <v>4435.081560480001</v>
      </c>
      <c r="H9" s="321">
        <f t="shared" si="4"/>
        <v>4701.186454108802</v>
      </c>
      <c r="I9" s="321">
        <f t="shared" si="4"/>
        <v>4983.25764135533</v>
      </c>
      <c r="J9" s="321">
        <f t="shared" si="4"/>
        <v>5282.25309983665</v>
      </c>
      <c r="K9" s="321">
        <f t="shared" si="4"/>
        <v>5599.188285826849</v>
      </c>
      <c r="L9" s="321">
        <f>L5*0.25</f>
        <v>5935.139582976461</v>
      </c>
    </row>
    <row r="10" spans="1:12" ht="12" thickBot="1">
      <c r="A10" s="231" t="s">
        <v>153</v>
      </c>
      <c r="B10" s="313"/>
      <c r="C10" s="318">
        <f>'Precios Productos'!B81</f>
        <v>5</v>
      </c>
      <c r="D10" s="319">
        <f>'Precios Productos'!C81</f>
        <v>5.2485</v>
      </c>
      <c r="E10" s="319">
        <f>'Precios Productos'!D81</f>
        <v>5.4211756499999995</v>
      </c>
      <c r="F10" s="319">
        <f>'Precios Productos'!E81</f>
        <v>5.599532328884999</v>
      </c>
      <c r="G10" s="319">
        <f>'Precios Productos'!F81</f>
        <v>5.783756942505315</v>
      </c>
      <c r="H10" s="319">
        <f>'Precios Productos'!G81</f>
        <v>5.97404254591374</v>
      </c>
      <c r="I10" s="319">
        <f>'Precios Productos'!H81</f>
        <v>6.170588545674302</v>
      </c>
      <c r="J10" s="319">
        <f>'Precios Productos'!I81</f>
        <v>6.373600908826986</v>
      </c>
      <c r="K10" s="319">
        <f>'Precios Productos'!J81</f>
        <v>6.583292378727394</v>
      </c>
      <c r="L10" s="320">
        <f>'Precios Productos'!K81</f>
        <v>6.799882697987524</v>
      </c>
    </row>
    <row r="11" spans="1:12" ht="12" thickBot="1">
      <c r="A11" s="300" t="s">
        <v>37</v>
      </c>
      <c r="B11" s="301"/>
      <c r="C11" s="302">
        <f>C5*C10</f>
        <v>70260</v>
      </c>
      <c r="D11" s="302">
        <f aca="true" t="shared" si="5" ref="D11:L11">D5*D10</f>
        <v>78177.03732</v>
      </c>
      <c r="E11" s="302">
        <f t="shared" si="5"/>
        <v>85594.00555869768</v>
      </c>
      <c r="F11" s="302">
        <f t="shared" si="5"/>
        <v>93714.65124207357</v>
      </c>
      <c r="G11" s="303">
        <f t="shared" si="5"/>
        <v>102605.73506401405</v>
      </c>
      <c r="H11" s="303">
        <f t="shared" si="5"/>
        <v>112340.35157247733</v>
      </c>
      <c r="I11" s="303">
        <f t="shared" si="5"/>
        <v>122998.53008756453</v>
      </c>
      <c r="J11" s="303">
        <f t="shared" si="5"/>
        <v>134667.89263109214</v>
      </c>
      <c r="K11" s="303">
        <f t="shared" si="5"/>
        <v>147444.37427657438</v>
      </c>
      <c r="L11" s="303">
        <f t="shared" si="5"/>
        <v>161433.01184169008</v>
      </c>
    </row>
    <row r="12" spans="1:12" ht="11.25">
      <c r="A12" s="232" t="s">
        <v>160</v>
      </c>
      <c r="B12" s="232"/>
      <c r="C12" s="233">
        <f>+C13+C21+C18</f>
        <v>-74240.93875</v>
      </c>
      <c r="D12" s="233">
        <f aca="true" t="shared" si="6" ref="D12:L12">+D13+D21+D18</f>
        <v>-76198.0025302275</v>
      </c>
      <c r="E12" s="233">
        <f t="shared" si="6"/>
        <v>-78783.1256593386</v>
      </c>
      <c r="F12" s="233">
        <f t="shared" si="6"/>
        <v>-81646.8337232842</v>
      </c>
      <c r="G12" s="233">
        <f t="shared" si="6"/>
        <v>-84819.88263421132</v>
      </c>
      <c r="H12" s="233">
        <f t="shared" si="6"/>
        <v>-88336.4621621855</v>
      </c>
      <c r="I12" s="233">
        <f t="shared" si="6"/>
        <v>-92234.58128018021</v>
      </c>
      <c r="J12" s="233">
        <f t="shared" si="6"/>
        <v>-96556.49685106054</v>
      </c>
      <c r="K12" s="233">
        <f t="shared" si="6"/>
        <v>-101349.19053645218</v>
      </c>
      <c r="L12" s="233">
        <f t="shared" si="6"/>
        <v>-106664.89935706211</v>
      </c>
    </row>
    <row r="13" spans="1:12" ht="11.25">
      <c r="A13" s="234" t="s">
        <v>161</v>
      </c>
      <c r="B13" s="235"/>
      <c r="C13" s="236">
        <f aca="true" t="shared" si="7" ref="C13:L13">SUM(C14:C17)</f>
        <v>-19000.93875</v>
      </c>
      <c r="D13" s="236">
        <f t="shared" si="7"/>
        <v>-21142.002530227503</v>
      </c>
      <c r="E13" s="236">
        <f t="shared" si="7"/>
        <v>-23524.3256593386</v>
      </c>
      <c r="F13" s="236">
        <f t="shared" si="7"/>
        <v>-26175.093723284197</v>
      </c>
      <c r="G13" s="236">
        <f t="shared" si="7"/>
        <v>-29124.555634211305</v>
      </c>
      <c r="H13" s="236">
        <f t="shared" si="7"/>
        <v>-32406.368812185516</v>
      </c>
      <c r="I13" s="236">
        <f t="shared" si="7"/>
        <v>-36057.98326268021</v>
      </c>
      <c r="J13" s="236">
        <f t="shared" si="7"/>
        <v>-40121.068932685535</v>
      </c>
      <c r="K13" s="236">
        <f t="shared" si="7"/>
        <v>-44641.991222158416</v>
      </c>
      <c r="L13" s="236">
        <f t="shared" si="7"/>
        <v>-49672.340077053675</v>
      </c>
    </row>
    <row r="14" spans="1:12" ht="11.25">
      <c r="A14" s="229" t="s">
        <v>162</v>
      </c>
      <c r="B14" s="235"/>
      <c r="C14" s="237">
        <f>-C6*'Precios Productos'!B67</f>
        <v>-5137.7625</v>
      </c>
      <c r="D14" s="237">
        <f>-D6*'Precios Productos'!C67</f>
        <v>-5716.695854025001</v>
      </c>
      <c r="E14" s="237">
        <f>-E6*'Precios Productos'!D67</f>
        <v>-6360.864576248246</v>
      </c>
      <c r="F14" s="237">
        <f>-F6*'Precios Productos'!E67</f>
        <v>-7077.619518429051</v>
      </c>
      <c r="G14" s="237">
        <f>-G6*'Precios Productos'!F67</f>
        <v>-7875.139841004674</v>
      </c>
      <c r="H14" s="237">
        <f>-H6*'Precios Productos'!G67</f>
        <v>-8762.526348568765</v>
      </c>
      <c r="I14" s="237">
        <f>-I6*'Precios Productos'!H67</f>
        <v>-9749.905342578191</v>
      </c>
      <c r="J14" s="237">
        <f>-J6*'Precios Productos'!I67</f>
        <v>-10848.54417639059</v>
      </c>
      <c r="K14" s="237">
        <f>-K6*'Precios Productos'!J67</f>
        <v>-12070.979831274633</v>
      </c>
      <c r="L14" s="237">
        <f>-L6*'Precios Productos'!K67</f>
        <v>-13431.161980622324</v>
      </c>
    </row>
    <row r="15" spans="1:12" ht="11.25">
      <c r="A15" s="229" t="s">
        <v>163</v>
      </c>
      <c r="B15" s="235"/>
      <c r="C15" s="237">
        <f>-C7*'Precios Productos'!B68</f>
        <v>-6695.1925</v>
      </c>
      <c r="D15" s="237">
        <f>-D7*'Precios Productos'!C68</f>
        <v>-7449.620181285001</v>
      </c>
      <c r="E15" s="237">
        <f>-E7*'Precios Productos'!D68</f>
        <v>-8289.058282552558</v>
      </c>
      <c r="F15" s="237">
        <f>-F7*'Precios Productos'!E68</f>
        <v>-9223.085947947147</v>
      </c>
      <c r="G15" s="237">
        <f>-G7*'Precios Productos'!F68</f>
        <v>-10262.361718733728</v>
      </c>
      <c r="H15" s="237">
        <f>-H7*'Precios Productos'!G68</f>
        <v>-11418.745161924086</v>
      </c>
      <c r="I15" s="237">
        <f>-I7*'Precios Productos'!H68</f>
        <v>-12705.432204260016</v>
      </c>
      <c r="J15" s="237">
        <f>-J7*'Precios Productos'!I68</f>
        <v>-14137.105715900445</v>
      </c>
      <c r="K15" s="237">
        <f>-K7*'Precios Productos'!J68</f>
        <v>-15730.10306217954</v>
      </c>
      <c r="L15" s="237">
        <f>-L7*'Precios Productos'!K68</f>
        <v>-17502.602535432055</v>
      </c>
    </row>
    <row r="16" spans="1:12" ht="11.25">
      <c r="A16" s="229" t="s">
        <v>164</v>
      </c>
      <c r="B16" s="235"/>
      <c r="C16" s="237">
        <f>-C8*'Precios Productos'!B69</f>
        <v>-2871.8774999999996</v>
      </c>
      <c r="D16" s="237">
        <f>-D8*'Precios Productos'!C69</f>
        <v>-3195.4864004550004</v>
      </c>
      <c r="E16" s="237">
        <f>-E8*'Precios Productos'!D69</f>
        <v>-3555.5601990310715</v>
      </c>
      <c r="F16" s="237">
        <f>-F8*'Precios Productos'!E69</f>
        <v>-3956.207833378291</v>
      </c>
      <c r="G16" s="237">
        <f>-G8*'Precios Productos'!F69</f>
        <v>-4402.001244459024</v>
      </c>
      <c r="H16" s="237">
        <f>-H8*'Precios Productos'!G69</f>
        <v>-4898.027548687157</v>
      </c>
      <c r="I16" s="237">
        <f>-I8*'Precios Productos'!H69</f>
        <v>-5449.947088928324</v>
      </c>
      <c r="J16" s="237">
        <f>-J8*'Precios Productos'!I69</f>
        <v>-6064.058026802946</v>
      </c>
      <c r="K16" s="237">
        <f>-K8*'Precios Productos'!J69</f>
        <v>-6747.368213379156</v>
      </c>
      <c r="L16" s="237">
        <f>-L8*'Precios Productos'!K69</f>
        <v>-7507.675158399147</v>
      </c>
    </row>
    <row r="17" spans="1:12" ht="11.25">
      <c r="A17" s="229" t="s">
        <v>165</v>
      </c>
      <c r="B17" s="235"/>
      <c r="C17" s="237">
        <f>-C9*'Precios Productos'!B70</f>
        <v>-4296.10625</v>
      </c>
      <c r="D17" s="237">
        <f>-D9*'Precios Productos'!C70</f>
        <v>-4780.200094462501</v>
      </c>
      <c r="E17" s="237">
        <f>-E9*'Precios Productos'!D70</f>
        <v>-5318.842601506724</v>
      </c>
      <c r="F17" s="237">
        <f>-F9*'Precios Productos'!E70</f>
        <v>-5918.180423529706</v>
      </c>
      <c r="G17" s="237">
        <f>-G9*'Precios Productos'!F70</f>
        <v>-6585.05283001388</v>
      </c>
      <c r="H17" s="237">
        <f>-H9*'Precios Productos'!G70</f>
        <v>-7327.069753005506</v>
      </c>
      <c r="I17" s="237">
        <f>-I9*'Precios Productos'!H70</f>
        <v>-8152.698626913673</v>
      </c>
      <c r="J17" s="237">
        <f>-J9*'Precios Productos'!I70</f>
        <v>-9071.361013591562</v>
      </c>
      <c r="K17" s="237">
        <f>-K9*'Precios Productos'!J70</f>
        <v>-10093.540115325088</v>
      </c>
      <c r="L17" s="237">
        <f>-L9*'Precios Productos'!K70</f>
        <v>-11230.900402600151</v>
      </c>
    </row>
    <row r="18" spans="1:12" ht="11.25">
      <c r="A18" s="234" t="s">
        <v>209</v>
      </c>
      <c r="B18" s="235"/>
      <c r="C18" s="236">
        <f>SUM(C19:C20)</f>
        <v>-3840</v>
      </c>
      <c r="D18" s="236">
        <f aca="true" t="shared" si="8" ref="D18:L18">SUM(D19:D20)</f>
        <v>-4056</v>
      </c>
      <c r="E18" s="236">
        <f t="shared" si="8"/>
        <v>-4258.8</v>
      </c>
      <c r="F18" s="236">
        <f t="shared" si="8"/>
        <v>-4471.740000000001</v>
      </c>
      <c r="G18" s="236">
        <f t="shared" si="8"/>
        <v>-4695.327000000001</v>
      </c>
      <c r="H18" s="236">
        <f t="shared" si="8"/>
        <v>-4930.093350000001</v>
      </c>
      <c r="I18" s="236">
        <f t="shared" si="8"/>
        <v>-5176.598017500001</v>
      </c>
      <c r="J18" s="236">
        <f t="shared" si="8"/>
        <v>-5435.427918375002</v>
      </c>
      <c r="K18" s="236">
        <f t="shared" si="8"/>
        <v>-5707.199314293752</v>
      </c>
      <c r="L18" s="236">
        <f t="shared" si="8"/>
        <v>-5992.55928000844</v>
      </c>
    </row>
    <row r="19" spans="1:12" ht="11.25">
      <c r="A19" s="229" t="s">
        <v>127</v>
      </c>
      <c r="B19" s="229"/>
      <c r="C19" s="238">
        <f>-'Ingresos y Costos año 1'!N22</f>
        <v>-2400</v>
      </c>
      <c r="D19" s="238">
        <f>C19*1.06</f>
        <v>-2544</v>
      </c>
      <c r="E19" s="238">
        <f aca="true" t="shared" si="9" ref="E19:L20">D19*1.05</f>
        <v>-2671.2000000000003</v>
      </c>
      <c r="F19" s="238">
        <f t="shared" si="9"/>
        <v>-2804.76</v>
      </c>
      <c r="G19" s="238">
        <f t="shared" si="9"/>
        <v>-2944.9980000000005</v>
      </c>
      <c r="H19" s="238">
        <f t="shared" si="9"/>
        <v>-3092.2479000000008</v>
      </c>
      <c r="I19" s="238">
        <f t="shared" si="9"/>
        <v>-3246.860295000001</v>
      </c>
      <c r="J19" s="238">
        <f t="shared" si="9"/>
        <v>-3409.203309750001</v>
      </c>
      <c r="K19" s="238">
        <f t="shared" si="9"/>
        <v>-3579.663475237501</v>
      </c>
      <c r="L19" s="238">
        <f t="shared" si="9"/>
        <v>-3758.6466489993763</v>
      </c>
    </row>
    <row r="20" spans="1:12" ht="11.25">
      <c r="A20" s="229" t="s">
        <v>128</v>
      </c>
      <c r="B20" s="229"/>
      <c r="C20" s="238">
        <f>-'Ingresos y Costos año 1'!N23</f>
        <v>-1440</v>
      </c>
      <c r="D20" s="238">
        <f>C20*1.05</f>
        <v>-1512</v>
      </c>
      <c r="E20" s="238">
        <f t="shared" si="9"/>
        <v>-1587.6000000000001</v>
      </c>
      <c r="F20" s="238">
        <f t="shared" si="9"/>
        <v>-1666.9800000000002</v>
      </c>
      <c r="G20" s="238">
        <f t="shared" si="9"/>
        <v>-1750.3290000000004</v>
      </c>
      <c r="H20" s="238">
        <f t="shared" si="9"/>
        <v>-1837.8454500000005</v>
      </c>
      <c r="I20" s="238">
        <f t="shared" si="9"/>
        <v>-1929.7377225000007</v>
      </c>
      <c r="J20" s="238">
        <f t="shared" si="9"/>
        <v>-2026.2246086250009</v>
      </c>
      <c r="K20" s="238">
        <f t="shared" si="9"/>
        <v>-2127.535839056251</v>
      </c>
      <c r="L20" s="238">
        <f t="shared" si="9"/>
        <v>-2233.9126310090637</v>
      </c>
    </row>
    <row r="21" spans="1:12" ht="11.25">
      <c r="A21" s="234" t="s">
        <v>166</v>
      </c>
      <c r="B21" s="235"/>
      <c r="C21" s="236">
        <f aca="true" t="shared" si="10" ref="C21:L21">SUM(C22:C26)</f>
        <v>-51400</v>
      </c>
      <c r="D21" s="236">
        <f t="shared" si="10"/>
        <v>-51000</v>
      </c>
      <c r="E21" s="236">
        <f t="shared" si="10"/>
        <v>-51000</v>
      </c>
      <c r="F21" s="236">
        <f t="shared" si="10"/>
        <v>-51000</v>
      </c>
      <c r="G21" s="236">
        <f t="shared" si="10"/>
        <v>-51000</v>
      </c>
      <c r="H21" s="236">
        <f t="shared" si="10"/>
        <v>-51000</v>
      </c>
      <c r="I21" s="236">
        <f t="shared" si="10"/>
        <v>-51000</v>
      </c>
      <c r="J21" s="236">
        <f t="shared" si="10"/>
        <v>-51000</v>
      </c>
      <c r="K21" s="236">
        <f t="shared" si="10"/>
        <v>-51000</v>
      </c>
      <c r="L21" s="236">
        <f t="shared" si="10"/>
        <v>-51000</v>
      </c>
    </row>
    <row r="22" spans="1:12" ht="11.25">
      <c r="A22" s="229" t="s">
        <v>122</v>
      </c>
      <c r="B22" s="229"/>
      <c r="C22" s="237">
        <f>-'Ingresos y Costos año 1'!N20</f>
        <v>-33000</v>
      </c>
      <c r="D22" s="237">
        <f aca="true" t="shared" si="11" ref="D22:L26">C22</f>
        <v>-33000</v>
      </c>
      <c r="E22" s="237">
        <f t="shared" si="11"/>
        <v>-33000</v>
      </c>
      <c r="F22" s="237">
        <f t="shared" si="11"/>
        <v>-33000</v>
      </c>
      <c r="G22" s="237">
        <f>F22</f>
        <v>-33000</v>
      </c>
      <c r="H22" s="237">
        <f t="shared" si="11"/>
        <v>-33000</v>
      </c>
      <c r="I22" s="237">
        <f t="shared" si="11"/>
        <v>-33000</v>
      </c>
      <c r="J22" s="237">
        <f t="shared" si="11"/>
        <v>-33000</v>
      </c>
      <c r="K22" s="237">
        <f t="shared" si="11"/>
        <v>-33000</v>
      </c>
      <c r="L22" s="237">
        <f t="shared" si="11"/>
        <v>-33000</v>
      </c>
    </row>
    <row r="23" spans="1:12" ht="11.25">
      <c r="A23" s="229" t="s">
        <v>38</v>
      </c>
      <c r="B23" s="229"/>
      <c r="C23" s="237">
        <f>-'Ingresos y Costos año 1'!N25</f>
        <v>-14400</v>
      </c>
      <c r="D23" s="237">
        <f t="shared" si="11"/>
        <v>-14400</v>
      </c>
      <c r="E23" s="237">
        <f t="shared" si="11"/>
        <v>-14400</v>
      </c>
      <c r="F23" s="237">
        <f t="shared" si="11"/>
        <v>-14400</v>
      </c>
      <c r="G23" s="237">
        <f t="shared" si="11"/>
        <v>-14400</v>
      </c>
      <c r="H23" s="237">
        <f t="shared" si="11"/>
        <v>-14400</v>
      </c>
      <c r="I23" s="237">
        <f t="shared" si="11"/>
        <v>-14400</v>
      </c>
      <c r="J23" s="237">
        <f t="shared" si="11"/>
        <v>-14400</v>
      </c>
      <c r="K23" s="237">
        <f t="shared" si="11"/>
        <v>-14400</v>
      </c>
      <c r="L23" s="237">
        <f t="shared" si="11"/>
        <v>-14400</v>
      </c>
    </row>
    <row r="24" spans="1:12" ht="11.25">
      <c r="A24" s="229" t="s">
        <v>129</v>
      </c>
      <c r="B24" s="229"/>
      <c r="C24" s="238">
        <f>-'Ingresos y Costos año 1'!N24</f>
        <v>-600</v>
      </c>
      <c r="D24" s="238">
        <f t="shared" si="11"/>
        <v>-600</v>
      </c>
      <c r="E24" s="238">
        <f t="shared" si="11"/>
        <v>-600</v>
      </c>
      <c r="F24" s="238">
        <f t="shared" si="11"/>
        <v>-600</v>
      </c>
      <c r="G24" s="238">
        <f t="shared" si="11"/>
        <v>-600</v>
      </c>
      <c r="H24" s="238">
        <f t="shared" si="11"/>
        <v>-600</v>
      </c>
      <c r="I24" s="238">
        <f t="shared" si="11"/>
        <v>-600</v>
      </c>
      <c r="J24" s="238">
        <f t="shared" si="11"/>
        <v>-600</v>
      </c>
      <c r="K24" s="238">
        <f t="shared" si="11"/>
        <v>-600</v>
      </c>
      <c r="L24" s="238">
        <f t="shared" si="11"/>
        <v>-600</v>
      </c>
    </row>
    <row r="25" spans="1:12" ht="11.25">
      <c r="A25" s="229" t="s">
        <v>198</v>
      </c>
      <c r="B25" s="229"/>
      <c r="C25" s="238">
        <f>-'Ingresos y Costos año 1'!N21</f>
        <v>-1000</v>
      </c>
      <c r="D25" s="238">
        <f>-600</f>
        <v>-600</v>
      </c>
      <c r="E25" s="238">
        <f t="shared" si="11"/>
        <v>-600</v>
      </c>
      <c r="F25" s="238">
        <f t="shared" si="11"/>
        <v>-600</v>
      </c>
      <c r="G25" s="238">
        <f t="shared" si="11"/>
        <v>-600</v>
      </c>
      <c r="H25" s="238">
        <f t="shared" si="11"/>
        <v>-600</v>
      </c>
      <c r="I25" s="238">
        <f t="shared" si="11"/>
        <v>-600</v>
      </c>
      <c r="J25" s="238">
        <f t="shared" si="11"/>
        <v>-600</v>
      </c>
      <c r="K25" s="238">
        <f t="shared" si="11"/>
        <v>-600</v>
      </c>
      <c r="L25" s="238">
        <f t="shared" si="11"/>
        <v>-600</v>
      </c>
    </row>
    <row r="26" spans="1:12" ht="11.25">
      <c r="A26" s="229" t="s">
        <v>126</v>
      </c>
      <c r="B26" s="229"/>
      <c r="C26" s="238">
        <f>-'Ingresos y Costos año 1'!N26</f>
        <v>-2400</v>
      </c>
      <c r="D26" s="238">
        <f t="shared" si="11"/>
        <v>-2400</v>
      </c>
      <c r="E26" s="238">
        <f t="shared" si="11"/>
        <v>-2400</v>
      </c>
      <c r="F26" s="238">
        <f t="shared" si="11"/>
        <v>-2400</v>
      </c>
      <c r="G26" s="238">
        <f t="shared" si="11"/>
        <v>-2400</v>
      </c>
      <c r="H26" s="238">
        <f t="shared" si="11"/>
        <v>-2400</v>
      </c>
      <c r="I26" s="238">
        <f t="shared" si="11"/>
        <v>-2400</v>
      </c>
      <c r="J26" s="238">
        <f t="shared" si="11"/>
        <v>-2400</v>
      </c>
      <c r="K26" s="238">
        <f t="shared" si="11"/>
        <v>-2400</v>
      </c>
      <c r="L26" s="238">
        <f t="shared" si="11"/>
        <v>-2400</v>
      </c>
    </row>
    <row r="27" spans="1:12" ht="11.25">
      <c r="A27" s="239" t="s">
        <v>39</v>
      </c>
      <c r="B27" s="239"/>
      <c r="C27" s="240">
        <f>-'Valor de Dep. anual'!C51</f>
        <v>-2390.8266666666664</v>
      </c>
      <c r="D27" s="240">
        <f>-'Valor de Dep. anual'!D51</f>
        <v>-2390.8266666666664</v>
      </c>
      <c r="E27" s="240">
        <f>-'Valor de Dep. anual'!E51</f>
        <v>-1842.8266666666666</v>
      </c>
      <c r="F27" s="240">
        <f>-'Valor de Dep. anual'!F51</f>
        <v>-1660.16</v>
      </c>
      <c r="G27" s="240">
        <f>-'Valor de Dep. anual'!G51</f>
        <v>-710.8266666666667</v>
      </c>
      <c r="H27" s="240">
        <f>-'Valor de Dep. anual'!H51</f>
        <v>-1046.8266666666666</v>
      </c>
      <c r="I27" s="240">
        <f>-'Valor de Dep. anual'!I51</f>
        <v>-1842.8266666666666</v>
      </c>
      <c r="J27" s="240">
        <f>-'Valor de Dep. anual'!J51</f>
        <v>-1660.16</v>
      </c>
      <c r="K27" s="240">
        <f>-'Valor de Dep. anual'!K51</f>
        <v>-2390.8266666666664</v>
      </c>
      <c r="L27" s="240">
        <f>-'Valor de Dep. anual'!L51</f>
        <v>2702.2400000000002</v>
      </c>
    </row>
    <row r="28" spans="1:12" ht="12" thickBot="1">
      <c r="A28" s="239" t="s">
        <v>185</v>
      </c>
      <c r="B28" s="239"/>
      <c r="C28" s="240">
        <f>'Valor recompra anual'!C51</f>
        <v>0</v>
      </c>
      <c r="D28" s="240">
        <f>'Valor recompra anual'!D51</f>
        <v>0</v>
      </c>
      <c r="E28" s="240">
        <f>'Valor recompra anual'!E51</f>
        <v>0</v>
      </c>
      <c r="F28" s="240">
        <f>-'Valor recompra anual'!F51</f>
        <v>-2740</v>
      </c>
      <c r="G28" s="240">
        <f>'Valor recompra anual'!G51</f>
        <v>0</v>
      </c>
      <c r="H28" s="240">
        <f>-'Valor recompra anual'!H51</f>
        <v>-8400</v>
      </c>
      <c r="I28" s="240">
        <f>'Valor recompra anual'!I51</f>
        <v>0</v>
      </c>
      <c r="J28" s="240">
        <f>-'Valor recompra anual'!J51</f>
        <v>-2740</v>
      </c>
      <c r="K28" s="240">
        <f>'Valor recompra anual'!K51</f>
        <v>0</v>
      </c>
      <c r="L28" s="240">
        <f>'Valor recompra anual'!L51</f>
        <v>0</v>
      </c>
    </row>
    <row r="29" spans="1:12" s="243" customFormat="1" ht="11.25">
      <c r="A29" s="322" t="s">
        <v>40</v>
      </c>
      <c r="B29" s="323"/>
      <c r="C29" s="324">
        <f aca="true" t="shared" si="12" ref="C29:L29">SUM(C11:C12)+C27+C28</f>
        <v>-6371.765416666667</v>
      </c>
      <c r="D29" s="324">
        <f t="shared" si="12"/>
        <v>-411.79187689416585</v>
      </c>
      <c r="E29" s="324">
        <f t="shared" si="12"/>
        <v>4968.0532326924085</v>
      </c>
      <c r="F29" s="324">
        <f t="shared" si="12"/>
        <v>7667.657518789365</v>
      </c>
      <c r="G29" s="324">
        <f t="shared" si="12"/>
        <v>17075.025763136066</v>
      </c>
      <c r="H29" s="324">
        <f t="shared" si="12"/>
        <v>14557.06274362516</v>
      </c>
      <c r="I29" s="324">
        <f t="shared" si="12"/>
        <v>28921.122140717656</v>
      </c>
      <c r="J29" s="324">
        <f t="shared" si="12"/>
        <v>33711.235780031595</v>
      </c>
      <c r="K29" s="324">
        <f t="shared" si="12"/>
        <v>43704.35707345553</v>
      </c>
      <c r="L29" s="325">
        <f t="shared" si="12"/>
        <v>57470.35248462797</v>
      </c>
    </row>
    <row r="30" spans="1:12" s="243" customFormat="1" ht="11.25">
      <c r="A30" s="326" t="s">
        <v>196</v>
      </c>
      <c r="B30" s="326"/>
      <c r="C30" s="327"/>
      <c r="D30" s="327"/>
      <c r="E30" s="327">
        <f>-E29*0.15</f>
        <v>-745.2079849038613</v>
      </c>
      <c r="F30" s="327">
        <f aca="true" t="shared" si="13" ref="F30:L30">-F29*0.15</f>
        <v>-1150.1486278184047</v>
      </c>
      <c r="G30" s="327">
        <f t="shared" si="13"/>
        <v>-2561.2538644704096</v>
      </c>
      <c r="H30" s="327">
        <f t="shared" si="13"/>
        <v>-2183.559411543774</v>
      </c>
      <c r="I30" s="327">
        <f t="shared" si="13"/>
        <v>-4338.168321107648</v>
      </c>
      <c r="J30" s="327">
        <f t="shared" si="13"/>
        <v>-5056.685367004739</v>
      </c>
      <c r="K30" s="327">
        <f t="shared" si="13"/>
        <v>-6555.65356101833</v>
      </c>
      <c r="L30" s="327">
        <f t="shared" si="13"/>
        <v>-8620.552872694196</v>
      </c>
    </row>
    <row r="31" spans="1:12" ht="12" thickBot="1">
      <c r="A31" s="244" t="s">
        <v>41</v>
      </c>
      <c r="B31" s="245"/>
      <c r="C31" s="246"/>
      <c r="D31" s="246"/>
      <c r="E31" s="246">
        <f aca="true" t="shared" si="14" ref="E31:L31">-(E29*0.25)</f>
        <v>-1242.0133081731021</v>
      </c>
      <c r="F31" s="246">
        <f t="shared" si="14"/>
        <v>-1916.9143796973412</v>
      </c>
      <c r="G31" s="246">
        <f t="shared" si="14"/>
        <v>-4268.756440784016</v>
      </c>
      <c r="H31" s="246">
        <f t="shared" si="14"/>
        <v>-3639.26568590629</v>
      </c>
      <c r="I31" s="246">
        <f t="shared" si="14"/>
        <v>-7230.280535179414</v>
      </c>
      <c r="J31" s="246">
        <f t="shared" si="14"/>
        <v>-8427.808945007899</v>
      </c>
      <c r="K31" s="246">
        <f t="shared" si="14"/>
        <v>-10926.089268363883</v>
      </c>
      <c r="L31" s="246">
        <f t="shared" si="14"/>
        <v>-14367.588121156992</v>
      </c>
    </row>
    <row r="32" spans="1:12" s="243" customFormat="1" ht="12" thickBot="1">
      <c r="A32" s="247" t="s">
        <v>42</v>
      </c>
      <c r="B32" s="248"/>
      <c r="C32" s="249">
        <f aca="true" t="shared" si="15" ref="C32:L32">SUM(C29:C31)</f>
        <v>-6371.765416666667</v>
      </c>
      <c r="D32" s="249">
        <f t="shared" si="15"/>
        <v>-411.79187689416585</v>
      </c>
      <c r="E32" s="249">
        <f t="shared" si="15"/>
        <v>2980.8319396154457</v>
      </c>
      <c r="F32" s="249">
        <f t="shared" si="15"/>
        <v>4600.594511273619</v>
      </c>
      <c r="G32" s="250">
        <f t="shared" si="15"/>
        <v>10245.01545788164</v>
      </c>
      <c r="H32" s="249">
        <f t="shared" si="15"/>
        <v>8734.237646175096</v>
      </c>
      <c r="I32" s="250">
        <f t="shared" si="15"/>
        <v>17352.673284430595</v>
      </c>
      <c r="J32" s="249">
        <f t="shared" si="15"/>
        <v>20226.741468018958</v>
      </c>
      <c r="K32" s="250">
        <f t="shared" si="15"/>
        <v>26222.614244073324</v>
      </c>
      <c r="L32" s="249">
        <f t="shared" si="15"/>
        <v>34482.21149077678</v>
      </c>
    </row>
    <row r="33" spans="1:12" ht="11.25">
      <c r="A33" s="251" t="s">
        <v>39</v>
      </c>
      <c r="B33" s="251"/>
      <c r="C33" s="252">
        <f aca="true" t="shared" si="16" ref="C33:L33">-C27</f>
        <v>2390.8266666666664</v>
      </c>
      <c r="D33" s="252">
        <f t="shared" si="16"/>
        <v>2390.8266666666664</v>
      </c>
      <c r="E33" s="252">
        <f t="shared" si="16"/>
        <v>1842.8266666666666</v>
      </c>
      <c r="F33" s="252">
        <f t="shared" si="16"/>
        <v>1660.16</v>
      </c>
      <c r="G33" s="252">
        <f t="shared" si="16"/>
        <v>710.8266666666667</v>
      </c>
      <c r="H33" s="252">
        <f t="shared" si="16"/>
        <v>1046.8266666666666</v>
      </c>
      <c r="I33" s="252">
        <f t="shared" si="16"/>
        <v>1842.8266666666666</v>
      </c>
      <c r="J33" s="252">
        <f t="shared" si="16"/>
        <v>1660.16</v>
      </c>
      <c r="K33" s="252">
        <f t="shared" si="16"/>
        <v>2390.8266666666664</v>
      </c>
      <c r="L33" s="252">
        <f t="shared" si="16"/>
        <v>-2702.2400000000002</v>
      </c>
    </row>
    <row r="34" spans="1:12" ht="11.25">
      <c r="A34" s="241" t="s">
        <v>43</v>
      </c>
      <c r="B34" s="253">
        <f>-'Inversion Inicial'!D40</f>
        <v>-15824.5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  <row r="35" spans="1:12" ht="11.25">
      <c r="A35" s="241" t="s">
        <v>142</v>
      </c>
      <c r="B35" s="253">
        <f>-'Tabla de amortizacion'!B6</f>
        <v>-16512.5334375</v>
      </c>
      <c r="C35" s="254"/>
      <c r="D35" s="229"/>
      <c r="E35" s="229"/>
      <c r="F35" s="229"/>
      <c r="G35" s="229"/>
      <c r="H35" s="229"/>
      <c r="I35" s="229"/>
      <c r="J35" s="229"/>
      <c r="K35" s="229"/>
      <c r="L35" s="229"/>
    </row>
    <row r="36" spans="1:12" ht="11.25">
      <c r="A36" s="241" t="s">
        <v>143</v>
      </c>
      <c r="B36" s="253"/>
      <c r="C36" s="311">
        <f>-'Tabla de amortizacion'!D11</f>
        <v>-1651.2533437499999</v>
      </c>
      <c r="D36" s="312">
        <f>C36</f>
        <v>-1651.2533437499999</v>
      </c>
      <c r="E36" s="312">
        <f aca="true" t="shared" si="17" ref="E36:L36">D36</f>
        <v>-1651.2533437499999</v>
      </c>
      <c r="F36" s="312">
        <f t="shared" si="17"/>
        <v>-1651.2533437499999</v>
      </c>
      <c r="G36" s="312">
        <f t="shared" si="17"/>
        <v>-1651.2533437499999</v>
      </c>
      <c r="H36" s="312">
        <f t="shared" si="17"/>
        <v>-1651.2533437499999</v>
      </c>
      <c r="I36" s="312">
        <f t="shared" si="17"/>
        <v>-1651.2533437499999</v>
      </c>
      <c r="J36" s="312">
        <f t="shared" si="17"/>
        <v>-1651.2533437499999</v>
      </c>
      <c r="K36" s="312">
        <f t="shared" si="17"/>
        <v>-1651.2533437499999</v>
      </c>
      <c r="L36" s="312">
        <f t="shared" si="17"/>
        <v>-1651.2533437499999</v>
      </c>
    </row>
    <row r="37" spans="1:12" ht="11.25">
      <c r="A37" s="241" t="s">
        <v>44</v>
      </c>
      <c r="B37" s="253">
        <f>'Capital de trabajo'!L31</f>
        <v>-11609.482499999998</v>
      </c>
      <c r="C37" s="254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12" thickBot="1">
      <c r="A38" s="241" t="s">
        <v>45</v>
      </c>
      <c r="B38" s="255"/>
      <c r="C38" s="229"/>
      <c r="D38" s="256"/>
      <c r="E38" s="229"/>
      <c r="F38" s="229"/>
      <c r="H38" s="257"/>
      <c r="I38" s="257"/>
      <c r="J38" s="257"/>
      <c r="K38" s="257"/>
      <c r="L38" s="257">
        <f>-B37</f>
        <v>11609.482499999998</v>
      </c>
    </row>
    <row r="39" spans="1:12" s="243" customFormat="1" ht="12" thickBot="1">
      <c r="A39" s="247" t="s">
        <v>46</v>
      </c>
      <c r="B39" s="258">
        <f aca="true" t="shared" si="18" ref="B39:L39">SUM(B32:B38)</f>
        <v>-43946.51593749999</v>
      </c>
      <c r="C39" s="258">
        <f t="shared" si="18"/>
        <v>-5632.192093750001</v>
      </c>
      <c r="D39" s="258">
        <f t="shared" si="18"/>
        <v>327.78144602250063</v>
      </c>
      <c r="E39" s="258">
        <f t="shared" si="18"/>
        <v>3172.405262532113</v>
      </c>
      <c r="F39" s="258">
        <f t="shared" si="18"/>
        <v>4609.501167523619</v>
      </c>
      <c r="G39" s="259">
        <f t="shared" si="18"/>
        <v>9304.588780798305</v>
      </c>
      <c r="H39" s="258">
        <f t="shared" si="18"/>
        <v>8129.810969091762</v>
      </c>
      <c r="I39" s="258">
        <f t="shared" si="18"/>
        <v>17544.246607347264</v>
      </c>
      <c r="J39" s="259">
        <f t="shared" si="18"/>
        <v>20235.64812426896</v>
      </c>
      <c r="K39" s="258">
        <f t="shared" si="18"/>
        <v>26962.187566989993</v>
      </c>
      <c r="L39" s="258">
        <f t="shared" si="18"/>
        <v>41738.20064702678</v>
      </c>
    </row>
    <row r="40" spans="1:12" s="243" customFormat="1" ht="12" thickBot="1">
      <c r="A40" s="260" t="s">
        <v>47</v>
      </c>
      <c r="B40" s="261">
        <v>1731.38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2"/>
    </row>
    <row r="41" spans="1:12" ht="12" thickBot="1">
      <c r="A41" s="263" t="s">
        <v>48</v>
      </c>
      <c r="B41" s="264">
        <f>IRR(B39:L39)</f>
        <v>0.13501235420276447</v>
      </c>
      <c r="D41" s="265"/>
      <c r="E41" s="364" t="s">
        <v>145</v>
      </c>
      <c r="F41" s="365"/>
      <c r="G41" s="266">
        <v>0.13</v>
      </c>
      <c r="H41" s="267"/>
      <c r="I41" s="267"/>
      <c r="J41" s="267"/>
      <c r="K41" s="267"/>
      <c r="L41" s="267"/>
    </row>
    <row r="42" ht="12" thickBot="1"/>
    <row r="43" spans="1:12" ht="12" thickBot="1">
      <c r="A43" s="360" t="s">
        <v>49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2"/>
    </row>
    <row r="44" spans="1:12" ht="11.25">
      <c r="A44" s="268" t="s">
        <v>46</v>
      </c>
      <c r="B44" s="252">
        <f>B39</f>
        <v>-43946.51593749999</v>
      </c>
      <c r="C44" s="252">
        <f aca="true" t="shared" si="19" ref="C44:L44">C39</f>
        <v>-5632.192093750001</v>
      </c>
      <c r="D44" s="252">
        <f>D39</f>
        <v>327.78144602250063</v>
      </c>
      <c r="E44" s="252">
        <f>E39</f>
        <v>3172.405262532113</v>
      </c>
      <c r="F44" s="252">
        <f t="shared" si="19"/>
        <v>4609.501167523619</v>
      </c>
      <c r="G44" s="269">
        <f t="shared" si="19"/>
        <v>9304.588780798305</v>
      </c>
      <c r="H44" s="252">
        <f t="shared" si="19"/>
        <v>8129.810969091762</v>
      </c>
      <c r="I44" s="269">
        <f t="shared" si="19"/>
        <v>17544.246607347264</v>
      </c>
      <c r="J44" s="252">
        <f t="shared" si="19"/>
        <v>20235.64812426896</v>
      </c>
      <c r="K44" s="269">
        <f t="shared" si="19"/>
        <v>26962.187566989993</v>
      </c>
      <c r="L44" s="252">
        <f t="shared" si="19"/>
        <v>41738.20064702678</v>
      </c>
    </row>
    <row r="45" spans="1:12" ht="11.25">
      <c r="A45" s="270" t="s">
        <v>50</v>
      </c>
      <c r="B45" s="238">
        <f>B44</f>
        <v>-43946.51593749999</v>
      </c>
      <c r="C45" s="238">
        <f aca="true" t="shared" si="20" ref="C45:L45">C44/(1+$G$41)^1</f>
        <v>-4984.240790929205</v>
      </c>
      <c r="D45" s="238">
        <f t="shared" si="20"/>
        <v>290.07207612610677</v>
      </c>
      <c r="E45" s="238">
        <f t="shared" si="20"/>
        <v>2807.4382854266487</v>
      </c>
      <c r="F45" s="238">
        <f t="shared" si="20"/>
        <v>4079.204573029752</v>
      </c>
      <c r="G45" s="238">
        <f t="shared" si="20"/>
        <v>8234.149363538325</v>
      </c>
      <c r="H45" s="238">
        <f t="shared" si="20"/>
        <v>7194.522981497135</v>
      </c>
      <c r="I45" s="238">
        <f t="shared" si="20"/>
        <v>15525.88195340466</v>
      </c>
      <c r="J45" s="238">
        <f t="shared" si="20"/>
        <v>17907.653207317664</v>
      </c>
      <c r="K45" s="238">
        <f t="shared" si="20"/>
        <v>23860.342979637164</v>
      </c>
      <c r="L45" s="238">
        <f t="shared" si="20"/>
        <v>36936.46074958122</v>
      </c>
    </row>
    <row r="46" spans="1:12" ht="12" thickBot="1">
      <c r="A46" s="271" t="s">
        <v>51</v>
      </c>
      <c r="B46" s="272">
        <f>B45</f>
        <v>-43946.51593749999</v>
      </c>
      <c r="C46" s="273">
        <f aca="true" t="shared" si="21" ref="C46:L46">B46+C45</f>
        <v>-48930.7567284292</v>
      </c>
      <c r="D46" s="274">
        <f t="shared" si="21"/>
        <v>-48640.6846523031</v>
      </c>
      <c r="E46" s="274">
        <f t="shared" si="21"/>
        <v>-45833.24636687645</v>
      </c>
      <c r="F46" s="273">
        <f t="shared" si="21"/>
        <v>-41754.04179384669</v>
      </c>
      <c r="G46" s="273">
        <f t="shared" si="21"/>
        <v>-33519.89243030837</v>
      </c>
      <c r="H46" s="273">
        <f t="shared" si="21"/>
        <v>-26325.369448811234</v>
      </c>
      <c r="I46" s="273">
        <f t="shared" si="21"/>
        <v>-10799.487495406574</v>
      </c>
      <c r="J46" s="273">
        <f t="shared" si="21"/>
        <v>7108.16571191109</v>
      </c>
      <c r="K46" s="273">
        <f t="shared" si="21"/>
        <v>30968.508691548253</v>
      </c>
      <c r="L46" s="273">
        <f t="shared" si="21"/>
        <v>67904.96944112948</v>
      </c>
    </row>
    <row r="47" spans="1:12" ht="12" thickBot="1">
      <c r="A47" s="275"/>
      <c r="B47" s="276"/>
      <c r="C47" s="276"/>
      <c r="D47" s="277" t="s">
        <v>52</v>
      </c>
      <c r="E47" s="278">
        <f>1+(D45/E45)</f>
        <v>1.103322690166286</v>
      </c>
      <c r="F47" s="279" t="s">
        <v>53</v>
      </c>
      <c r="G47" s="276"/>
      <c r="H47" s="276"/>
      <c r="I47" s="276"/>
      <c r="J47" s="276"/>
      <c r="K47" s="276"/>
      <c r="L47" s="276"/>
    </row>
    <row r="50" spans="1:8" ht="11.25">
      <c r="A50" s="363"/>
      <c r="B50" s="363"/>
      <c r="C50" s="366" t="s">
        <v>167</v>
      </c>
      <c r="D50" s="366"/>
      <c r="E50" s="366"/>
      <c r="F50" s="366"/>
      <c r="G50" s="366"/>
      <c r="H50" s="366"/>
    </row>
    <row r="52" spans="2:8" ht="11.25">
      <c r="B52" s="280"/>
      <c r="C52" s="280"/>
      <c r="D52" s="280"/>
      <c r="E52" s="280"/>
      <c r="F52" s="280"/>
      <c r="G52" s="280"/>
      <c r="H52" s="280"/>
    </row>
    <row r="53" spans="2:8" ht="11.25">
      <c r="B53" s="280"/>
      <c r="C53" s="281" t="s">
        <v>211</v>
      </c>
      <c r="D53" s="280"/>
      <c r="E53" s="280"/>
      <c r="F53" s="280"/>
      <c r="G53" s="280"/>
      <c r="H53" s="280"/>
    </row>
    <row r="54" spans="2:8" ht="12" thickBot="1">
      <c r="B54" s="282" t="s">
        <v>186</v>
      </c>
      <c r="C54" s="283">
        <f>(D56+(D58*(D57-D56)))+D59</f>
        <v>0.17846</v>
      </c>
      <c r="D54" s="284"/>
      <c r="E54" s="280"/>
      <c r="F54" s="280"/>
      <c r="G54" s="285" t="s">
        <v>187</v>
      </c>
      <c r="H54" s="286">
        <v>0.4</v>
      </c>
    </row>
    <row r="55" spans="2:8" ht="11.25">
      <c r="B55" s="280"/>
      <c r="C55" s="287" t="s">
        <v>188</v>
      </c>
      <c r="D55" s="288">
        <v>0.1</v>
      </c>
      <c r="E55" s="280"/>
      <c r="F55" s="280"/>
      <c r="G55" s="285" t="s">
        <v>189</v>
      </c>
      <c r="H55" s="286">
        <v>0.6</v>
      </c>
    </row>
    <row r="56" spans="2:8" ht="11.25">
      <c r="B56" s="280"/>
      <c r="C56" s="289" t="s">
        <v>190</v>
      </c>
      <c r="D56" s="290">
        <v>0.052</v>
      </c>
      <c r="E56" s="280"/>
      <c r="F56" s="280"/>
      <c r="G56" s="280"/>
      <c r="H56" s="280"/>
    </row>
    <row r="57" spans="2:8" ht="11.25">
      <c r="B57" s="280"/>
      <c r="C57" s="289" t="s">
        <v>191</v>
      </c>
      <c r="D57" s="290">
        <v>0.11</v>
      </c>
      <c r="E57" s="280"/>
      <c r="F57" s="280"/>
      <c r="G57" s="280"/>
      <c r="H57" s="280"/>
    </row>
    <row r="58" spans="2:8" ht="11.25">
      <c r="B58" s="280"/>
      <c r="C58" s="289" t="s">
        <v>192</v>
      </c>
      <c r="D58" s="291">
        <v>0.77</v>
      </c>
      <c r="E58" s="280"/>
      <c r="F58" s="280"/>
      <c r="G58" s="280"/>
      <c r="H58" s="280"/>
    </row>
    <row r="59" spans="2:8" ht="11.25">
      <c r="B59" s="280"/>
      <c r="C59" s="289" t="s">
        <v>193</v>
      </c>
      <c r="D59" s="292">
        <v>0.0818</v>
      </c>
      <c r="E59" s="293"/>
      <c r="F59" s="280"/>
      <c r="G59" s="280"/>
      <c r="H59" s="280"/>
    </row>
    <row r="60" spans="2:8" ht="12" thickBot="1">
      <c r="B60" s="280"/>
      <c r="C60" s="294" t="s">
        <v>194</v>
      </c>
      <c r="D60" s="295">
        <f>(H54*C54)+(H55*D55)</f>
        <v>0.131384</v>
      </c>
      <c r="E60" s="296"/>
      <c r="F60" s="280"/>
      <c r="G60" s="280"/>
      <c r="H60" s="280"/>
    </row>
  </sheetData>
  <sheetProtection/>
  <mergeCells count="5">
    <mergeCell ref="A2:L2"/>
    <mergeCell ref="E41:F41"/>
    <mergeCell ref="A43:L43"/>
    <mergeCell ref="A50:B50"/>
    <mergeCell ref="C50:H5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">
      <selection activeCell="A4" sqref="A4:M11"/>
    </sheetView>
  </sheetViews>
  <sheetFormatPr defaultColWidth="11.421875" defaultRowHeight="12.75"/>
  <cols>
    <col min="1" max="1" width="23.00390625" style="0" bestFit="1" customWidth="1"/>
    <col min="2" max="9" width="10.8515625" style="0" bestFit="1" customWidth="1"/>
    <col min="10" max="10" width="11.57421875" style="0" bestFit="1" customWidth="1"/>
    <col min="11" max="13" width="10.8515625" style="0" bestFit="1" customWidth="1"/>
    <col min="14" max="14" width="11.8515625" style="0" bestFit="1" customWidth="1"/>
  </cols>
  <sheetData>
    <row r="3" spans="1:13" ht="12.75">
      <c r="A3" s="335" t="s">
        <v>69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2.75">
      <c r="A4" s="36" t="s">
        <v>56</v>
      </c>
      <c r="B4" s="36" t="s">
        <v>57</v>
      </c>
      <c r="C4" s="36" t="s">
        <v>58</v>
      </c>
      <c r="D4" s="36" t="s">
        <v>59</v>
      </c>
      <c r="E4" s="36" t="s">
        <v>60</v>
      </c>
      <c r="F4" s="36" t="s">
        <v>61</v>
      </c>
      <c r="G4" s="36" t="s">
        <v>62</v>
      </c>
      <c r="H4" s="41" t="s">
        <v>63</v>
      </c>
      <c r="I4" s="41" t="s">
        <v>64</v>
      </c>
      <c r="J4" s="41" t="s">
        <v>65</v>
      </c>
      <c r="K4" s="41" t="s">
        <v>66</v>
      </c>
      <c r="L4" s="41" t="s">
        <v>67</v>
      </c>
      <c r="M4" s="41" t="s">
        <v>68</v>
      </c>
    </row>
    <row r="5" spans="1:15" ht="12.75">
      <c r="A5" s="41" t="s">
        <v>54</v>
      </c>
      <c r="B5" s="43">
        <v>925</v>
      </c>
      <c r="C5" s="42">
        <v>955</v>
      </c>
      <c r="D5" s="42">
        <v>973</v>
      </c>
      <c r="E5" s="37">
        <v>1012</v>
      </c>
      <c r="F5" s="37">
        <v>1052</v>
      </c>
      <c r="G5" s="37">
        <v>1105</v>
      </c>
      <c r="H5" s="37">
        <v>1160</v>
      </c>
      <c r="I5" s="37">
        <v>1218</v>
      </c>
      <c r="J5" s="37">
        <v>1279</v>
      </c>
      <c r="K5" s="37">
        <v>1356</v>
      </c>
      <c r="L5" s="37">
        <v>1437</v>
      </c>
      <c r="M5" s="37">
        <v>1580</v>
      </c>
      <c r="N5" s="54">
        <f>(SUM(B5:M5))</f>
        <v>14052</v>
      </c>
      <c r="O5" s="34"/>
    </row>
    <row r="6" spans="1:15" ht="12.75">
      <c r="A6" s="202" t="s">
        <v>70</v>
      </c>
      <c r="B6" s="205">
        <f>B5*0.35</f>
        <v>323.75</v>
      </c>
      <c r="C6" s="205">
        <f aca="true" t="shared" si="0" ref="C6:M6">C5*0.35</f>
        <v>334.25</v>
      </c>
      <c r="D6" s="205">
        <f>D5*0.35</f>
        <v>340.54999999999995</v>
      </c>
      <c r="E6" s="205">
        <f t="shared" si="0"/>
        <v>354.2</v>
      </c>
      <c r="F6" s="205">
        <f t="shared" si="0"/>
        <v>368.2</v>
      </c>
      <c r="G6" s="205">
        <f t="shared" si="0"/>
        <v>386.75</v>
      </c>
      <c r="H6" s="205">
        <f t="shared" si="0"/>
        <v>406</v>
      </c>
      <c r="I6" s="205">
        <f t="shared" si="0"/>
        <v>426.29999999999995</v>
      </c>
      <c r="J6" s="205">
        <f t="shared" si="0"/>
        <v>447.65</v>
      </c>
      <c r="K6" s="205">
        <f t="shared" si="0"/>
        <v>474.59999999999997</v>
      </c>
      <c r="L6" s="205">
        <f t="shared" si="0"/>
        <v>502.95</v>
      </c>
      <c r="M6" s="205">
        <f t="shared" si="0"/>
        <v>553</v>
      </c>
      <c r="N6" s="54"/>
      <c r="O6" s="34"/>
    </row>
    <row r="7" spans="1:15" ht="12.75">
      <c r="A7" s="202" t="s">
        <v>97</v>
      </c>
      <c r="B7" s="205">
        <f>B5*0.25</f>
        <v>231.25</v>
      </c>
      <c r="C7" s="205">
        <f aca="true" t="shared" si="1" ref="C7:M7">C5*0.25</f>
        <v>238.75</v>
      </c>
      <c r="D7" s="205">
        <f t="shared" si="1"/>
        <v>243.25</v>
      </c>
      <c r="E7" s="205">
        <f t="shared" si="1"/>
        <v>253</v>
      </c>
      <c r="F7" s="205">
        <f t="shared" si="1"/>
        <v>263</v>
      </c>
      <c r="G7" s="205">
        <f t="shared" si="1"/>
        <v>276.25</v>
      </c>
      <c r="H7" s="205">
        <f t="shared" si="1"/>
        <v>290</v>
      </c>
      <c r="I7" s="205">
        <f t="shared" si="1"/>
        <v>304.5</v>
      </c>
      <c r="J7" s="205">
        <f t="shared" si="1"/>
        <v>319.75</v>
      </c>
      <c r="K7" s="205">
        <f t="shared" si="1"/>
        <v>339</v>
      </c>
      <c r="L7" s="205">
        <f t="shared" si="1"/>
        <v>359.25</v>
      </c>
      <c r="M7" s="205">
        <f t="shared" si="1"/>
        <v>395</v>
      </c>
      <c r="N7" s="54"/>
      <c r="O7" s="34"/>
    </row>
    <row r="8" spans="1:15" ht="12.75">
      <c r="A8" s="202" t="s">
        <v>157</v>
      </c>
      <c r="B8" s="205">
        <f>B5*0.15</f>
        <v>138.75</v>
      </c>
      <c r="C8" s="205">
        <f aca="true" t="shared" si="2" ref="C8:M8">C5*0.15</f>
        <v>143.25</v>
      </c>
      <c r="D8" s="205">
        <f t="shared" si="2"/>
        <v>145.95</v>
      </c>
      <c r="E8" s="205">
        <f t="shared" si="2"/>
        <v>151.79999999999998</v>
      </c>
      <c r="F8" s="205">
        <f t="shared" si="2"/>
        <v>157.79999999999998</v>
      </c>
      <c r="G8" s="205">
        <f t="shared" si="2"/>
        <v>165.75</v>
      </c>
      <c r="H8" s="205">
        <f t="shared" si="2"/>
        <v>174</v>
      </c>
      <c r="I8" s="205">
        <f t="shared" si="2"/>
        <v>182.7</v>
      </c>
      <c r="J8" s="205">
        <f t="shared" si="2"/>
        <v>191.85</v>
      </c>
      <c r="K8" s="205">
        <f t="shared" si="2"/>
        <v>203.4</v>
      </c>
      <c r="L8" s="205">
        <f t="shared" si="2"/>
        <v>215.54999999999998</v>
      </c>
      <c r="M8" s="205">
        <f t="shared" si="2"/>
        <v>237</v>
      </c>
      <c r="N8" s="54"/>
      <c r="O8" s="34"/>
    </row>
    <row r="9" spans="1:15" ht="12.75">
      <c r="A9" s="202" t="s">
        <v>115</v>
      </c>
      <c r="B9" s="205">
        <f>B5*0.25</f>
        <v>231.25</v>
      </c>
      <c r="C9" s="205">
        <f aca="true" t="shared" si="3" ref="C9:M9">C5*0.25</f>
        <v>238.75</v>
      </c>
      <c r="D9" s="205">
        <f t="shared" si="3"/>
        <v>243.25</v>
      </c>
      <c r="E9" s="205">
        <f t="shared" si="3"/>
        <v>253</v>
      </c>
      <c r="F9" s="205">
        <f t="shared" si="3"/>
        <v>263</v>
      </c>
      <c r="G9" s="205">
        <f t="shared" si="3"/>
        <v>276.25</v>
      </c>
      <c r="H9" s="205">
        <f t="shared" si="3"/>
        <v>290</v>
      </c>
      <c r="I9" s="205">
        <f t="shared" si="3"/>
        <v>304.5</v>
      </c>
      <c r="J9" s="205">
        <f t="shared" si="3"/>
        <v>319.75</v>
      </c>
      <c r="K9" s="205">
        <f t="shared" si="3"/>
        <v>339</v>
      </c>
      <c r="L9" s="205">
        <f t="shared" si="3"/>
        <v>359.25</v>
      </c>
      <c r="M9" s="205">
        <f t="shared" si="3"/>
        <v>395</v>
      </c>
      <c r="N9" s="54"/>
      <c r="O9" s="34"/>
    </row>
    <row r="10" spans="1:14" ht="12.75">
      <c r="A10" s="41" t="s">
        <v>55</v>
      </c>
      <c r="B10" s="45">
        <v>5</v>
      </c>
      <c r="C10" s="45">
        <f>B10</f>
        <v>5</v>
      </c>
      <c r="D10" s="45">
        <f aca="true" t="shared" si="4" ref="D10:M10">C10</f>
        <v>5</v>
      </c>
      <c r="E10" s="45">
        <f t="shared" si="4"/>
        <v>5</v>
      </c>
      <c r="F10" s="45">
        <f t="shared" si="4"/>
        <v>5</v>
      </c>
      <c r="G10" s="45">
        <f t="shared" si="4"/>
        <v>5</v>
      </c>
      <c r="H10" s="45">
        <f t="shared" si="4"/>
        <v>5</v>
      </c>
      <c r="I10" s="45">
        <f t="shared" si="4"/>
        <v>5</v>
      </c>
      <c r="J10" s="45">
        <f t="shared" si="4"/>
        <v>5</v>
      </c>
      <c r="K10" s="45">
        <f t="shared" si="4"/>
        <v>5</v>
      </c>
      <c r="L10" s="45">
        <f t="shared" si="4"/>
        <v>5</v>
      </c>
      <c r="M10" s="45">
        <f t="shared" si="4"/>
        <v>5</v>
      </c>
      <c r="N10" s="45"/>
    </row>
    <row r="11" spans="1:14" ht="12.75">
      <c r="A11" s="41" t="s">
        <v>117</v>
      </c>
      <c r="B11" s="47">
        <f>B5*B10</f>
        <v>4625</v>
      </c>
      <c r="C11" s="48">
        <f aca="true" t="shared" si="5" ref="C11:M11">C5*C10</f>
        <v>4775</v>
      </c>
      <c r="D11" s="47">
        <f t="shared" si="5"/>
        <v>4865</v>
      </c>
      <c r="E11" s="47">
        <f t="shared" si="5"/>
        <v>5060</v>
      </c>
      <c r="F11" s="47">
        <f t="shared" si="5"/>
        <v>5260</v>
      </c>
      <c r="G11" s="47">
        <f t="shared" si="5"/>
        <v>5525</v>
      </c>
      <c r="H11" s="47">
        <f t="shared" si="5"/>
        <v>5800</v>
      </c>
      <c r="I11" s="47">
        <f t="shared" si="5"/>
        <v>6090</v>
      </c>
      <c r="J11" s="47">
        <f t="shared" si="5"/>
        <v>6395</v>
      </c>
      <c r="K11" s="47">
        <f t="shared" si="5"/>
        <v>6780</v>
      </c>
      <c r="L11" s="47">
        <f t="shared" si="5"/>
        <v>7185</v>
      </c>
      <c r="M11" s="47">
        <f t="shared" si="5"/>
        <v>7900</v>
      </c>
      <c r="N11" s="55">
        <f>SUM(B11:M11)</f>
        <v>70260</v>
      </c>
    </row>
    <row r="12" spans="1:14" ht="12.75">
      <c r="A12" s="4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3"/>
    </row>
    <row r="13" spans="1:13" ht="12.75">
      <c r="A13" s="41" t="s">
        <v>116</v>
      </c>
      <c r="B13" s="36" t="s">
        <v>57</v>
      </c>
      <c r="C13" s="36" t="s">
        <v>58</v>
      </c>
      <c r="D13" s="36" t="s">
        <v>59</v>
      </c>
      <c r="E13" s="36" t="s">
        <v>60</v>
      </c>
      <c r="F13" s="36" t="s">
        <v>61</v>
      </c>
      <c r="G13" s="36" t="s">
        <v>62</v>
      </c>
      <c r="H13" s="41" t="s">
        <v>63</v>
      </c>
      <c r="I13" s="41" t="s">
        <v>64</v>
      </c>
      <c r="J13" s="41" t="s">
        <v>65</v>
      </c>
      <c r="K13" s="41" t="s">
        <v>66</v>
      </c>
      <c r="L13" s="41" t="s">
        <v>67</v>
      </c>
      <c r="M13" s="41" t="s">
        <v>68</v>
      </c>
    </row>
    <row r="14" spans="1:15" ht="13.5" thickBot="1">
      <c r="A14" s="97" t="s">
        <v>158</v>
      </c>
      <c r="B14" s="109">
        <f>SUM(B15:B18)</f>
        <v>1250.7734375</v>
      </c>
      <c r="C14" s="109">
        <f>SUM(C15:C18)</f>
        <v>1291.3390625</v>
      </c>
      <c r="D14" s="109">
        <f>SUM(D15:D18)</f>
        <v>1315.6784375</v>
      </c>
      <c r="E14" s="109">
        <f>SUM(E15:E18)</f>
        <v>1368.4137500000002</v>
      </c>
      <c r="F14" s="109">
        <f aca="true" t="shared" si="6" ref="F14:K14">SUM(F15:F18)</f>
        <v>1422.50125</v>
      </c>
      <c r="G14" s="109">
        <f t="shared" si="6"/>
        <v>1494.1671875000002</v>
      </c>
      <c r="H14" s="109">
        <f t="shared" si="6"/>
        <v>1568.5375</v>
      </c>
      <c r="I14" s="109">
        <f t="shared" si="6"/>
        <v>1646.964375</v>
      </c>
      <c r="J14" s="109">
        <f t="shared" si="6"/>
        <v>1729.4478125</v>
      </c>
      <c r="K14" s="109">
        <f t="shared" si="6"/>
        <v>1833.5662500000003</v>
      </c>
      <c r="L14" s="109">
        <f>SUM(L15:L18)</f>
        <v>1943.0934375</v>
      </c>
      <c r="M14" s="109">
        <f>SUM(M15:M18)</f>
        <v>2136.45625</v>
      </c>
      <c r="N14" s="109">
        <f aca="true" t="shared" si="7" ref="N14:N19">SUM(B14:M14)</f>
        <v>19000.93875</v>
      </c>
      <c r="O14" s="46"/>
    </row>
    <row r="15" spans="1:15" ht="12.75">
      <c r="A15" s="202" t="s">
        <v>159</v>
      </c>
      <c r="B15" s="46">
        <f>B6*$B$32</f>
        <v>338.203125</v>
      </c>
      <c r="C15" s="46">
        <f aca="true" t="shared" si="8" ref="C15:M15">C6*$B$32</f>
        <v>349.171875</v>
      </c>
      <c r="D15" s="46">
        <f t="shared" si="8"/>
        <v>355.75312499999995</v>
      </c>
      <c r="E15" s="46">
        <f t="shared" si="8"/>
        <v>370.0125</v>
      </c>
      <c r="F15" s="46">
        <f t="shared" si="8"/>
        <v>384.6375</v>
      </c>
      <c r="G15" s="46">
        <f t="shared" si="8"/>
        <v>404.015625</v>
      </c>
      <c r="H15" s="46">
        <f t="shared" si="8"/>
        <v>424.125</v>
      </c>
      <c r="I15" s="46">
        <f t="shared" si="8"/>
        <v>445.33124999999995</v>
      </c>
      <c r="J15" s="46">
        <f t="shared" si="8"/>
        <v>467.634375</v>
      </c>
      <c r="K15" s="46">
        <f t="shared" si="8"/>
        <v>495.7875</v>
      </c>
      <c r="L15" s="46">
        <f t="shared" si="8"/>
        <v>525.403125</v>
      </c>
      <c r="M15" s="46">
        <f t="shared" si="8"/>
        <v>577.6875</v>
      </c>
      <c r="N15" s="54">
        <f t="shared" si="7"/>
        <v>5137.7625</v>
      </c>
      <c r="O15" s="46"/>
    </row>
    <row r="16" spans="1:15" ht="12.75">
      <c r="A16" s="202" t="s">
        <v>97</v>
      </c>
      <c r="B16" s="46">
        <f>B7*$B$33</f>
        <v>440.72395833333337</v>
      </c>
      <c r="C16" s="46">
        <f aca="true" t="shared" si="9" ref="C16:M16">C7*$B$33</f>
        <v>455.01770833333336</v>
      </c>
      <c r="D16" s="46">
        <f t="shared" si="9"/>
        <v>463.5939583333334</v>
      </c>
      <c r="E16" s="46">
        <f t="shared" si="9"/>
        <v>482.1758333333334</v>
      </c>
      <c r="F16" s="46">
        <f t="shared" si="9"/>
        <v>501.2341666666667</v>
      </c>
      <c r="G16" s="46">
        <f t="shared" si="9"/>
        <v>526.4864583333334</v>
      </c>
      <c r="H16" s="46">
        <f t="shared" si="9"/>
        <v>552.6916666666667</v>
      </c>
      <c r="I16" s="46">
        <f t="shared" si="9"/>
        <v>580.3262500000001</v>
      </c>
      <c r="J16" s="46">
        <f t="shared" si="9"/>
        <v>609.3902083333334</v>
      </c>
      <c r="K16" s="46">
        <f t="shared" si="9"/>
        <v>646.0775000000001</v>
      </c>
      <c r="L16" s="46">
        <f t="shared" si="9"/>
        <v>684.6706250000001</v>
      </c>
      <c r="M16" s="46">
        <f t="shared" si="9"/>
        <v>752.8041666666667</v>
      </c>
      <c r="N16" s="54">
        <f t="shared" si="7"/>
        <v>6695.192500000001</v>
      </c>
      <c r="O16" s="46"/>
    </row>
    <row r="17" spans="1:15" ht="12.75">
      <c r="A17" s="202" t="s">
        <v>157</v>
      </c>
      <c r="B17" s="46">
        <f>B8*$B$34</f>
        <v>189.046875</v>
      </c>
      <c r="C17" s="46">
        <f aca="true" t="shared" si="10" ref="C17:M17">C8*$B$34</f>
        <v>195.178125</v>
      </c>
      <c r="D17" s="46">
        <f t="shared" si="10"/>
        <v>198.856875</v>
      </c>
      <c r="E17" s="46">
        <f t="shared" si="10"/>
        <v>206.8275</v>
      </c>
      <c r="F17" s="46">
        <f t="shared" si="10"/>
        <v>215.0025</v>
      </c>
      <c r="G17" s="46">
        <f t="shared" si="10"/>
        <v>225.834375</v>
      </c>
      <c r="H17" s="46">
        <f t="shared" si="10"/>
        <v>237.07500000000002</v>
      </c>
      <c r="I17" s="46">
        <f t="shared" si="10"/>
        <v>248.92874999999998</v>
      </c>
      <c r="J17" s="46">
        <f t="shared" si="10"/>
        <v>261.395625</v>
      </c>
      <c r="K17" s="46">
        <f t="shared" si="10"/>
        <v>277.1325</v>
      </c>
      <c r="L17" s="46">
        <f t="shared" si="10"/>
        <v>293.686875</v>
      </c>
      <c r="M17" s="46">
        <f t="shared" si="10"/>
        <v>322.9125</v>
      </c>
      <c r="N17" s="54">
        <f t="shared" si="7"/>
        <v>2871.8775</v>
      </c>
      <c r="O17" s="46"/>
    </row>
    <row r="18" spans="1:15" ht="12.75">
      <c r="A18" s="202" t="s">
        <v>115</v>
      </c>
      <c r="B18" s="46">
        <f>B9*$B$35</f>
        <v>282.7994791666667</v>
      </c>
      <c r="C18" s="46">
        <f>C9*$B$35</f>
        <v>291.9713541666667</v>
      </c>
      <c r="D18" s="46">
        <f>D9*$B$35</f>
        <v>297.47447916666664</v>
      </c>
      <c r="E18" s="46">
        <f aca="true" t="shared" si="11" ref="E18:M18">E9*$B$35</f>
        <v>309.3979166666667</v>
      </c>
      <c r="F18" s="46">
        <f t="shared" si="11"/>
        <v>321.6270833333333</v>
      </c>
      <c r="G18" s="46">
        <f t="shared" si="11"/>
        <v>337.8307291666667</v>
      </c>
      <c r="H18" s="46">
        <f t="shared" si="11"/>
        <v>354.6458333333333</v>
      </c>
      <c r="I18" s="46">
        <f t="shared" si="11"/>
        <v>372.378125</v>
      </c>
      <c r="J18" s="46">
        <f t="shared" si="11"/>
        <v>391.02760416666666</v>
      </c>
      <c r="K18" s="46">
        <f t="shared" si="11"/>
        <v>414.56875</v>
      </c>
      <c r="L18" s="46">
        <f t="shared" si="11"/>
        <v>439.3328125</v>
      </c>
      <c r="M18" s="46">
        <f t="shared" si="11"/>
        <v>483.0520833333333</v>
      </c>
      <c r="N18" s="54">
        <f t="shared" si="7"/>
        <v>4296.10625</v>
      </c>
      <c r="O18" s="46"/>
    </row>
    <row r="19" spans="1:15" ht="13.5" thickBot="1">
      <c r="A19" s="97" t="s">
        <v>156</v>
      </c>
      <c r="B19" s="109">
        <f aca="true" t="shared" si="12" ref="B19:M19">SUM(B20:B26)</f>
        <v>5520</v>
      </c>
      <c r="C19" s="109">
        <f t="shared" si="12"/>
        <v>4520</v>
      </c>
      <c r="D19" s="109">
        <f t="shared" si="12"/>
        <v>4520</v>
      </c>
      <c r="E19" s="109">
        <f t="shared" si="12"/>
        <v>4520</v>
      </c>
      <c r="F19" s="109">
        <f t="shared" si="12"/>
        <v>4520</v>
      </c>
      <c r="G19" s="109">
        <f t="shared" si="12"/>
        <v>4520</v>
      </c>
      <c r="H19" s="109">
        <f t="shared" si="12"/>
        <v>4520</v>
      </c>
      <c r="I19" s="109">
        <f t="shared" si="12"/>
        <v>4520</v>
      </c>
      <c r="J19" s="109">
        <f t="shared" si="12"/>
        <v>4520</v>
      </c>
      <c r="K19" s="109">
        <f t="shared" si="12"/>
        <v>4520</v>
      </c>
      <c r="L19" s="109">
        <f t="shared" si="12"/>
        <v>4520</v>
      </c>
      <c r="M19" s="109">
        <f t="shared" si="12"/>
        <v>4520</v>
      </c>
      <c r="N19" s="109">
        <f t="shared" si="7"/>
        <v>55240</v>
      </c>
      <c r="O19" s="46"/>
    </row>
    <row r="20" spans="1:14" ht="12.75">
      <c r="A20" s="41" t="s">
        <v>130</v>
      </c>
      <c r="B20" s="51">
        <f>11*250</f>
        <v>2750</v>
      </c>
      <c r="C20" s="51">
        <f aca="true" t="shared" si="13" ref="C20:C26">B20</f>
        <v>2750</v>
      </c>
      <c r="D20" s="51">
        <f aca="true" t="shared" si="14" ref="D20:M20">C20</f>
        <v>2750</v>
      </c>
      <c r="E20" s="51">
        <f t="shared" si="14"/>
        <v>2750</v>
      </c>
      <c r="F20" s="51">
        <f t="shared" si="14"/>
        <v>2750</v>
      </c>
      <c r="G20" s="51">
        <f t="shared" si="14"/>
        <v>2750</v>
      </c>
      <c r="H20" s="51">
        <f t="shared" si="14"/>
        <v>2750</v>
      </c>
      <c r="I20" s="51">
        <f t="shared" si="14"/>
        <v>2750</v>
      </c>
      <c r="J20" s="51">
        <f t="shared" si="14"/>
        <v>2750</v>
      </c>
      <c r="K20" s="51">
        <f t="shared" si="14"/>
        <v>2750</v>
      </c>
      <c r="L20" s="51">
        <f t="shared" si="14"/>
        <v>2750</v>
      </c>
      <c r="M20" s="51">
        <f t="shared" si="14"/>
        <v>2750</v>
      </c>
      <c r="N20" s="110">
        <f aca="true" t="shared" si="15" ref="N20:N26">SUM(B20:M20)</f>
        <v>33000</v>
      </c>
    </row>
    <row r="21" spans="1:14" ht="12.75">
      <c r="A21" s="4" t="s">
        <v>125</v>
      </c>
      <c r="B21" s="49">
        <v>1000</v>
      </c>
      <c r="C21" s="49"/>
      <c r="D21" s="49">
        <f aca="true" t="shared" si="16" ref="D21:M21">C21</f>
        <v>0</v>
      </c>
      <c r="E21" s="49">
        <f t="shared" si="16"/>
        <v>0</v>
      </c>
      <c r="F21" s="49">
        <f t="shared" si="16"/>
        <v>0</v>
      </c>
      <c r="G21" s="49">
        <f t="shared" si="16"/>
        <v>0</v>
      </c>
      <c r="H21" s="49">
        <f t="shared" si="16"/>
        <v>0</v>
      </c>
      <c r="I21" s="49">
        <f t="shared" si="16"/>
        <v>0</v>
      </c>
      <c r="J21" s="49">
        <f t="shared" si="16"/>
        <v>0</v>
      </c>
      <c r="K21" s="49">
        <f t="shared" si="16"/>
        <v>0</v>
      </c>
      <c r="L21" s="49">
        <f t="shared" si="16"/>
        <v>0</v>
      </c>
      <c r="M21" s="49">
        <f t="shared" si="16"/>
        <v>0</v>
      </c>
      <c r="N21" s="54">
        <f t="shared" si="15"/>
        <v>1000</v>
      </c>
    </row>
    <row r="22" spans="1:14" ht="12.75">
      <c r="A22" s="4" t="s">
        <v>118</v>
      </c>
      <c r="B22" s="46">
        <v>200</v>
      </c>
      <c r="C22" s="46">
        <f t="shared" si="13"/>
        <v>200</v>
      </c>
      <c r="D22" s="46">
        <f aca="true" t="shared" si="17" ref="D22:M22">C22</f>
        <v>200</v>
      </c>
      <c r="E22" s="46">
        <f t="shared" si="17"/>
        <v>200</v>
      </c>
      <c r="F22" s="46">
        <f t="shared" si="17"/>
        <v>200</v>
      </c>
      <c r="G22" s="46">
        <f t="shared" si="17"/>
        <v>200</v>
      </c>
      <c r="H22" s="46">
        <f t="shared" si="17"/>
        <v>200</v>
      </c>
      <c r="I22" s="46">
        <f t="shared" si="17"/>
        <v>200</v>
      </c>
      <c r="J22" s="46">
        <f t="shared" si="17"/>
        <v>200</v>
      </c>
      <c r="K22" s="46">
        <f t="shared" si="17"/>
        <v>200</v>
      </c>
      <c r="L22" s="46">
        <f t="shared" si="17"/>
        <v>200</v>
      </c>
      <c r="M22" s="46">
        <f t="shared" si="17"/>
        <v>200</v>
      </c>
      <c r="N22" s="54">
        <f t="shared" si="15"/>
        <v>2400</v>
      </c>
    </row>
    <row r="23" spans="1:14" ht="12.75">
      <c r="A23" s="4" t="s">
        <v>119</v>
      </c>
      <c r="B23" s="49">
        <v>120</v>
      </c>
      <c r="C23" s="49">
        <f t="shared" si="13"/>
        <v>120</v>
      </c>
      <c r="D23" s="49">
        <f aca="true" t="shared" si="18" ref="D23:M23">C23</f>
        <v>120</v>
      </c>
      <c r="E23" s="49">
        <f t="shared" si="18"/>
        <v>120</v>
      </c>
      <c r="F23" s="49">
        <f t="shared" si="18"/>
        <v>120</v>
      </c>
      <c r="G23" s="49">
        <f t="shared" si="18"/>
        <v>120</v>
      </c>
      <c r="H23" s="49">
        <f t="shared" si="18"/>
        <v>120</v>
      </c>
      <c r="I23" s="49">
        <f t="shared" si="18"/>
        <v>120</v>
      </c>
      <c r="J23" s="49">
        <f t="shared" si="18"/>
        <v>120</v>
      </c>
      <c r="K23" s="49">
        <f t="shared" si="18"/>
        <v>120</v>
      </c>
      <c r="L23" s="49">
        <f t="shared" si="18"/>
        <v>120</v>
      </c>
      <c r="M23" s="49">
        <f t="shared" si="18"/>
        <v>120</v>
      </c>
      <c r="N23" s="54">
        <f t="shared" si="15"/>
        <v>1440</v>
      </c>
    </row>
    <row r="24" spans="1:14" ht="12.75">
      <c r="A24" s="4" t="s">
        <v>120</v>
      </c>
      <c r="B24" s="46">
        <v>50</v>
      </c>
      <c r="C24" s="46">
        <f t="shared" si="13"/>
        <v>50</v>
      </c>
      <c r="D24" s="46">
        <f aca="true" t="shared" si="19" ref="D24:M24">C24</f>
        <v>50</v>
      </c>
      <c r="E24" s="46">
        <f t="shared" si="19"/>
        <v>50</v>
      </c>
      <c r="F24" s="46">
        <f t="shared" si="19"/>
        <v>50</v>
      </c>
      <c r="G24" s="46">
        <f t="shared" si="19"/>
        <v>50</v>
      </c>
      <c r="H24" s="46">
        <f t="shared" si="19"/>
        <v>50</v>
      </c>
      <c r="I24" s="46">
        <f t="shared" si="19"/>
        <v>50</v>
      </c>
      <c r="J24" s="46">
        <f t="shared" si="19"/>
        <v>50</v>
      </c>
      <c r="K24" s="46">
        <f t="shared" si="19"/>
        <v>50</v>
      </c>
      <c r="L24" s="46">
        <f t="shared" si="19"/>
        <v>50</v>
      </c>
      <c r="M24" s="46">
        <f t="shared" si="19"/>
        <v>50</v>
      </c>
      <c r="N24" s="54">
        <f t="shared" si="15"/>
        <v>600</v>
      </c>
    </row>
    <row r="25" spans="1:14" ht="12.75">
      <c r="A25" s="4" t="s">
        <v>121</v>
      </c>
      <c r="B25" s="46">
        <v>1200</v>
      </c>
      <c r="C25" s="46">
        <v>1200</v>
      </c>
      <c r="D25" s="46">
        <v>1200</v>
      </c>
      <c r="E25" s="46">
        <v>1200</v>
      </c>
      <c r="F25" s="46">
        <v>1200</v>
      </c>
      <c r="G25" s="46">
        <v>1200</v>
      </c>
      <c r="H25" s="46">
        <v>1200</v>
      </c>
      <c r="I25" s="46">
        <v>1200</v>
      </c>
      <c r="J25" s="46">
        <v>1200</v>
      </c>
      <c r="K25" s="46">
        <v>1200</v>
      </c>
      <c r="L25" s="46">
        <v>1200</v>
      </c>
      <c r="M25" s="46">
        <v>1200</v>
      </c>
      <c r="N25" s="54">
        <f t="shared" si="15"/>
        <v>14400</v>
      </c>
    </row>
    <row r="26" spans="1:14" ht="12.75">
      <c r="A26" s="4" t="s">
        <v>131</v>
      </c>
      <c r="B26" s="46">
        <v>200</v>
      </c>
      <c r="C26" s="46">
        <f t="shared" si="13"/>
        <v>200</v>
      </c>
      <c r="D26" s="46">
        <f aca="true" t="shared" si="20" ref="D26:M26">C26</f>
        <v>200</v>
      </c>
      <c r="E26" s="46">
        <f t="shared" si="20"/>
        <v>200</v>
      </c>
      <c r="F26" s="46">
        <f t="shared" si="20"/>
        <v>200</v>
      </c>
      <c r="G26" s="46">
        <f t="shared" si="20"/>
        <v>200</v>
      </c>
      <c r="H26" s="46">
        <f t="shared" si="20"/>
        <v>200</v>
      </c>
      <c r="I26" s="46">
        <f t="shared" si="20"/>
        <v>200</v>
      </c>
      <c r="J26" s="46">
        <f t="shared" si="20"/>
        <v>200</v>
      </c>
      <c r="K26" s="46">
        <f t="shared" si="20"/>
        <v>200</v>
      </c>
      <c r="L26" s="46">
        <f t="shared" si="20"/>
        <v>200</v>
      </c>
      <c r="M26" s="46">
        <f t="shared" si="20"/>
        <v>200</v>
      </c>
      <c r="N26" s="54">
        <f t="shared" si="15"/>
        <v>2400</v>
      </c>
    </row>
    <row r="27" spans="1:14" ht="12.75">
      <c r="A27" s="4" t="s">
        <v>124</v>
      </c>
      <c r="B27" s="54">
        <f>+B14+B19</f>
        <v>6770.7734375</v>
      </c>
      <c r="C27" s="54">
        <f aca="true" t="shared" si="21" ref="C27:M27">+C14+C19</f>
        <v>5811.3390625</v>
      </c>
      <c r="D27" s="54">
        <f t="shared" si="21"/>
        <v>5835.6784375</v>
      </c>
      <c r="E27" s="54">
        <f t="shared" si="21"/>
        <v>5888.41375</v>
      </c>
      <c r="F27" s="54">
        <f t="shared" si="21"/>
        <v>5942.50125</v>
      </c>
      <c r="G27" s="54">
        <f t="shared" si="21"/>
        <v>6014.1671875</v>
      </c>
      <c r="H27" s="54">
        <f t="shared" si="21"/>
        <v>6088.5375</v>
      </c>
      <c r="I27" s="54">
        <f t="shared" si="21"/>
        <v>6166.964375</v>
      </c>
      <c r="J27" s="54">
        <f t="shared" si="21"/>
        <v>6249.4478125000005</v>
      </c>
      <c r="K27" s="54">
        <f t="shared" si="21"/>
        <v>6353.56625</v>
      </c>
      <c r="L27" s="54">
        <f t="shared" si="21"/>
        <v>6463.0934375</v>
      </c>
      <c r="M27" s="54">
        <f t="shared" si="21"/>
        <v>6656.45625</v>
      </c>
      <c r="N27" s="54">
        <f>+N14+N19</f>
        <v>74240.93875</v>
      </c>
    </row>
    <row r="30" spans="1:7" ht="12.75">
      <c r="A30" s="41"/>
      <c r="B30" s="41"/>
      <c r="C30" s="41"/>
      <c r="D30" s="53"/>
      <c r="E30" s="41"/>
      <c r="F30" s="53"/>
      <c r="G30" s="41"/>
    </row>
    <row r="31" spans="1:7" ht="12.75">
      <c r="A31" s="111" t="s">
        <v>203</v>
      </c>
      <c r="B31" s="50"/>
      <c r="C31" s="50"/>
      <c r="D31" s="50"/>
      <c r="E31" s="50"/>
      <c r="F31" s="50"/>
      <c r="G31" s="50"/>
    </row>
    <row r="32" spans="1:7" ht="12.75">
      <c r="A32" s="206" t="s">
        <v>70</v>
      </c>
      <c r="B32" s="51">
        <f>'Precios Productos'!B67</f>
        <v>1.0446428571428572</v>
      </c>
      <c r="C32" s="51"/>
      <c r="D32" s="51"/>
      <c r="E32" s="51"/>
      <c r="F32" s="51"/>
      <c r="G32" s="51"/>
    </row>
    <row r="33" spans="1:9" ht="12.75">
      <c r="A33" s="206" t="s">
        <v>97</v>
      </c>
      <c r="B33" s="52">
        <f>'Precios Productos'!B68</f>
        <v>1.9058333333333335</v>
      </c>
      <c r="C33" s="52"/>
      <c r="D33" s="52"/>
      <c r="E33" s="52"/>
      <c r="F33" s="52"/>
      <c r="G33" s="52"/>
      <c r="H33" s="40"/>
      <c r="I33" s="40"/>
    </row>
    <row r="34" spans="1:9" ht="12.75">
      <c r="A34" s="206" t="s">
        <v>199</v>
      </c>
      <c r="B34" s="50">
        <f>'Precios Productos'!B69</f>
        <v>1.3625</v>
      </c>
      <c r="C34" s="50"/>
      <c r="D34" s="50"/>
      <c r="E34" s="50"/>
      <c r="F34" s="50"/>
      <c r="G34" s="50"/>
      <c r="H34" s="40"/>
      <c r="I34" s="40"/>
    </row>
    <row r="35" spans="1:9" ht="12.75">
      <c r="A35" s="206" t="s">
        <v>115</v>
      </c>
      <c r="B35" s="52">
        <f>'Precios Productos'!B70</f>
        <v>1.2229166666666667</v>
      </c>
      <c r="C35" s="52"/>
      <c r="D35" s="52"/>
      <c r="E35" s="52"/>
      <c r="F35" s="52"/>
      <c r="G35" s="52"/>
      <c r="H35" s="40"/>
      <c r="I35" s="40"/>
    </row>
    <row r="36" spans="1:9" ht="12.75">
      <c r="A36" s="41"/>
      <c r="B36" s="50"/>
      <c r="C36" s="50"/>
      <c r="D36" s="50"/>
      <c r="E36" s="50"/>
      <c r="F36" s="50"/>
      <c r="G36" s="50"/>
      <c r="H36" s="40"/>
      <c r="I36" s="40"/>
    </row>
    <row r="37" spans="1:9" ht="12.75">
      <c r="A37" s="41"/>
      <c r="B37" s="50"/>
      <c r="C37" s="50"/>
      <c r="D37" s="50"/>
      <c r="E37" s="50"/>
      <c r="F37" s="50"/>
      <c r="G37" s="50"/>
      <c r="H37" s="40"/>
      <c r="I37" s="40"/>
    </row>
    <row r="38" spans="1:9" ht="12.75">
      <c r="A38" s="41"/>
      <c r="B38" s="50"/>
      <c r="C38" s="50"/>
      <c r="D38" s="50"/>
      <c r="E38" s="50"/>
      <c r="F38" s="50"/>
      <c r="G38" s="50"/>
      <c r="H38" s="40"/>
      <c r="I38" s="40"/>
    </row>
    <row r="39" spans="1:7" ht="12.75">
      <c r="A39" s="41"/>
      <c r="B39" s="50"/>
      <c r="C39" s="50"/>
      <c r="D39" s="50"/>
      <c r="E39" s="50"/>
      <c r="F39" s="50"/>
      <c r="G39" s="50"/>
    </row>
    <row r="40" spans="1:7" ht="12.75">
      <c r="A40" s="41"/>
      <c r="B40" s="53"/>
      <c r="C40" s="53"/>
      <c r="D40" s="53"/>
      <c r="E40" s="53"/>
      <c r="F40" s="53"/>
      <c r="G40" s="53"/>
    </row>
  </sheetData>
  <sheetProtection/>
  <mergeCells count="1">
    <mergeCell ref="A3:M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B4">
      <selection activeCell="K31" sqref="K31"/>
    </sheetView>
  </sheetViews>
  <sheetFormatPr defaultColWidth="11.421875" defaultRowHeight="12.75"/>
  <cols>
    <col min="1" max="1" width="30.7109375" style="5" customWidth="1"/>
    <col min="2" max="2" width="10.8515625" style="5" bestFit="1" customWidth="1"/>
    <col min="3" max="3" width="12.28125" style="5" bestFit="1" customWidth="1"/>
    <col min="4" max="5" width="10.8515625" style="5" bestFit="1" customWidth="1"/>
    <col min="6" max="6" width="14.00390625" style="5" customWidth="1"/>
    <col min="7" max="7" width="14.421875" style="5" customWidth="1"/>
    <col min="8" max="8" width="12.57421875" style="5" customWidth="1"/>
    <col min="9" max="9" width="13.00390625" style="5" customWidth="1"/>
    <col min="10" max="10" width="11.57421875" style="5" bestFit="1" customWidth="1"/>
    <col min="11" max="11" width="12.7109375" style="5" customWidth="1"/>
    <col min="12" max="12" width="12.140625" style="5" customWidth="1"/>
    <col min="13" max="13" width="11.7109375" style="5" customWidth="1"/>
    <col min="14" max="14" width="12.140625" style="5" customWidth="1"/>
    <col min="15" max="15" width="13.57421875" style="5" customWidth="1"/>
    <col min="16" max="16384" width="11.421875" style="5" customWidth="1"/>
  </cols>
  <sheetData>
    <row r="1" spans="1:13" ht="18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6" ht="12.75">
      <c r="A2" s="36" t="s">
        <v>56</v>
      </c>
      <c r="B2" s="36" t="s">
        <v>57</v>
      </c>
      <c r="C2" s="36" t="s">
        <v>58</v>
      </c>
      <c r="D2" s="36" t="s">
        <v>59</v>
      </c>
      <c r="E2" s="36" t="s">
        <v>60</v>
      </c>
      <c r="F2" s="36" t="s">
        <v>61</v>
      </c>
      <c r="G2" s="36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57</v>
      </c>
      <c r="O2" s="41" t="s">
        <v>58</v>
      </c>
      <c r="P2" s="41"/>
    </row>
    <row r="3" spans="1:16" ht="12.75">
      <c r="A3" s="41" t="s">
        <v>54</v>
      </c>
      <c r="B3" s="43">
        <f>'Ingresos y Costos año 1'!B5</f>
        <v>925</v>
      </c>
      <c r="C3" s="43">
        <f>'Ingresos y Costos año 1'!C5</f>
        <v>955</v>
      </c>
      <c r="D3" s="43">
        <f>'Ingresos y Costos año 1'!D5</f>
        <v>973</v>
      </c>
      <c r="E3" s="43">
        <f>'Ingresos y Costos año 1'!E5</f>
        <v>1012</v>
      </c>
      <c r="F3" s="43">
        <f>'Ingresos y Costos año 1'!F5</f>
        <v>1052</v>
      </c>
      <c r="G3" s="43">
        <f>'Ingresos y Costos año 1'!G5</f>
        <v>1105</v>
      </c>
      <c r="H3" s="43">
        <f>'Ingresos y Costos año 1'!H5</f>
        <v>1160</v>
      </c>
      <c r="I3" s="43">
        <f>'Ingresos y Costos año 1'!I5</f>
        <v>1218</v>
      </c>
      <c r="J3" s="43">
        <f>'Ingresos y Costos año 1'!J5</f>
        <v>1279</v>
      </c>
      <c r="K3" s="43">
        <f>'Ingresos y Costos año 1'!K5</f>
        <v>1356</v>
      </c>
      <c r="L3" s="43">
        <f>'Ingresos y Costos año 1'!L5</f>
        <v>1437</v>
      </c>
      <c r="M3" s="43">
        <f>'Ingresos y Costos año 1'!M5</f>
        <v>1580</v>
      </c>
      <c r="N3" s="37">
        <v>1620</v>
      </c>
      <c r="O3" s="37">
        <v>1950</v>
      </c>
      <c r="P3" s="37"/>
    </row>
    <row r="4" spans="1:16" ht="12.75">
      <c r="A4" s="96" t="s">
        <v>70</v>
      </c>
      <c r="B4" s="205">
        <f>'Ingresos y Costos año 1'!B6</f>
        <v>323.75</v>
      </c>
      <c r="C4" s="205">
        <f>'Ingresos y Costos año 1'!C6</f>
        <v>334.25</v>
      </c>
      <c r="D4" s="205">
        <f>'Ingresos y Costos año 1'!D6</f>
        <v>340.54999999999995</v>
      </c>
      <c r="E4" s="205">
        <f>'Ingresos y Costos año 1'!E6</f>
        <v>354.2</v>
      </c>
      <c r="F4" s="205">
        <f>'Ingresos y Costos año 1'!F6</f>
        <v>368.2</v>
      </c>
      <c r="G4" s="205">
        <f>'Ingresos y Costos año 1'!G6</f>
        <v>386.75</v>
      </c>
      <c r="H4" s="205">
        <f>'Ingresos y Costos año 1'!H6</f>
        <v>406</v>
      </c>
      <c r="I4" s="205">
        <f>'Ingresos y Costos año 1'!I6</f>
        <v>426.29999999999995</v>
      </c>
      <c r="J4" s="205">
        <f>'Ingresos y Costos año 1'!J6</f>
        <v>447.65</v>
      </c>
      <c r="K4" s="205">
        <f>'Ingresos y Costos año 1'!K6</f>
        <v>474.59999999999997</v>
      </c>
      <c r="L4" s="205">
        <f>'Ingresos y Costos año 1'!L6</f>
        <v>502.95</v>
      </c>
      <c r="M4" s="205">
        <f>'Ingresos y Costos año 1'!M6</f>
        <v>553</v>
      </c>
      <c r="N4" s="37">
        <f>N3*0.35</f>
        <v>567</v>
      </c>
      <c r="O4" s="37">
        <f>O3*0.35</f>
        <v>682.5</v>
      </c>
      <c r="P4" s="37"/>
    </row>
    <row r="5" spans="1:16" ht="12.75">
      <c r="A5" s="96" t="s">
        <v>97</v>
      </c>
      <c r="B5" s="205">
        <f>'Ingresos y Costos año 1'!B7</f>
        <v>231.25</v>
      </c>
      <c r="C5" s="205">
        <f>'Ingresos y Costos año 1'!C7</f>
        <v>238.75</v>
      </c>
      <c r="D5" s="205">
        <f>'Ingresos y Costos año 1'!D7</f>
        <v>243.25</v>
      </c>
      <c r="E5" s="205">
        <f>'Ingresos y Costos año 1'!E7</f>
        <v>253</v>
      </c>
      <c r="F5" s="205">
        <f>'Ingresos y Costos año 1'!F7</f>
        <v>263</v>
      </c>
      <c r="G5" s="205">
        <f>'Ingresos y Costos año 1'!G7</f>
        <v>276.25</v>
      </c>
      <c r="H5" s="205">
        <f>'Ingresos y Costos año 1'!H7</f>
        <v>290</v>
      </c>
      <c r="I5" s="205">
        <f>'Ingresos y Costos año 1'!I7</f>
        <v>304.5</v>
      </c>
      <c r="J5" s="205">
        <f>'Ingresos y Costos año 1'!J7</f>
        <v>319.75</v>
      </c>
      <c r="K5" s="205">
        <f>'Ingresos y Costos año 1'!K7</f>
        <v>339</v>
      </c>
      <c r="L5" s="205">
        <f>'Ingresos y Costos año 1'!L7</f>
        <v>359.25</v>
      </c>
      <c r="M5" s="205">
        <f>'Ingresos y Costos año 1'!M7</f>
        <v>395</v>
      </c>
      <c r="N5" s="37">
        <f>N3*0.25</f>
        <v>405</v>
      </c>
      <c r="O5" s="37">
        <f>O3*0.25</f>
        <v>487.5</v>
      </c>
      <c r="P5" s="37"/>
    </row>
    <row r="6" spans="1:16" ht="12.75">
      <c r="A6" s="96" t="s">
        <v>157</v>
      </c>
      <c r="B6" s="205">
        <f>'Ingresos y Costos año 1'!B8</f>
        <v>138.75</v>
      </c>
      <c r="C6" s="205">
        <f>'Ingresos y Costos año 1'!C8</f>
        <v>143.25</v>
      </c>
      <c r="D6" s="205">
        <f>'Ingresos y Costos año 1'!D8</f>
        <v>145.95</v>
      </c>
      <c r="E6" s="205">
        <f>'Ingresos y Costos año 1'!E8</f>
        <v>151.79999999999998</v>
      </c>
      <c r="F6" s="205">
        <f>'Ingresos y Costos año 1'!F8</f>
        <v>157.79999999999998</v>
      </c>
      <c r="G6" s="205">
        <f>'Ingresos y Costos año 1'!G8</f>
        <v>165.75</v>
      </c>
      <c r="H6" s="205">
        <f>'Ingresos y Costos año 1'!H8</f>
        <v>174</v>
      </c>
      <c r="I6" s="205">
        <f>'Ingresos y Costos año 1'!I8</f>
        <v>182.7</v>
      </c>
      <c r="J6" s="205">
        <f>'Ingresos y Costos año 1'!J8</f>
        <v>191.85</v>
      </c>
      <c r="K6" s="205">
        <f>'Ingresos y Costos año 1'!K8</f>
        <v>203.4</v>
      </c>
      <c r="L6" s="205">
        <f>'Ingresos y Costos año 1'!L8</f>
        <v>215.54999999999998</v>
      </c>
      <c r="M6" s="205">
        <f>'Ingresos y Costos año 1'!M8</f>
        <v>237</v>
      </c>
      <c r="N6" s="37">
        <f>N3*0.15</f>
        <v>243</v>
      </c>
      <c r="O6" s="37">
        <f>O3*0.15</f>
        <v>292.5</v>
      </c>
      <c r="P6" s="37"/>
    </row>
    <row r="7" spans="1:16" ht="12.75">
      <c r="A7" s="96" t="s">
        <v>115</v>
      </c>
      <c r="B7" s="205">
        <f>'Ingresos y Costos año 1'!B9</f>
        <v>231.25</v>
      </c>
      <c r="C7" s="205">
        <f>'Ingresos y Costos año 1'!C9</f>
        <v>238.75</v>
      </c>
      <c r="D7" s="205">
        <f>'Ingresos y Costos año 1'!D9</f>
        <v>243.25</v>
      </c>
      <c r="E7" s="205">
        <f>'Ingresos y Costos año 1'!E9</f>
        <v>253</v>
      </c>
      <c r="F7" s="205">
        <f>'Ingresos y Costos año 1'!F9</f>
        <v>263</v>
      </c>
      <c r="G7" s="205">
        <f>'Ingresos y Costos año 1'!G9</f>
        <v>276.25</v>
      </c>
      <c r="H7" s="205">
        <f>'Ingresos y Costos año 1'!H9</f>
        <v>290</v>
      </c>
      <c r="I7" s="205">
        <f>'Ingresos y Costos año 1'!I9</f>
        <v>304.5</v>
      </c>
      <c r="J7" s="205">
        <f>'Ingresos y Costos año 1'!J9</f>
        <v>319.75</v>
      </c>
      <c r="K7" s="205">
        <f>'Ingresos y Costos año 1'!K9</f>
        <v>339</v>
      </c>
      <c r="L7" s="205">
        <f>'Ingresos y Costos año 1'!L9</f>
        <v>359.25</v>
      </c>
      <c r="M7" s="205">
        <f>'Ingresos y Costos año 1'!M9</f>
        <v>395</v>
      </c>
      <c r="N7" s="37">
        <f>N3*0.25</f>
        <v>405</v>
      </c>
      <c r="O7" s="37">
        <f>O3*0.25</f>
        <v>487.5</v>
      </c>
      <c r="P7" s="37"/>
    </row>
    <row r="8" spans="1:16" ht="12.75">
      <c r="A8" s="41" t="s">
        <v>137</v>
      </c>
      <c r="B8" s="45">
        <v>5</v>
      </c>
      <c r="C8" s="45">
        <v>5</v>
      </c>
      <c r="D8" s="45">
        <v>5</v>
      </c>
      <c r="E8" s="45">
        <v>5</v>
      </c>
      <c r="F8" s="45">
        <v>5</v>
      </c>
      <c r="G8" s="45">
        <v>5</v>
      </c>
      <c r="H8" s="45">
        <v>5</v>
      </c>
      <c r="I8" s="45">
        <v>5</v>
      </c>
      <c r="J8" s="45">
        <v>5</v>
      </c>
      <c r="K8" s="45">
        <v>5</v>
      </c>
      <c r="L8" s="45">
        <v>5</v>
      </c>
      <c r="M8" s="45">
        <v>5</v>
      </c>
      <c r="N8" s="45">
        <v>5.16</v>
      </c>
      <c r="O8" s="45">
        <v>5.16</v>
      </c>
      <c r="P8" s="45"/>
    </row>
    <row r="9" spans="1:15" ht="12.75">
      <c r="A9" s="111" t="s">
        <v>133</v>
      </c>
      <c r="B9" s="47">
        <f aca="true" t="shared" si="0" ref="B9:O9">B3*B8</f>
        <v>4625</v>
      </c>
      <c r="C9" s="48">
        <f t="shared" si="0"/>
        <v>4775</v>
      </c>
      <c r="D9" s="47">
        <f t="shared" si="0"/>
        <v>4865</v>
      </c>
      <c r="E9" s="47">
        <f t="shared" si="0"/>
        <v>5060</v>
      </c>
      <c r="F9" s="47">
        <f t="shared" si="0"/>
        <v>5260</v>
      </c>
      <c r="G9" s="47">
        <f t="shared" si="0"/>
        <v>5525</v>
      </c>
      <c r="H9" s="47">
        <f t="shared" si="0"/>
        <v>5800</v>
      </c>
      <c r="I9" s="47">
        <f t="shared" si="0"/>
        <v>6090</v>
      </c>
      <c r="J9" s="47">
        <f t="shared" si="0"/>
        <v>6395</v>
      </c>
      <c r="K9" s="47">
        <f t="shared" si="0"/>
        <v>6780</v>
      </c>
      <c r="L9" s="47">
        <f t="shared" si="0"/>
        <v>7185</v>
      </c>
      <c r="M9" s="47">
        <f t="shared" si="0"/>
        <v>7900</v>
      </c>
      <c r="N9" s="47">
        <f t="shared" si="0"/>
        <v>8359.2</v>
      </c>
      <c r="O9" s="47">
        <f t="shared" si="0"/>
        <v>10062</v>
      </c>
    </row>
    <row r="11" spans="1:13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5" ht="13.5" thickBot="1">
      <c r="A12" s="97" t="s">
        <v>158</v>
      </c>
      <c r="B12" s="109">
        <f>SUM(B13:B16)</f>
        <v>1250.7734375</v>
      </c>
      <c r="C12" s="109">
        <f aca="true" t="shared" si="1" ref="C12:I12">SUM(C13:C16)</f>
        <v>1291.3390625</v>
      </c>
      <c r="D12" s="109">
        <f>SUM(D13:D16)</f>
        <v>1315.6784375</v>
      </c>
      <c r="E12" s="109">
        <f t="shared" si="1"/>
        <v>1368.4137500000002</v>
      </c>
      <c r="F12" s="109">
        <f t="shared" si="1"/>
        <v>1422.50125</v>
      </c>
      <c r="G12" s="109">
        <f t="shared" si="1"/>
        <v>1494.1671875000002</v>
      </c>
      <c r="H12" s="109">
        <f t="shared" si="1"/>
        <v>1568.5375</v>
      </c>
      <c r="I12" s="109">
        <f t="shared" si="1"/>
        <v>1646.964375</v>
      </c>
      <c r="J12" s="109">
        <f aca="true" t="shared" si="2" ref="J12:O12">SUM(J13:J16)</f>
        <v>1729.4478125</v>
      </c>
      <c r="K12" s="109">
        <f t="shared" si="2"/>
        <v>1833.5662499999999</v>
      </c>
      <c r="L12" s="109">
        <f t="shared" si="2"/>
        <v>1943.0934375</v>
      </c>
      <c r="M12" s="109">
        <f t="shared" si="2"/>
        <v>2136.45625</v>
      </c>
      <c r="N12" s="109">
        <f t="shared" si="2"/>
        <v>2190.5437500000003</v>
      </c>
      <c r="O12" s="109">
        <f t="shared" si="2"/>
        <v>2636.765625</v>
      </c>
    </row>
    <row r="13" spans="1:15" ht="12.75">
      <c r="A13" s="96" t="s">
        <v>70</v>
      </c>
      <c r="B13" s="46">
        <f>'Ingresos y Costos año 1'!B15</f>
        <v>338.203125</v>
      </c>
      <c r="C13" s="46">
        <f>(B13/$B$3)*$C$3</f>
        <v>349.171875</v>
      </c>
      <c r="D13" s="46">
        <f>(B13/$B$3)*$D$3</f>
        <v>355.75312499999995</v>
      </c>
      <c r="E13" s="46">
        <f>(B13/$B$3)*$E$3</f>
        <v>370.0125</v>
      </c>
      <c r="F13" s="46">
        <f>(B13/$B$3)*$F$3</f>
        <v>384.6375</v>
      </c>
      <c r="G13" s="46">
        <f>(B13/$B$3)*$G$3</f>
        <v>404.015625</v>
      </c>
      <c r="H13" s="46">
        <f>(B13/$B$3)*$H$3</f>
        <v>424.125</v>
      </c>
      <c r="I13" s="46">
        <f>(B13/$B$3)*$I$3</f>
        <v>445.33124999999995</v>
      </c>
      <c r="J13" s="46">
        <f>(B13/$B$3)*$J$3</f>
        <v>467.634375</v>
      </c>
      <c r="K13" s="46">
        <f>(B13/$B$3)*$K$3</f>
        <v>495.78749999999997</v>
      </c>
      <c r="L13" s="46">
        <f>(B13/$B$3)*$L$3</f>
        <v>525.4031249999999</v>
      </c>
      <c r="M13" s="46">
        <f>(B13/$B$3)*$M$3</f>
        <v>577.6875</v>
      </c>
      <c r="N13" s="46">
        <f>(B13/$B$3)*$N$3</f>
        <v>592.3125</v>
      </c>
      <c r="O13" s="46">
        <f>(B13/$B$3)*$O$3</f>
        <v>712.96875</v>
      </c>
    </row>
    <row r="14" spans="1:15" ht="12.75">
      <c r="A14" s="96" t="s">
        <v>97</v>
      </c>
      <c r="B14" s="46">
        <f>'Ingresos y Costos año 1'!B16</f>
        <v>440.72395833333337</v>
      </c>
      <c r="C14" s="46">
        <f>(B14/$B$3)*$C$3</f>
        <v>455.01770833333336</v>
      </c>
      <c r="D14" s="46">
        <f>(B14/$B$3)*$D$3</f>
        <v>463.5939583333334</v>
      </c>
      <c r="E14" s="46">
        <f>(B14/$B$3)*$E$3</f>
        <v>482.1758333333334</v>
      </c>
      <c r="F14" s="46">
        <f>(B14/$B$3)*$F$3</f>
        <v>501.2341666666667</v>
      </c>
      <c r="G14" s="46">
        <f>(B14/$B$3)*$G$3</f>
        <v>526.4864583333334</v>
      </c>
      <c r="H14" s="46">
        <f>(B14/$B$3)*$H$3</f>
        <v>552.6916666666667</v>
      </c>
      <c r="I14" s="46">
        <f>(B14/$B$3)*$I$3</f>
        <v>580.3262500000001</v>
      </c>
      <c r="J14" s="46">
        <f>(B14/$B$3)*$J$3</f>
        <v>609.3902083333334</v>
      </c>
      <c r="K14" s="46">
        <f>(B14/$B$3)*$K$3</f>
        <v>646.0775000000001</v>
      </c>
      <c r="L14" s="46">
        <f>(B14/$B$3)*$L$3</f>
        <v>684.6706250000001</v>
      </c>
      <c r="M14" s="46">
        <f>(B14/$B$3)*$M$3</f>
        <v>752.8041666666667</v>
      </c>
      <c r="N14" s="46">
        <f>(B14/$B$3)*$N$3</f>
        <v>771.8625000000001</v>
      </c>
      <c r="O14" s="46">
        <f>(B14/$B$3)*$O$3</f>
        <v>929.0937500000001</v>
      </c>
    </row>
    <row r="15" spans="1:15" ht="12.75">
      <c r="A15" s="96" t="s">
        <v>157</v>
      </c>
      <c r="B15" s="46">
        <f>'Ingresos y Costos año 1'!B17</f>
        <v>189.046875</v>
      </c>
      <c r="C15" s="46">
        <f>(B15/$B$3)*$C$3</f>
        <v>195.178125</v>
      </c>
      <c r="D15" s="46">
        <f>(B15/$B$3)*$D$3</f>
        <v>198.856875</v>
      </c>
      <c r="E15" s="46">
        <f>(B15/$B$3)*$E$3</f>
        <v>206.82750000000001</v>
      </c>
      <c r="F15" s="46">
        <f>(B15/$B$3)*$F$3</f>
        <v>215.0025</v>
      </c>
      <c r="G15" s="46">
        <f>(B15/$B$3)*$G$3</f>
        <v>225.834375</v>
      </c>
      <c r="H15" s="46">
        <f>(B15/$B$3)*$H$3</f>
        <v>237.075</v>
      </c>
      <c r="I15" s="46">
        <f>(B15/$B$3)*$I$3</f>
        <v>248.92875</v>
      </c>
      <c r="J15" s="46">
        <f>(B15/$B$3)*$J$3</f>
        <v>261.395625</v>
      </c>
      <c r="K15" s="46">
        <f>(B15/$B$3)*$K$3</f>
        <v>277.1325</v>
      </c>
      <c r="L15" s="46">
        <f>(B15/$B$3)*$L$3</f>
        <v>293.686875</v>
      </c>
      <c r="M15" s="46">
        <f>(B15/$B$3)*$M$3</f>
        <v>322.9125</v>
      </c>
      <c r="N15" s="46">
        <f>(B15/$B$3)*$N$3</f>
        <v>331.0875</v>
      </c>
      <c r="O15" s="46">
        <f>(B15/$B$3)*$O$3</f>
        <v>398.53125</v>
      </c>
    </row>
    <row r="16" spans="1:15" ht="12.75">
      <c r="A16" s="96" t="s">
        <v>115</v>
      </c>
      <c r="B16" s="46">
        <f>'Ingresos y Costos año 1'!B18</f>
        <v>282.7994791666667</v>
      </c>
      <c r="C16" s="46">
        <f>(B16/$B$3)*$C$3</f>
        <v>291.9713541666667</v>
      </c>
      <c r="D16" s="46">
        <f>(B16/$B$3)*$D$3</f>
        <v>297.47447916666664</v>
      </c>
      <c r="E16" s="46">
        <f>(B16/$B$3)*$E$3</f>
        <v>309.3979166666667</v>
      </c>
      <c r="F16" s="46">
        <f>(B16/$B$3)*$F$3</f>
        <v>321.6270833333333</v>
      </c>
      <c r="G16" s="46">
        <f>(B16/$B$3)*$G$3</f>
        <v>337.8307291666667</v>
      </c>
      <c r="H16" s="46">
        <f>(B16/$B$3)*$H$3</f>
        <v>354.6458333333333</v>
      </c>
      <c r="I16" s="46">
        <f>(B16/$B$3)*$I$3</f>
        <v>372.378125</v>
      </c>
      <c r="J16" s="46">
        <f>(B16/$B$3)*$J$3</f>
        <v>391.02760416666666</v>
      </c>
      <c r="K16" s="46">
        <f>(B16/$B$3)*$K$3</f>
        <v>414.56875</v>
      </c>
      <c r="L16" s="46">
        <f>(B16/$B$3)*$L$3</f>
        <v>439.3328125</v>
      </c>
      <c r="M16" s="46">
        <f>(B16/$B$3)*$M$3</f>
        <v>483.0520833333333</v>
      </c>
      <c r="N16" s="46">
        <f>(B16/$B$3)*$N$3</f>
        <v>495.28125</v>
      </c>
      <c r="O16" s="46">
        <f>(B16/$B$3)*$O$3</f>
        <v>596.171875</v>
      </c>
    </row>
    <row r="17" spans="1:15" ht="13.5" thickBot="1">
      <c r="A17" s="97" t="s">
        <v>156</v>
      </c>
      <c r="B17" s="109">
        <f aca="true" t="shared" si="3" ref="B17:O17">SUM(B18:B24)</f>
        <v>5555</v>
      </c>
      <c r="C17" s="109">
        <f t="shared" si="3"/>
        <v>5155</v>
      </c>
      <c r="D17" s="109">
        <f t="shared" si="3"/>
        <v>5155</v>
      </c>
      <c r="E17" s="109">
        <f t="shared" si="3"/>
        <v>5155</v>
      </c>
      <c r="F17" s="109">
        <f t="shared" si="3"/>
        <v>5155</v>
      </c>
      <c r="G17" s="109">
        <f t="shared" si="3"/>
        <v>5155</v>
      </c>
      <c r="H17" s="109">
        <f t="shared" si="3"/>
        <v>5155</v>
      </c>
      <c r="I17" s="109">
        <f t="shared" si="3"/>
        <v>5155</v>
      </c>
      <c r="J17" s="109">
        <f t="shared" si="3"/>
        <v>5155</v>
      </c>
      <c r="K17" s="109">
        <f t="shared" si="3"/>
        <v>5155</v>
      </c>
      <c r="L17" s="109">
        <f t="shared" si="3"/>
        <v>5155</v>
      </c>
      <c r="M17" s="109">
        <f t="shared" si="3"/>
        <v>5155</v>
      </c>
      <c r="N17" s="109">
        <f t="shared" si="3"/>
        <v>5155</v>
      </c>
      <c r="O17" s="109">
        <f t="shared" si="3"/>
        <v>5155</v>
      </c>
    </row>
    <row r="18" spans="1:15" ht="12.75">
      <c r="A18" s="41" t="s">
        <v>130</v>
      </c>
      <c r="B18" s="44">
        <f>'Ingresos y Costos año 1'!B20</f>
        <v>2750</v>
      </c>
      <c r="C18" s="44">
        <f aca="true" t="shared" si="4" ref="C18:C24">B18</f>
        <v>2750</v>
      </c>
      <c r="D18" s="44">
        <f aca="true" t="shared" si="5" ref="D18:O18">C18</f>
        <v>2750</v>
      </c>
      <c r="E18" s="44">
        <f t="shared" si="5"/>
        <v>2750</v>
      </c>
      <c r="F18" s="44">
        <f t="shared" si="5"/>
        <v>2750</v>
      </c>
      <c r="G18" s="44">
        <f t="shared" si="5"/>
        <v>2750</v>
      </c>
      <c r="H18" s="44">
        <f t="shared" si="5"/>
        <v>2750</v>
      </c>
      <c r="I18" s="44">
        <f t="shared" si="5"/>
        <v>2750</v>
      </c>
      <c r="J18" s="44">
        <f t="shared" si="5"/>
        <v>2750</v>
      </c>
      <c r="K18" s="44">
        <f t="shared" si="5"/>
        <v>2750</v>
      </c>
      <c r="L18" s="44">
        <f t="shared" si="5"/>
        <v>2750</v>
      </c>
      <c r="M18" s="44">
        <f t="shared" si="5"/>
        <v>2750</v>
      </c>
      <c r="N18" s="44">
        <f t="shared" si="5"/>
        <v>2750</v>
      </c>
      <c r="O18" s="44">
        <f t="shared" si="5"/>
        <v>2750</v>
      </c>
    </row>
    <row r="19" spans="1:15" ht="12.75">
      <c r="A19" s="4" t="s">
        <v>125</v>
      </c>
      <c r="B19" s="49">
        <f>'Ingresos y Costos año 1'!B21</f>
        <v>1000</v>
      </c>
      <c r="C19" s="49">
        <f>600</f>
        <v>600</v>
      </c>
      <c r="D19" s="49">
        <f aca="true" t="shared" si="6" ref="D19:O19">C19</f>
        <v>600</v>
      </c>
      <c r="E19" s="49">
        <f t="shared" si="6"/>
        <v>600</v>
      </c>
      <c r="F19" s="49">
        <f t="shared" si="6"/>
        <v>600</v>
      </c>
      <c r="G19" s="49">
        <f t="shared" si="6"/>
        <v>600</v>
      </c>
      <c r="H19" s="49">
        <f t="shared" si="6"/>
        <v>600</v>
      </c>
      <c r="I19" s="49">
        <f t="shared" si="6"/>
        <v>600</v>
      </c>
      <c r="J19" s="49">
        <f t="shared" si="6"/>
        <v>600</v>
      </c>
      <c r="K19" s="49">
        <f t="shared" si="6"/>
        <v>600</v>
      </c>
      <c r="L19" s="49">
        <f t="shared" si="6"/>
        <v>600</v>
      </c>
      <c r="M19" s="49">
        <f t="shared" si="6"/>
        <v>600</v>
      </c>
      <c r="N19" s="49">
        <f t="shared" si="6"/>
        <v>600</v>
      </c>
      <c r="O19" s="49">
        <f t="shared" si="6"/>
        <v>600</v>
      </c>
    </row>
    <row r="20" spans="1:15" ht="12.75">
      <c r="A20" s="4" t="s">
        <v>118</v>
      </c>
      <c r="B20" s="46">
        <f>'Ingresos y Costos año 1'!B22</f>
        <v>200</v>
      </c>
      <c r="C20" s="46">
        <f t="shared" si="4"/>
        <v>200</v>
      </c>
      <c r="D20" s="46">
        <f aca="true" t="shared" si="7" ref="D20:O20">C20</f>
        <v>200</v>
      </c>
      <c r="E20" s="46">
        <f t="shared" si="7"/>
        <v>200</v>
      </c>
      <c r="F20" s="46">
        <f t="shared" si="7"/>
        <v>200</v>
      </c>
      <c r="G20" s="46">
        <f t="shared" si="7"/>
        <v>200</v>
      </c>
      <c r="H20" s="46">
        <f t="shared" si="7"/>
        <v>200</v>
      </c>
      <c r="I20" s="46">
        <f t="shared" si="7"/>
        <v>200</v>
      </c>
      <c r="J20" s="46">
        <f t="shared" si="7"/>
        <v>200</v>
      </c>
      <c r="K20" s="46">
        <f t="shared" si="7"/>
        <v>200</v>
      </c>
      <c r="L20" s="46">
        <f t="shared" si="7"/>
        <v>200</v>
      </c>
      <c r="M20" s="46">
        <f t="shared" si="7"/>
        <v>200</v>
      </c>
      <c r="N20" s="46">
        <f t="shared" si="7"/>
        <v>200</v>
      </c>
      <c r="O20" s="46">
        <f t="shared" si="7"/>
        <v>200</v>
      </c>
    </row>
    <row r="21" spans="1:15" ht="12.75">
      <c r="A21" s="4" t="s">
        <v>119</v>
      </c>
      <c r="B21" s="49">
        <f>'Ingresos y Costos año 1'!B23</f>
        <v>120</v>
      </c>
      <c r="C21" s="49">
        <f t="shared" si="4"/>
        <v>120</v>
      </c>
      <c r="D21" s="49">
        <f aca="true" t="shared" si="8" ref="D21:O21">C21</f>
        <v>120</v>
      </c>
      <c r="E21" s="49">
        <f t="shared" si="8"/>
        <v>120</v>
      </c>
      <c r="F21" s="49">
        <f t="shared" si="8"/>
        <v>120</v>
      </c>
      <c r="G21" s="49">
        <f t="shared" si="8"/>
        <v>120</v>
      </c>
      <c r="H21" s="49">
        <f t="shared" si="8"/>
        <v>120</v>
      </c>
      <c r="I21" s="49">
        <f t="shared" si="8"/>
        <v>120</v>
      </c>
      <c r="J21" s="49">
        <f t="shared" si="8"/>
        <v>120</v>
      </c>
      <c r="K21" s="49">
        <f t="shared" si="8"/>
        <v>120</v>
      </c>
      <c r="L21" s="49">
        <f t="shared" si="8"/>
        <v>120</v>
      </c>
      <c r="M21" s="49">
        <f t="shared" si="8"/>
        <v>120</v>
      </c>
      <c r="N21" s="49">
        <f t="shared" si="8"/>
        <v>120</v>
      </c>
      <c r="O21" s="49">
        <f t="shared" si="8"/>
        <v>120</v>
      </c>
    </row>
    <row r="22" spans="1:15" ht="12.75">
      <c r="A22" s="4" t="s">
        <v>120</v>
      </c>
      <c r="B22" s="46">
        <v>85</v>
      </c>
      <c r="C22" s="46">
        <f t="shared" si="4"/>
        <v>85</v>
      </c>
      <c r="D22" s="46">
        <f aca="true" t="shared" si="9" ref="D22:O22">C22</f>
        <v>85</v>
      </c>
      <c r="E22" s="46">
        <f t="shared" si="9"/>
        <v>85</v>
      </c>
      <c r="F22" s="46">
        <f t="shared" si="9"/>
        <v>85</v>
      </c>
      <c r="G22" s="46">
        <f t="shared" si="9"/>
        <v>85</v>
      </c>
      <c r="H22" s="46">
        <f t="shared" si="9"/>
        <v>85</v>
      </c>
      <c r="I22" s="46">
        <f t="shared" si="9"/>
        <v>85</v>
      </c>
      <c r="J22" s="46">
        <f t="shared" si="9"/>
        <v>85</v>
      </c>
      <c r="K22" s="46">
        <f t="shared" si="9"/>
        <v>85</v>
      </c>
      <c r="L22" s="46">
        <f t="shared" si="9"/>
        <v>85</v>
      </c>
      <c r="M22" s="46">
        <f t="shared" si="9"/>
        <v>85</v>
      </c>
      <c r="N22" s="46">
        <f t="shared" si="9"/>
        <v>85</v>
      </c>
      <c r="O22" s="46">
        <f t="shared" si="9"/>
        <v>85</v>
      </c>
    </row>
    <row r="23" spans="1:15" ht="12.75">
      <c r="A23" s="4" t="s">
        <v>121</v>
      </c>
      <c r="B23" s="46">
        <f>'Ingresos y Costos año 1'!B25</f>
        <v>1200</v>
      </c>
      <c r="C23" s="46">
        <f t="shared" si="4"/>
        <v>1200</v>
      </c>
      <c r="D23" s="46">
        <f aca="true" t="shared" si="10" ref="D23:O23">C23</f>
        <v>1200</v>
      </c>
      <c r="E23" s="46">
        <f t="shared" si="10"/>
        <v>1200</v>
      </c>
      <c r="F23" s="46">
        <f t="shared" si="10"/>
        <v>1200</v>
      </c>
      <c r="G23" s="46">
        <f t="shared" si="10"/>
        <v>1200</v>
      </c>
      <c r="H23" s="46">
        <f t="shared" si="10"/>
        <v>1200</v>
      </c>
      <c r="I23" s="46">
        <f t="shared" si="10"/>
        <v>1200</v>
      </c>
      <c r="J23" s="46">
        <f t="shared" si="10"/>
        <v>1200</v>
      </c>
      <c r="K23" s="46">
        <f t="shared" si="10"/>
        <v>1200</v>
      </c>
      <c r="L23" s="46">
        <f t="shared" si="10"/>
        <v>1200</v>
      </c>
      <c r="M23" s="46">
        <f t="shared" si="10"/>
        <v>1200</v>
      </c>
      <c r="N23" s="46">
        <f t="shared" si="10"/>
        <v>1200</v>
      </c>
      <c r="O23" s="46">
        <f t="shared" si="10"/>
        <v>1200</v>
      </c>
    </row>
    <row r="24" spans="1:15" ht="12.75">
      <c r="A24" s="4" t="s">
        <v>131</v>
      </c>
      <c r="B24" s="46">
        <f>'Ingresos y Costos año 1'!B26</f>
        <v>200</v>
      </c>
      <c r="C24" s="46">
        <f t="shared" si="4"/>
        <v>200</v>
      </c>
      <c r="D24" s="46">
        <f aca="true" t="shared" si="11" ref="D24:O24">C24</f>
        <v>200</v>
      </c>
      <c r="E24" s="46">
        <f t="shared" si="11"/>
        <v>200</v>
      </c>
      <c r="F24" s="46">
        <f t="shared" si="11"/>
        <v>200</v>
      </c>
      <c r="G24" s="46">
        <f t="shared" si="11"/>
        <v>200</v>
      </c>
      <c r="H24" s="46">
        <f t="shared" si="11"/>
        <v>200</v>
      </c>
      <c r="I24" s="46">
        <f t="shared" si="11"/>
        <v>200</v>
      </c>
      <c r="J24" s="46">
        <f t="shared" si="11"/>
        <v>200</v>
      </c>
      <c r="K24" s="46">
        <f t="shared" si="11"/>
        <v>200</v>
      </c>
      <c r="L24" s="46">
        <f t="shared" si="11"/>
        <v>200</v>
      </c>
      <c r="M24" s="46">
        <f t="shared" si="11"/>
        <v>200</v>
      </c>
      <c r="N24" s="46">
        <f t="shared" si="11"/>
        <v>200</v>
      </c>
      <c r="O24" s="46">
        <f t="shared" si="11"/>
        <v>200</v>
      </c>
    </row>
    <row r="25" spans="1:15" ht="12.75">
      <c r="A25" s="4" t="s">
        <v>132</v>
      </c>
      <c r="B25" s="54">
        <f>+B12+B17</f>
        <v>6805.7734375</v>
      </c>
      <c r="C25" s="54">
        <f aca="true" t="shared" si="12" ref="C25:O25">+C12+C17</f>
        <v>6446.3390625</v>
      </c>
      <c r="D25" s="54">
        <f t="shared" si="12"/>
        <v>6470.6784375</v>
      </c>
      <c r="E25" s="54">
        <f t="shared" si="12"/>
        <v>6523.41375</v>
      </c>
      <c r="F25" s="54">
        <f t="shared" si="12"/>
        <v>6577.50125</v>
      </c>
      <c r="G25" s="54">
        <f t="shared" si="12"/>
        <v>6649.1671875</v>
      </c>
      <c r="H25" s="54">
        <f t="shared" si="12"/>
        <v>6723.5375</v>
      </c>
      <c r="I25" s="54">
        <f t="shared" si="12"/>
        <v>6801.964375</v>
      </c>
      <c r="J25" s="54">
        <f t="shared" si="12"/>
        <v>6884.4478125000005</v>
      </c>
      <c r="K25" s="54">
        <f t="shared" si="12"/>
        <v>6988.56625</v>
      </c>
      <c r="L25" s="54">
        <f t="shared" si="12"/>
        <v>7098.0934375</v>
      </c>
      <c r="M25" s="54">
        <f t="shared" si="12"/>
        <v>7291.45625</v>
      </c>
      <c r="N25" s="54">
        <f t="shared" si="12"/>
        <v>7345.543750000001</v>
      </c>
      <c r="O25" s="54">
        <f t="shared" si="12"/>
        <v>7791.765625</v>
      </c>
    </row>
    <row r="26" spans="1:13" ht="13.5" thickBo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5" ht="17.25" thickBot="1">
      <c r="A27" s="67" t="s">
        <v>136</v>
      </c>
      <c r="B27" s="35" t="s">
        <v>57</v>
      </c>
      <c r="C27" s="35" t="s">
        <v>58</v>
      </c>
      <c r="D27" s="35" t="s">
        <v>59</v>
      </c>
      <c r="E27" s="35" t="s">
        <v>60</v>
      </c>
      <c r="F27" s="68" t="s">
        <v>61</v>
      </c>
      <c r="G27" s="35" t="s">
        <v>62</v>
      </c>
      <c r="H27" s="38" t="s">
        <v>63</v>
      </c>
      <c r="I27" s="38" t="s">
        <v>64</v>
      </c>
      <c r="J27" s="38" t="s">
        <v>65</v>
      </c>
      <c r="K27" s="38" t="s">
        <v>66</v>
      </c>
      <c r="L27" s="38" t="s">
        <v>67</v>
      </c>
      <c r="M27" s="72" t="s">
        <v>68</v>
      </c>
      <c r="N27" s="38" t="s">
        <v>57</v>
      </c>
      <c r="O27" s="39" t="s">
        <v>58</v>
      </c>
    </row>
    <row r="28" spans="1:15" ht="16.5">
      <c r="A28" s="64" t="s">
        <v>133</v>
      </c>
      <c r="B28" s="65">
        <f>B9</f>
        <v>4625</v>
      </c>
      <c r="C28" s="65">
        <f aca="true" t="shared" si="13" ref="C28:O28">C9</f>
        <v>4775</v>
      </c>
      <c r="D28" s="65">
        <f t="shared" si="13"/>
        <v>4865</v>
      </c>
      <c r="E28" s="65">
        <f t="shared" si="13"/>
        <v>5060</v>
      </c>
      <c r="F28" s="69">
        <f t="shared" si="13"/>
        <v>5260</v>
      </c>
      <c r="G28" s="65">
        <f t="shared" si="13"/>
        <v>5525</v>
      </c>
      <c r="H28" s="65">
        <f t="shared" si="13"/>
        <v>5800</v>
      </c>
      <c r="I28" s="65">
        <f t="shared" si="13"/>
        <v>6090</v>
      </c>
      <c r="J28" s="65">
        <f t="shared" si="13"/>
        <v>6395</v>
      </c>
      <c r="K28" s="65">
        <f t="shared" si="13"/>
        <v>6780</v>
      </c>
      <c r="L28" s="65">
        <f t="shared" si="13"/>
        <v>7185</v>
      </c>
      <c r="M28" s="69">
        <f t="shared" si="13"/>
        <v>7900</v>
      </c>
      <c r="N28" s="65">
        <f t="shared" si="13"/>
        <v>8359.2</v>
      </c>
      <c r="O28" s="66">
        <f t="shared" si="13"/>
        <v>10062</v>
      </c>
    </row>
    <row r="29" spans="1:15" ht="16.5">
      <c r="A29" s="58" t="s">
        <v>132</v>
      </c>
      <c r="B29" s="57">
        <f>B25</f>
        <v>6805.7734375</v>
      </c>
      <c r="C29" s="57">
        <f aca="true" t="shared" si="14" ref="C29:O29">C25</f>
        <v>6446.3390625</v>
      </c>
      <c r="D29" s="57">
        <f t="shared" si="14"/>
        <v>6470.6784375</v>
      </c>
      <c r="E29" s="57">
        <f t="shared" si="14"/>
        <v>6523.41375</v>
      </c>
      <c r="F29" s="70">
        <f t="shared" si="14"/>
        <v>6577.50125</v>
      </c>
      <c r="G29" s="57">
        <f t="shared" si="14"/>
        <v>6649.1671875</v>
      </c>
      <c r="H29" s="57">
        <f t="shared" si="14"/>
        <v>6723.5375</v>
      </c>
      <c r="I29" s="57">
        <f t="shared" si="14"/>
        <v>6801.964375</v>
      </c>
      <c r="J29" s="57">
        <f t="shared" si="14"/>
        <v>6884.4478125000005</v>
      </c>
      <c r="K29" s="57">
        <f t="shared" si="14"/>
        <v>6988.56625</v>
      </c>
      <c r="L29" s="57">
        <f t="shared" si="14"/>
        <v>7098.0934375</v>
      </c>
      <c r="M29" s="70">
        <f t="shared" si="14"/>
        <v>7291.45625</v>
      </c>
      <c r="N29" s="57">
        <f t="shared" si="14"/>
        <v>7345.543750000001</v>
      </c>
      <c r="O29" s="59">
        <f t="shared" si="14"/>
        <v>7791.765625</v>
      </c>
    </row>
    <row r="30" spans="1:15" ht="16.5">
      <c r="A30" s="58" t="s">
        <v>134</v>
      </c>
      <c r="B30" s="57">
        <f>B28-B29</f>
        <v>-2180.7734375</v>
      </c>
      <c r="C30" s="57">
        <f aca="true" t="shared" si="15" ref="C30:O30">C28-C29</f>
        <v>-1671.3390625000002</v>
      </c>
      <c r="D30" s="57">
        <f t="shared" si="15"/>
        <v>-1605.6784374999997</v>
      </c>
      <c r="E30" s="57">
        <f t="shared" si="15"/>
        <v>-1463.4137499999997</v>
      </c>
      <c r="F30" s="70">
        <f t="shared" si="15"/>
        <v>-1317.5012500000003</v>
      </c>
      <c r="G30" s="57">
        <f t="shared" si="15"/>
        <v>-1124.1671875000002</v>
      </c>
      <c r="H30" s="57">
        <f t="shared" si="15"/>
        <v>-923.5375000000004</v>
      </c>
      <c r="I30" s="57">
        <f t="shared" si="15"/>
        <v>-711.9643749999996</v>
      </c>
      <c r="J30" s="57">
        <f t="shared" si="15"/>
        <v>-489.4478125000005</v>
      </c>
      <c r="K30" s="57">
        <f t="shared" si="15"/>
        <v>-208.56624999999985</v>
      </c>
      <c r="L30" s="57">
        <f t="shared" si="15"/>
        <v>86.90656250000029</v>
      </c>
      <c r="M30" s="70">
        <f t="shared" si="15"/>
        <v>608.5437499999998</v>
      </c>
      <c r="N30" s="57">
        <f t="shared" si="15"/>
        <v>1013.65625</v>
      </c>
      <c r="O30" s="59">
        <f t="shared" si="15"/>
        <v>2270.234375</v>
      </c>
    </row>
    <row r="31" spans="1:15" ht="17.25" thickBot="1">
      <c r="A31" s="60" t="s">
        <v>135</v>
      </c>
      <c r="B31" s="61">
        <f>B30</f>
        <v>-2180.7734375</v>
      </c>
      <c r="C31" s="61">
        <f>B31+C30</f>
        <v>-3852.1125</v>
      </c>
      <c r="D31" s="61">
        <f>C31+D30</f>
        <v>-5457.7909375</v>
      </c>
      <c r="E31" s="62">
        <f aca="true" t="shared" si="16" ref="E31:M31">D31+E30</f>
        <v>-6921.2046875</v>
      </c>
      <c r="F31" s="71">
        <f t="shared" si="16"/>
        <v>-8238.705937499999</v>
      </c>
      <c r="G31" s="61">
        <f>F31+G30</f>
        <v>-9362.873124999998</v>
      </c>
      <c r="H31" s="61">
        <f>G31+H30</f>
        <v>-10286.410624999999</v>
      </c>
      <c r="I31" s="61">
        <f t="shared" si="16"/>
        <v>-10998.374999999998</v>
      </c>
      <c r="J31" s="61">
        <f t="shared" si="16"/>
        <v>-11487.822812499999</v>
      </c>
      <c r="K31" s="61">
        <f t="shared" si="16"/>
        <v>-11696.389062499999</v>
      </c>
      <c r="L31" s="61">
        <f>K31+L30</f>
        <v>-11609.482499999998</v>
      </c>
      <c r="M31" s="73">
        <f t="shared" si="16"/>
        <v>-11000.938749999998</v>
      </c>
      <c r="N31" s="61">
        <f>M31+N30</f>
        <v>-9987.282499999998</v>
      </c>
      <c r="O31" s="63">
        <f>N31+O30</f>
        <v>-7717.0481249999975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1"/>
  <sheetViews>
    <sheetView zoomScale="115" zoomScaleNormal="115" zoomScalePageLayoutView="0" workbookViewId="0" topLeftCell="E6">
      <selection activeCell="K27" sqref="K27"/>
    </sheetView>
  </sheetViews>
  <sheetFormatPr defaultColWidth="11.421875" defaultRowHeight="12.75"/>
  <cols>
    <col min="1" max="1" width="11.00390625" style="124" customWidth="1"/>
    <col min="2" max="2" width="23.140625" style="0" customWidth="1"/>
    <col min="3" max="3" width="5.140625" style="124" customWidth="1"/>
    <col min="4" max="4" width="13.57421875" style="0" bestFit="1" customWidth="1"/>
    <col min="5" max="5" width="14.421875" style="0" customWidth="1"/>
    <col min="6" max="6" width="13.7109375" style="124" customWidth="1"/>
    <col min="7" max="7" width="12.57421875" style="0" customWidth="1"/>
    <col min="8" max="8" width="18.8515625" style="0" customWidth="1"/>
    <col min="9" max="9" width="15.8515625" style="0" customWidth="1"/>
    <col min="10" max="11" width="19.00390625" style="0" customWidth="1"/>
    <col min="12" max="12" width="22.8515625" style="0" customWidth="1"/>
  </cols>
  <sheetData>
    <row r="2" ht="18">
      <c r="A2" s="123" t="s">
        <v>168</v>
      </c>
    </row>
    <row r="4" ht="12.75"/>
    <row r="5" ht="12.75"/>
    <row r="6" ht="12.75"/>
    <row r="7" ht="12.75"/>
    <row r="8" spans="6:16" ht="13.5" thickBot="1"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</row>
    <row r="9" spans="1:12" ht="13.5" thickBot="1">
      <c r="A9" s="125" t="s">
        <v>169</v>
      </c>
      <c r="B9" s="125" t="s">
        <v>170</v>
      </c>
      <c r="C9" s="125" t="s">
        <v>171</v>
      </c>
      <c r="D9" s="125" t="s">
        <v>172</v>
      </c>
      <c r="E9" s="125" t="s">
        <v>173</v>
      </c>
      <c r="F9" s="338" t="s">
        <v>174</v>
      </c>
      <c r="G9" s="339"/>
      <c r="H9" s="125" t="s">
        <v>175</v>
      </c>
      <c r="I9" s="125" t="s">
        <v>176</v>
      </c>
      <c r="J9" s="125" t="s">
        <v>177</v>
      </c>
      <c r="K9" s="125" t="s">
        <v>195</v>
      </c>
      <c r="L9" s="125" t="s">
        <v>178</v>
      </c>
    </row>
    <row r="10" spans="1:12" ht="16.5" thickBot="1">
      <c r="A10" s="169">
        <v>5</v>
      </c>
      <c r="B10" s="172" t="s">
        <v>29</v>
      </c>
      <c r="C10" s="173">
        <v>3</v>
      </c>
      <c r="D10" s="174">
        <v>383</v>
      </c>
      <c r="E10" s="175">
        <f aca="true" t="shared" si="0" ref="E10:E24">A10*D10</f>
        <v>1915</v>
      </c>
      <c r="F10" s="176">
        <v>0.2</v>
      </c>
      <c r="G10" s="177">
        <f>D10*F10</f>
        <v>76.60000000000001</v>
      </c>
      <c r="H10" s="177">
        <f aca="true" t="shared" si="1" ref="H10:H24">(D10-G10)/C10</f>
        <v>102.13333333333333</v>
      </c>
      <c r="I10" s="175">
        <f>H10*A10</f>
        <v>510.66666666666663</v>
      </c>
      <c r="J10" s="177">
        <f>G10*A10</f>
        <v>383.00000000000006</v>
      </c>
      <c r="K10" s="175">
        <f>I10-J10</f>
        <v>127.66666666666657</v>
      </c>
      <c r="L10" s="178">
        <f>E10-J10</f>
        <v>1532</v>
      </c>
    </row>
    <row r="11" spans="1:12" ht="16.5" thickBot="1">
      <c r="A11" s="170">
        <v>1</v>
      </c>
      <c r="B11" s="155" t="s">
        <v>141</v>
      </c>
      <c r="C11" s="128">
        <v>3</v>
      </c>
      <c r="D11" s="129">
        <v>225</v>
      </c>
      <c r="E11" s="126">
        <f t="shared" si="0"/>
        <v>225</v>
      </c>
      <c r="F11" s="130">
        <v>0.2</v>
      </c>
      <c r="G11" s="131">
        <f>D11*F11</f>
        <v>45</v>
      </c>
      <c r="H11" s="131">
        <f t="shared" si="1"/>
        <v>60</v>
      </c>
      <c r="I11" s="126">
        <f aca="true" t="shared" si="2" ref="I11:I23">H11*A11</f>
        <v>60</v>
      </c>
      <c r="J11" s="131">
        <f aca="true" t="shared" si="3" ref="J11:J23">G11*A11</f>
        <v>45</v>
      </c>
      <c r="K11" s="175">
        <f aca="true" t="shared" si="4" ref="K11:K24">I11-J11</f>
        <v>15</v>
      </c>
      <c r="L11" s="132">
        <f aca="true" t="shared" si="5" ref="L11:L24">E11-J11</f>
        <v>180</v>
      </c>
    </row>
    <row r="12" spans="1:12" ht="16.5" thickBot="1">
      <c r="A12" s="170">
        <v>1</v>
      </c>
      <c r="B12" s="155" t="s">
        <v>25</v>
      </c>
      <c r="C12" s="128">
        <v>3</v>
      </c>
      <c r="D12" s="129">
        <v>600</v>
      </c>
      <c r="E12" s="126">
        <f t="shared" si="0"/>
        <v>600</v>
      </c>
      <c r="F12" s="130">
        <v>0.2</v>
      </c>
      <c r="G12" s="131">
        <f aca="true" t="shared" si="6" ref="G12:G24">D12*F12</f>
        <v>120</v>
      </c>
      <c r="H12" s="131">
        <f t="shared" si="1"/>
        <v>160</v>
      </c>
      <c r="I12" s="126">
        <f t="shared" si="2"/>
        <v>160</v>
      </c>
      <c r="J12" s="131">
        <f t="shared" si="3"/>
        <v>120</v>
      </c>
      <c r="K12" s="175">
        <f t="shared" si="4"/>
        <v>40</v>
      </c>
      <c r="L12" s="132">
        <f t="shared" si="5"/>
        <v>480</v>
      </c>
    </row>
    <row r="13" spans="1:12" ht="16.5" thickBot="1">
      <c r="A13" s="170">
        <v>2</v>
      </c>
      <c r="B13" s="155" t="s">
        <v>4</v>
      </c>
      <c r="C13" s="128">
        <v>5</v>
      </c>
      <c r="D13" s="129">
        <v>2500</v>
      </c>
      <c r="E13" s="126">
        <f t="shared" si="0"/>
        <v>5000</v>
      </c>
      <c r="F13" s="130">
        <v>0.2</v>
      </c>
      <c r="G13" s="131">
        <f>D13*F13</f>
        <v>500</v>
      </c>
      <c r="H13" s="131">
        <f t="shared" si="1"/>
        <v>400</v>
      </c>
      <c r="I13" s="126">
        <f>H13*A13</f>
        <v>800</v>
      </c>
      <c r="J13" s="131">
        <f>G13*A13</f>
        <v>1000</v>
      </c>
      <c r="K13" s="175">
        <f t="shared" si="4"/>
        <v>-200</v>
      </c>
      <c r="L13" s="132">
        <f t="shared" si="5"/>
        <v>4000</v>
      </c>
    </row>
    <row r="14" spans="1:12" ht="16.5" thickBot="1">
      <c r="A14" s="170">
        <v>1</v>
      </c>
      <c r="B14" s="155" t="s">
        <v>5</v>
      </c>
      <c r="C14" s="128">
        <v>5</v>
      </c>
      <c r="D14" s="129">
        <v>1600</v>
      </c>
      <c r="E14" s="126">
        <f t="shared" si="0"/>
        <v>1600</v>
      </c>
      <c r="F14" s="130">
        <v>0.2</v>
      </c>
      <c r="G14" s="131">
        <f t="shared" si="6"/>
        <v>320</v>
      </c>
      <c r="H14" s="131">
        <f t="shared" si="1"/>
        <v>256</v>
      </c>
      <c r="I14" s="126">
        <f>H14*A14</f>
        <v>256</v>
      </c>
      <c r="J14" s="131">
        <f t="shared" si="3"/>
        <v>320</v>
      </c>
      <c r="K14" s="175">
        <f t="shared" si="4"/>
        <v>-64</v>
      </c>
      <c r="L14" s="132">
        <f t="shared" si="5"/>
        <v>1280</v>
      </c>
    </row>
    <row r="15" spans="1:12" ht="16.5" thickBot="1">
      <c r="A15" s="170">
        <v>1</v>
      </c>
      <c r="B15" s="155" t="s">
        <v>6</v>
      </c>
      <c r="C15" s="128">
        <v>5</v>
      </c>
      <c r="D15" s="129">
        <v>450</v>
      </c>
      <c r="E15" s="126">
        <f t="shared" si="0"/>
        <v>450</v>
      </c>
      <c r="F15" s="130">
        <v>0.2</v>
      </c>
      <c r="G15" s="131">
        <f t="shared" si="6"/>
        <v>90</v>
      </c>
      <c r="H15" s="131">
        <f t="shared" si="1"/>
        <v>72</v>
      </c>
      <c r="I15" s="126">
        <f t="shared" si="2"/>
        <v>72</v>
      </c>
      <c r="J15" s="131">
        <f t="shared" si="3"/>
        <v>90</v>
      </c>
      <c r="K15" s="175">
        <f t="shared" si="4"/>
        <v>-18</v>
      </c>
      <c r="L15" s="132">
        <f t="shared" si="5"/>
        <v>360</v>
      </c>
    </row>
    <row r="16" spans="1:12" ht="16.5" thickBot="1">
      <c r="A16" s="170">
        <v>1</v>
      </c>
      <c r="B16" s="155" t="s">
        <v>34</v>
      </c>
      <c r="C16" s="128">
        <v>5</v>
      </c>
      <c r="D16" s="129">
        <v>1350</v>
      </c>
      <c r="E16" s="126">
        <f t="shared" si="0"/>
        <v>1350</v>
      </c>
      <c r="F16" s="130">
        <v>0.2</v>
      </c>
      <c r="G16" s="131">
        <f t="shared" si="6"/>
        <v>270</v>
      </c>
      <c r="H16" s="131">
        <f t="shared" si="1"/>
        <v>216</v>
      </c>
      <c r="I16" s="126">
        <f>H16*A16</f>
        <v>216</v>
      </c>
      <c r="J16" s="131">
        <f t="shared" si="3"/>
        <v>270</v>
      </c>
      <c r="K16" s="175">
        <f t="shared" si="4"/>
        <v>-54</v>
      </c>
      <c r="L16" s="132">
        <f t="shared" si="5"/>
        <v>1080</v>
      </c>
    </row>
    <row r="17" spans="1:12" ht="16.5" thickBot="1">
      <c r="A17" s="170">
        <v>4</v>
      </c>
      <c r="B17" s="155" t="s">
        <v>30</v>
      </c>
      <c r="C17" s="128">
        <v>10</v>
      </c>
      <c r="D17" s="129">
        <v>150</v>
      </c>
      <c r="E17" s="126">
        <f t="shared" si="0"/>
        <v>600</v>
      </c>
      <c r="F17" s="130">
        <v>0.2</v>
      </c>
      <c r="G17" s="131">
        <f t="shared" si="6"/>
        <v>30</v>
      </c>
      <c r="H17" s="131">
        <f t="shared" si="1"/>
        <v>12</v>
      </c>
      <c r="I17" s="126">
        <f t="shared" si="2"/>
        <v>48</v>
      </c>
      <c r="J17" s="131">
        <f t="shared" si="3"/>
        <v>120</v>
      </c>
      <c r="K17" s="175">
        <f t="shared" si="4"/>
        <v>-72</v>
      </c>
      <c r="L17" s="132">
        <f t="shared" si="5"/>
        <v>480</v>
      </c>
    </row>
    <row r="18" spans="1:12" ht="16.5" thickBot="1">
      <c r="A18" s="170">
        <v>26</v>
      </c>
      <c r="B18" s="155" t="s">
        <v>140</v>
      </c>
      <c r="C18" s="128">
        <v>10</v>
      </c>
      <c r="D18" s="129">
        <v>45</v>
      </c>
      <c r="E18" s="126">
        <f t="shared" si="0"/>
        <v>1170</v>
      </c>
      <c r="F18" s="130">
        <v>0.2</v>
      </c>
      <c r="G18" s="131">
        <f>D18*F18</f>
        <v>9</v>
      </c>
      <c r="H18" s="131">
        <f t="shared" si="1"/>
        <v>3.6</v>
      </c>
      <c r="I18" s="126">
        <f t="shared" si="2"/>
        <v>93.60000000000001</v>
      </c>
      <c r="J18" s="131">
        <f t="shared" si="3"/>
        <v>234</v>
      </c>
      <c r="K18" s="175">
        <f t="shared" si="4"/>
        <v>-140.39999999999998</v>
      </c>
      <c r="L18" s="132">
        <f t="shared" si="5"/>
        <v>936</v>
      </c>
    </row>
    <row r="19" spans="1:12" ht="16.5" thickBot="1">
      <c r="A19" s="170">
        <v>1</v>
      </c>
      <c r="B19" s="155" t="s">
        <v>31</v>
      </c>
      <c r="C19" s="128">
        <v>10</v>
      </c>
      <c r="D19" s="129">
        <v>180</v>
      </c>
      <c r="E19" s="126">
        <f t="shared" si="0"/>
        <v>180</v>
      </c>
      <c r="F19" s="130">
        <v>0.2</v>
      </c>
      <c r="G19" s="131">
        <f t="shared" si="6"/>
        <v>36</v>
      </c>
      <c r="H19" s="131">
        <f t="shared" si="1"/>
        <v>14.4</v>
      </c>
      <c r="I19" s="126">
        <f t="shared" si="2"/>
        <v>14.4</v>
      </c>
      <c r="J19" s="131">
        <f t="shared" si="3"/>
        <v>36</v>
      </c>
      <c r="K19" s="175">
        <f t="shared" si="4"/>
        <v>-21.6</v>
      </c>
      <c r="L19" s="132">
        <f t="shared" si="5"/>
        <v>144</v>
      </c>
    </row>
    <row r="20" spans="1:12" ht="16.5" thickBot="1">
      <c r="A20" s="170">
        <v>5</v>
      </c>
      <c r="B20" s="155" t="s">
        <v>15</v>
      </c>
      <c r="C20" s="128">
        <v>10</v>
      </c>
      <c r="D20" s="129">
        <v>100</v>
      </c>
      <c r="E20" s="126">
        <f t="shared" si="0"/>
        <v>500</v>
      </c>
      <c r="F20" s="130">
        <v>0.2</v>
      </c>
      <c r="G20" s="131">
        <f t="shared" si="6"/>
        <v>20</v>
      </c>
      <c r="H20" s="131">
        <f t="shared" si="1"/>
        <v>8</v>
      </c>
      <c r="I20" s="126">
        <f t="shared" si="2"/>
        <v>40</v>
      </c>
      <c r="J20" s="131">
        <f t="shared" si="3"/>
        <v>100</v>
      </c>
      <c r="K20" s="175">
        <f t="shared" si="4"/>
        <v>-60</v>
      </c>
      <c r="L20" s="132">
        <f t="shared" si="5"/>
        <v>400</v>
      </c>
    </row>
    <row r="21" spans="1:12" ht="16.5" thickBot="1">
      <c r="A21" s="170">
        <v>8</v>
      </c>
      <c r="B21" s="155" t="s">
        <v>18</v>
      </c>
      <c r="C21" s="128">
        <v>10</v>
      </c>
      <c r="D21" s="129">
        <v>55</v>
      </c>
      <c r="E21" s="126">
        <f t="shared" si="0"/>
        <v>440</v>
      </c>
      <c r="F21" s="130">
        <v>0.2</v>
      </c>
      <c r="G21" s="131">
        <f t="shared" si="6"/>
        <v>11</v>
      </c>
      <c r="H21" s="131">
        <f t="shared" si="1"/>
        <v>4.4</v>
      </c>
      <c r="I21" s="126">
        <f t="shared" si="2"/>
        <v>35.2</v>
      </c>
      <c r="J21" s="131">
        <f t="shared" si="3"/>
        <v>88</v>
      </c>
      <c r="K21" s="175">
        <f t="shared" si="4"/>
        <v>-52.8</v>
      </c>
      <c r="L21" s="132">
        <f t="shared" si="5"/>
        <v>352</v>
      </c>
    </row>
    <row r="22" spans="1:12" ht="16.5" thickBot="1">
      <c r="A22" s="170">
        <v>3</v>
      </c>
      <c r="B22" s="155" t="s">
        <v>19</v>
      </c>
      <c r="C22" s="128">
        <v>10</v>
      </c>
      <c r="D22" s="129">
        <v>210</v>
      </c>
      <c r="E22" s="126">
        <f t="shared" si="0"/>
        <v>630</v>
      </c>
      <c r="F22" s="130">
        <v>0.2</v>
      </c>
      <c r="G22" s="131">
        <f t="shared" si="6"/>
        <v>42</v>
      </c>
      <c r="H22" s="131">
        <f t="shared" si="1"/>
        <v>16.8</v>
      </c>
      <c r="I22" s="126">
        <f t="shared" si="2"/>
        <v>50.400000000000006</v>
      </c>
      <c r="J22" s="131">
        <f t="shared" si="3"/>
        <v>126</v>
      </c>
      <c r="K22" s="175">
        <f t="shared" si="4"/>
        <v>-75.6</v>
      </c>
      <c r="L22" s="132">
        <f t="shared" si="5"/>
        <v>504</v>
      </c>
    </row>
    <row r="23" spans="1:12" ht="16.5" thickBot="1">
      <c r="A23" s="170">
        <v>2</v>
      </c>
      <c r="B23" s="155" t="s">
        <v>20</v>
      </c>
      <c r="C23" s="128">
        <v>10</v>
      </c>
      <c r="D23" s="129">
        <v>160</v>
      </c>
      <c r="E23" s="126">
        <f t="shared" si="0"/>
        <v>320</v>
      </c>
      <c r="F23" s="130">
        <v>0.2</v>
      </c>
      <c r="G23" s="131">
        <f t="shared" si="6"/>
        <v>32</v>
      </c>
      <c r="H23" s="131">
        <f t="shared" si="1"/>
        <v>12.8</v>
      </c>
      <c r="I23" s="126">
        <f t="shared" si="2"/>
        <v>25.6</v>
      </c>
      <c r="J23" s="131">
        <f t="shared" si="3"/>
        <v>64</v>
      </c>
      <c r="K23" s="175">
        <f t="shared" si="4"/>
        <v>-38.4</v>
      </c>
      <c r="L23" s="132">
        <f t="shared" si="5"/>
        <v>256</v>
      </c>
    </row>
    <row r="24" spans="1:12" ht="16.5" thickBot="1">
      <c r="A24" s="171">
        <v>2</v>
      </c>
      <c r="B24" s="179" t="s">
        <v>21</v>
      </c>
      <c r="C24" s="133">
        <v>10</v>
      </c>
      <c r="D24" s="134">
        <v>56</v>
      </c>
      <c r="E24" s="137">
        <f t="shared" si="0"/>
        <v>112</v>
      </c>
      <c r="F24" s="135">
        <v>0.2</v>
      </c>
      <c r="G24" s="136">
        <f t="shared" si="6"/>
        <v>11.200000000000001</v>
      </c>
      <c r="H24" s="136">
        <f t="shared" si="1"/>
        <v>4.4799999999999995</v>
      </c>
      <c r="I24" s="137">
        <f>H24*A24</f>
        <v>8.959999999999999</v>
      </c>
      <c r="J24" s="136">
        <f>G24*A24</f>
        <v>22.400000000000002</v>
      </c>
      <c r="K24" s="175">
        <f t="shared" si="4"/>
        <v>-13.440000000000003</v>
      </c>
      <c r="L24" s="138">
        <f t="shared" si="5"/>
        <v>89.6</v>
      </c>
    </row>
    <row r="26" spans="1:6" ht="12.75">
      <c r="A26" s="139" t="s">
        <v>179</v>
      </c>
      <c r="B26" s="139"/>
      <c r="C26" s="139"/>
      <c r="D26" s="139"/>
      <c r="E26" s="139"/>
      <c r="F26" s="139"/>
    </row>
    <row r="27" spans="1:12" ht="12.75">
      <c r="A27" s="139" t="s">
        <v>180</v>
      </c>
      <c r="L27" s="46"/>
    </row>
    <row r="31" ht="12.75">
      <c r="A31" s="140"/>
    </row>
  </sheetData>
  <sheetProtection/>
  <mergeCells count="2">
    <mergeCell ref="F8:P8"/>
    <mergeCell ref="F9:G9"/>
  </mergeCells>
  <printOptions/>
  <pageMargins left="0.7" right="0.7" top="0.75" bottom="0.75" header="0.3" footer="0.3"/>
  <pageSetup orientation="portrait" paperSize="9"/>
  <legacyDrawing r:id="rId2"/>
  <oleObjects>
    <oleObject progId="Equation.3" shapeId="352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B22">
      <selection activeCell="L51" sqref="L51"/>
    </sheetView>
  </sheetViews>
  <sheetFormatPr defaultColWidth="11.421875" defaultRowHeight="12.75"/>
  <cols>
    <col min="1" max="1" width="20.00390625" style="5" customWidth="1"/>
    <col min="2" max="2" width="9.421875" style="5" customWidth="1"/>
    <col min="3" max="3" width="9.140625" style="5" customWidth="1"/>
    <col min="4" max="4" width="8.00390625" style="5" customWidth="1"/>
    <col min="5" max="5" width="8.7109375" style="5" customWidth="1"/>
    <col min="6" max="6" width="8.140625" style="5" customWidth="1"/>
    <col min="7" max="7" width="8.421875" style="5" customWidth="1"/>
    <col min="8" max="8" width="9.8515625" style="5" customWidth="1"/>
    <col min="9" max="9" width="8.57421875" style="5" customWidth="1"/>
    <col min="10" max="10" width="9.28125" style="5" customWidth="1"/>
    <col min="11" max="11" width="8.421875" style="5" customWidth="1"/>
    <col min="12" max="12" width="9.00390625" style="5" customWidth="1"/>
    <col min="13" max="16384" width="11.421875" style="5" customWidth="1"/>
  </cols>
  <sheetData>
    <row r="2" spans="1:12" ht="20.25">
      <c r="A2" s="340" t="s">
        <v>181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ht="13.5" thickBot="1"/>
    <row r="4" spans="1:12" ht="16.5" thickBot="1">
      <c r="A4" s="2"/>
      <c r="B4" s="341" t="s">
        <v>182</v>
      </c>
      <c r="C4" s="342"/>
      <c r="D4" s="342"/>
      <c r="E4" s="342"/>
      <c r="F4" s="342"/>
      <c r="G4" s="342"/>
      <c r="H4" s="342"/>
      <c r="I4" s="342"/>
      <c r="J4" s="342"/>
      <c r="K4" s="342"/>
      <c r="L4" s="343"/>
    </row>
    <row r="5" spans="1:12" ht="16.5" thickBot="1">
      <c r="A5" s="180" t="s">
        <v>170</v>
      </c>
      <c r="B5" s="181">
        <v>0</v>
      </c>
      <c r="C5" s="181">
        <v>1</v>
      </c>
      <c r="D5" s="181">
        <v>2</v>
      </c>
      <c r="E5" s="181">
        <v>3</v>
      </c>
      <c r="F5" s="181">
        <v>4</v>
      </c>
      <c r="G5" s="182">
        <v>5</v>
      </c>
      <c r="H5" s="182">
        <v>6</v>
      </c>
      <c r="I5" s="182">
        <v>7</v>
      </c>
      <c r="J5" s="182">
        <v>8</v>
      </c>
      <c r="K5" s="182">
        <v>9</v>
      </c>
      <c r="L5" s="182">
        <v>10</v>
      </c>
    </row>
    <row r="6" spans="1:13" ht="12.75">
      <c r="A6" s="183" t="s">
        <v>29</v>
      </c>
      <c r="B6" s="189">
        <f>'Datos de depreciacion'!E10</f>
        <v>1915</v>
      </c>
      <c r="C6" s="184"/>
      <c r="D6" s="184"/>
      <c r="E6" s="184"/>
      <c r="F6" s="184">
        <f>B6</f>
        <v>1915</v>
      </c>
      <c r="G6" s="184"/>
      <c r="H6" s="184"/>
      <c r="I6" s="184"/>
      <c r="J6" s="184">
        <f>F6</f>
        <v>1915</v>
      </c>
      <c r="K6" s="184"/>
      <c r="L6" s="185"/>
      <c r="M6" s="186"/>
    </row>
    <row r="7" spans="1:13" ht="12.75">
      <c r="A7" s="187" t="s">
        <v>183</v>
      </c>
      <c r="B7" s="189"/>
      <c r="C7" s="189">
        <f>'Datos de depreciacion'!I10</f>
        <v>510.66666666666663</v>
      </c>
      <c r="D7" s="189">
        <v>510.67</v>
      </c>
      <c r="E7" s="189">
        <f>'Datos de depreciacion'!K10</f>
        <v>127.66666666666657</v>
      </c>
      <c r="F7" s="189"/>
      <c r="G7" s="189">
        <f>C7</f>
        <v>510.66666666666663</v>
      </c>
      <c r="H7" s="189">
        <f>D7</f>
        <v>510.67</v>
      </c>
      <c r="I7" s="189">
        <f>E7</f>
        <v>127.66666666666657</v>
      </c>
      <c r="J7" s="189"/>
      <c r="K7" s="189">
        <v>510.67</v>
      </c>
      <c r="L7" s="190">
        <f>-'Datos de depreciacion'!J10</f>
        <v>-383.00000000000006</v>
      </c>
      <c r="M7" s="186"/>
    </row>
    <row r="8" spans="1:13" ht="12.75">
      <c r="A8" s="191"/>
      <c r="B8" s="189"/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186"/>
    </row>
    <row r="9" spans="1:13" ht="12.75">
      <c r="A9" s="187" t="s">
        <v>141</v>
      </c>
      <c r="B9" s="189">
        <f>'Datos de depreciacion'!E11</f>
        <v>225</v>
      </c>
      <c r="C9" s="189"/>
      <c r="D9" s="189"/>
      <c r="E9" s="189"/>
      <c r="F9" s="189">
        <f>B9</f>
        <v>225</v>
      </c>
      <c r="G9" s="189"/>
      <c r="H9" s="189"/>
      <c r="I9" s="189"/>
      <c r="J9" s="189">
        <f>F9</f>
        <v>225</v>
      </c>
      <c r="K9" s="189"/>
      <c r="L9" s="190"/>
      <c r="M9" s="186"/>
    </row>
    <row r="10" spans="1:13" ht="12.75">
      <c r="A10" s="187" t="s">
        <v>183</v>
      </c>
      <c r="B10" s="189"/>
      <c r="C10" s="189">
        <f>'Datos de depreciacion'!I11</f>
        <v>60</v>
      </c>
      <c r="D10" s="189">
        <f>C10</f>
        <v>60</v>
      </c>
      <c r="E10" s="189">
        <f>'Datos de depreciacion'!K11</f>
        <v>15</v>
      </c>
      <c r="F10" s="189"/>
      <c r="G10" s="189">
        <f>C10</f>
        <v>60</v>
      </c>
      <c r="H10" s="189">
        <f>D10</f>
        <v>60</v>
      </c>
      <c r="I10" s="189">
        <f>'Datos de depreciacion'!K11</f>
        <v>15</v>
      </c>
      <c r="J10" s="189"/>
      <c r="K10" s="189">
        <f>C10</f>
        <v>60</v>
      </c>
      <c r="L10" s="190">
        <f>-'Datos de depreciacion'!J11</f>
        <v>-45</v>
      </c>
      <c r="M10" s="186"/>
    </row>
    <row r="11" spans="1:13" ht="12.75">
      <c r="A11" s="194"/>
      <c r="B11" s="189"/>
      <c r="C11" s="192"/>
      <c r="D11" s="192"/>
      <c r="E11" s="192"/>
      <c r="F11" s="192"/>
      <c r="G11" s="192"/>
      <c r="H11" s="192"/>
      <c r="I11" s="192"/>
      <c r="J11" s="192"/>
      <c r="K11" s="192"/>
      <c r="L11" s="193"/>
      <c r="M11" s="186"/>
    </row>
    <row r="12" spans="1:13" ht="12.75">
      <c r="A12" s="187" t="s">
        <v>25</v>
      </c>
      <c r="B12" s="189">
        <f>'Datos de depreciacion'!E12</f>
        <v>600</v>
      </c>
      <c r="C12" s="189"/>
      <c r="D12" s="189"/>
      <c r="E12" s="189"/>
      <c r="F12" s="189">
        <f>B12</f>
        <v>600</v>
      </c>
      <c r="G12" s="189"/>
      <c r="H12" s="189"/>
      <c r="I12" s="189"/>
      <c r="J12" s="189">
        <f>F12</f>
        <v>600</v>
      </c>
      <c r="K12" s="189"/>
      <c r="L12" s="190"/>
      <c r="M12" s="186"/>
    </row>
    <row r="13" spans="1:13" ht="12.75">
      <c r="A13" s="187" t="s">
        <v>183</v>
      </c>
      <c r="B13" s="189"/>
      <c r="C13" s="189">
        <f>'Datos de depreciacion'!I12</f>
        <v>160</v>
      </c>
      <c r="D13" s="189">
        <f>C13</f>
        <v>160</v>
      </c>
      <c r="E13" s="189">
        <f>'Datos de depreciacion'!K12</f>
        <v>40</v>
      </c>
      <c r="F13" s="189"/>
      <c r="G13" s="189">
        <f>C13</f>
        <v>160</v>
      </c>
      <c r="H13" s="189">
        <f>C13</f>
        <v>160</v>
      </c>
      <c r="I13" s="189">
        <f>'Datos de depreciacion'!K12</f>
        <v>40</v>
      </c>
      <c r="J13" s="189"/>
      <c r="K13" s="189">
        <f>C13</f>
        <v>160</v>
      </c>
      <c r="L13" s="190">
        <f>-'Datos de depreciacion'!J12</f>
        <v>-120</v>
      </c>
      <c r="M13" s="186"/>
    </row>
    <row r="14" spans="1:13" ht="12.75">
      <c r="A14" s="194"/>
      <c r="B14" s="189"/>
      <c r="C14" s="192"/>
      <c r="D14" s="192"/>
      <c r="E14" s="192"/>
      <c r="F14" s="192"/>
      <c r="G14" s="192"/>
      <c r="H14" s="192"/>
      <c r="I14" s="192"/>
      <c r="J14" s="192"/>
      <c r="K14" s="192"/>
      <c r="L14" s="193"/>
      <c r="M14" s="186"/>
    </row>
    <row r="15" spans="1:13" ht="12.75">
      <c r="A15" s="187" t="s">
        <v>4</v>
      </c>
      <c r="B15" s="189">
        <f>'Datos de depreciacion'!E13</f>
        <v>5000</v>
      </c>
      <c r="C15" s="189"/>
      <c r="D15" s="189"/>
      <c r="E15" s="189"/>
      <c r="F15" s="189"/>
      <c r="G15" s="189"/>
      <c r="H15" s="189">
        <f>B15</f>
        <v>5000</v>
      </c>
      <c r="I15" s="189"/>
      <c r="J15" s="189"/>
      <c r="K15" s="189"/>
      <c r="L15" s="190"/>
      <c r="M15" s="186"/>
    </row>
    <row r="16" spans="1:13" ht="12.75">
      <c r="A16" s="187" t="s">
        <v>183</v>
      </c>
      <c r="B16" s="189"/>
      <c r="C16" s="189">
        <f>'Datos de depreciacion'!I13</f>
        <v>800</v>
      </c>
      <c r="D16" s="189">
        <f>C16</f>
        <v>800</v>
      </c>
      <c r="E16" s="189">
        <f>D16</f>
        <v>800</v>
      </c>
      <c r="F16" s="189">
        <f>E16</f>
        <v>800</v>
      </c>
      <c r="G16" s="189">
        <f>'Datos de depreciacion'!K13</f>
        <v>-200</v>
      </c>
      <c r="H16" s="189"/>
      <c r="I16" s="189">
        <f>C16</f>
        <v>800</v>
      </c>
      <c r="J16" s="189">
        <f>D16</f>
        <v>800</v>
      </c>
      <c r="K16" s="189">
        <f>E16</f>
        <v>800</v>
      </c>
      <c r="L16" s="190">
        <f>-'Datos de depreciacion'!J13</f>
        <v>-1000</v>
      </c>
      <c r="M16" s="186"/>
    </row>
    <row r="17" spans="1:13" ht="12.75">
      <c r="A17" s="194"/>
      <c r="B17" s="56"/>
      <c r="C17" s="192"/>
      <c r="D17" s="192"/>
      <c r="E17" s="192"/>
      <c r="F17" s="192"/>
      <c r="G17" s="192"/>
      <c r="H17" s="192"/>
      <c r="I17" s="192"/>
      <c r="J17" s="192"/>
      <c r="K17" s="192"/>
      <c r="L17" s="193"/>
      <c r="M17" s="186"/>
    </row>
    <row r="18" spans="1:13" ht="12.75">
      <c r="A18" s="187" t="s">
        <v>5</v>
      </c>
      <c r="B18" s="189">
        <f>'Datos de depreciacion'!E14</f>
        <v>1600</v>
      </c>
      <c r="C18" s="189"/>
      <c r="D18" s="189"/>
      <c r="E18" s="189"/>
      <c r="F18" s="189"/>
      <c r="G18" s="189"/>
      <c r="H18" s="189">
        <f>B18</f>
        <v>1600</v>
      </c>
      <c r="I18" s="189"/>
      <c r="J18" s="189"/>
      <c r="K18" s="189"/>
      <c r="L18" s="190"/>
      <c r="M18" s="186"/>
    </row>
    <row r="19" spans="1:13" ht="12.75">
      <c r="A19" s="187" t="s">
        <v>183</v>
      </c>
      <c r="B19" s="189"/>
      <c r="C19" s="189">
        <f>'Datos de depreciacion'!I14</f>
        <v>256</v>
      </c>
      <c r="D19" s="189">
        <f>C19</f>
        <v>256</v>
      </c>
      <c r="E19" s="189">
        <f>D19</f>
        <v>256</v>
      </c>
      <c r="F19" s="189">
        <f>E19</f>
        <v>256</v>
      </c>
      <c r="G19" s="189">
        <f>'Datos de depreciacion'!K14</f>
        <v>-64</v>
      </c>
      <c r="H19" s="189"/>
      <c r="I19" s="189">
        <f>C19</f>
        <v>256</v>
      </c>
      <c r="J19" s="189">
        <f>D19</f>
        <v>256</v>
      </c>
      <c r="K19" s="189">
        <f>E19</f>
        <v>256</v>
      </c>
      <c r="L19" s="190">
        <f>-'Datos de depreciacion'!J14</f>
        <v>-320</v>
      </c>
      <c r="M19" s="186"/>
    </row>
    <row r="20" spans="1:13" ht="12.75">
      <c r="A20" s="194"/>
      <c r="B20" s="189"/>
      <c r="C20" s="192"/>
      <c r="D20" s="192"/>
      <c r="E20" s="192"/>
      <c r="F20" s="192"/>
      <c r="G20" s="192"/>
      <c r="H20" s="192"/>
      <c r="I20" s="192"/>
      <c r="J20" s="192"/>
      <c r="K20" s="192"/>
      <c r="L20" s="193"/>
      <c r="M20" s="186"/>
    </row>
    <row r="21" spans="1:13" ht="12.75">
      <c r="A21" s="187" t="s">
        <v>6</v>
      </c>
      <c r="B21" s="189">
        <f>'Datos de depreciacion'!E15</f>
        <v>450</v>
      </c>
      <c r="C21" s="188"/>
      <c r="D21" s="189"/>
      <c r="E21" s="189"/>
      <c r="F21" s="189"/>
      <c r="G21" s="189"/>
      <c r="H21" s="189">
        <f>B21</f>
        <v>450</v>
      </c>
      <c r="I21" s="189"/>
      <c r="J21" s="189"/>
      <c r="K21" s="189"/>
      <c r="L21" s="190"/>
      <c r="M21" s="186"/>
    </row>
    <row r="22" spans="1:13" ht="12.75">
      <c r="A22" s="187" t="s">
        <v>183</v>
      </c>
      <c r="B22" s="189"/>
      <c r="C22" s="189">
        <f>'Datos de depreciacion'!I15</f>
        <v>72</v>
      </c>
      <c r="D22" s="189">
        <f>C22</f>
        <v>72</v>
      </c>
      <c r="E22" s="189">
        <f>D22</f>
        <v>72</v>
      </c>
      <c r="F22" s="189">
        <f>E22</f>
        <v>72</v>
      </c>
      <c r="G22" s="189">
        <f>'Datos de depreciacion'!K15</f>
        <v>-18</v>
      </c>
      <c r="H22" s="189"/>
      <c r="I22" s="189">
        <f>C22</f>
        <v>72</v>
      </c>
      <c r="J22" s="189">
        <f>D22</f>
        <v>72</v>
      </c>
      <c r="K22" s="189">
        <f>E22</f>
        <v>72</v>
      </c>
      <c r="L22" s="190">
        <f>-'Datos de depreciacion'!J15</f>
        <v>-90</v>
      </c>
      <c r="M22" s="186"/>
    </row>
    <row r="23" spans="1:13" ht="12.75">
      <c r="A23" s="194"/>
      <c r="B23" s="189"/>
      <c r="C23" s="192"/>
      <c r="D23" s="192"/>
      <c r="E23" s="192"/>
      <c r="F23" s="192"/>
      <c r="G23" s="192"/>
      <c r="H23" s="192"/>
      <c r="I23" s="192"/>
      <c r="J23" s="192"/>
      <c r="K23" s="192"/>
      <c r="L23" s="193"/>
      <c r="M23" s="186"/>
    </row>
    <row r="24" spans="1:13" ht="12.75">
      <c r="A24" s="187" t="s">
        <v>34</v>
      </c>
      <c r="B24" s="189">
        <f>'Datos de depreciacion'!E16</f>
        <v>1350</v>
      </c>
      <c r="C24" s="188"/>
      <c r="D24" s="189"/>
      <c r="E24" s="189"/>
      <c r="F24" s="189"/>
      <c r="G24" s="189"/>
      <c r="H24" s="189">
        <f>B24</f>
        <v>1350</v>
      </c>
      <c r="I24" s="189"/>
      <c r="J24" s="189"/>
      <c r="K24" s="189"/>
      <c r="L24" s="190"/>
      <c r="M24" s="186"/>
    </row>
    <row r="25" spans="1:13" ht="12.75">
      <c r="A25" s="187" t="s">
        <v>183</v>
      </c>
      <c r="B25" s="189"/>
      <c r="C25" s="189">
        <f>'Datos de depreciacion'!I16</f>
        <v>216</v>
      </c>
      <c r="D25" s="189">
        <f>C25</f>
        <v>216</v>
      </c>
      <c r="E25" s="189">
        <f>D25</f>
        <v>216</v>
      </c>
      <c r="F25" s="189">
        <f>E25</f>
        <v>216</v>
      </c>
      <c r="G25" s="189">
        <f>'Datos de depreciacion'!K16</f>
        <v>-54</v>
      </c>
      <c r="H25" s="189"/>
      <c r="I25" s="189">
        <f>C25</f>
        <v>216</v>
      </c>
      <c r="J25" s="189">
        <f>D25</f>
        <v>216</v>
      </c>
      <c r="K25" s="189">
        <f>E25</f>
        <v>216</v>
      </c>
      <c r="L25" s="190">
        <f>-'Datos de depreciacion'!J16</f>
        <v>-270</v>
      </c>
      <c r="M25" s="186"/>
    </row>
    <row r="26" spans="1:13" ht="12.75">
      <c r="A26" s="194"/>
      <c r="B26" s="189"/>
      <c r="C26" s="192"/>
      <c r="D26" s="192"/>
      <c r="E26" s="192"/>
      <c r="F26" s="192"/>
      <c r="G26" s="192"/>
      <c r="H26" s="192"/>
      <c r="I26" s="192"/>
      <c r="J26" s="192"/>
      <c r="K26" s="192"/>
      <c r="L26" s="193"/>
      <c r="M26" s="186"/>
    </row>
    <row r="27" spans="1:13" ht="12.75">
      <c r="A27" s="187" t="s">
        <v>30</v>
      </c>
      <c r="B27" s="189">
        <f>'Datos de depreciacion'!E17</f>
        <v>600</v>
      </c>
      <c r="C27" s="188"/>
      <c r="D27" s="189"/>
      <c r="E27" s="189"/>
      <c r="F27" s="189"/>
      <c r="G27" s="189"/>
      <c r="H27" s="189"/>
      <c r="I27" s="189"/>
      <c r="J27" s="189"/>
      <c r="K27" s="189"/>
      <c r="L27" s="190"/>
      <c r="M27" s="186"/>
    </row>
    <row r="28" spans="1:13" ht="12.75">
      <c r="A28" s="187" t="s">
        <v>183</v>
      </c>
      <c r="B28" s="189"/>
      <c r="C28" s="189">
        <f>'Datos de depreciacion'!I17</f>
        <v>48</v>
      </c>
      <c r="D28" s="189">
        <f>C28</f>
        <v>48</v>
      </c>
      <c r="E28" s="189">
        <f aca="true" t="shared" si="0" ref="E28:K28">D28</f>
        <v>48</v>
      </c>
      <c r="F28" s="189">
        <f t="shared" si="0"/>
        <v>48</v>
      </c>
      <c r="G28" s="189">
        <f t="shared" si="0"/>
        <v>48</v>
      </c>
      <c r="H28" s="189">
        <f t="shared" si="0"/>
        <v>48</v>
      </c>
      <c r="I28" s="189">
        <f t="shared" si="0"/>
        <v>48</v>
      </c>
      <c r="J28" s="189">
        <f t="shared" si="0"/>
        <v>48</v>
      </c>
      <c r="K28" s="189">
        <f t="shared" si="0"/>
        <v>48</v>
      </c>
      <c r="L28" s="190">
        <f>'Datos de depreciacion'!K17</f>
        <v>-72</v>
      </c>
      <c r="M28" s="186"/>
    </row>
    <row r="29" spans="1:13" ht="12.75">
      <c r="A29" s="194"/>
      <c r="B29" s="189"/>
      <c r="C29" s="192"/>
      <c r="D29" s="192"/>
      <c r="E29" s="192"/>
      <c r="F29" s="192"/>
      <c r="G29" s="192"/>
      <c r="H29" s="192"/>
      <c r="I29" s="192"/>
      <c r="J29" s="192"/>
      <c r="K29" s="192"/>
      <c r="L29" s="193"/>
      <c r="M29" s="186"/>
    </row>
    <row r="30" spans="1:13" ht="12.75">
      <c r="A30" s="187" t="s">
        <v>140</v>
      </c>
      <c r="B30" s="189">
        <f>'Datos de depreciacion'!E18</f>
        <v>1170</v>
      </c>
      <c r="C30" s="188"/>
      <c r="D30" s="189"/>
      <c r="E30" s="189"/>
      <c r="F30" s="189"/>
      <c r="G30" s="189"/>
      <c r="H30" s="189"/>
      <c r="I30" s="189"/>
      <c r="J30" s="189"/>
      <c r="K30" s="189"/>
      <c r="L30" s="190"/>
      <c r="M30" s="186"/>
    </row>
    <row r="31" spans="1:13" ht="12.75">
      <c r="A31" s="187" t="s">
        <v>183</v>
      </c>
      <c r="B31" s="189"/>
      <c r="C31" s="189">
        <f>'Datos de depreciacion'!I18</f>
        <v>93.60000000000001</v>
      </c>
      <c r="D31" s="189">
        <f>C31</f>
        <v>93.60000000000001</v>
      </c>
      <c r="E31" s="189">
        <f aca="true" t="shared" si="1" ref="E31:K31">D31</f>
        <v>93.60000000000001</v>
      </c>
      <c r="F31" s="189">
        <f t="shared" si="1"/>
        <v>93.60000000000001</v>
      </c>
      <c r="G31" s="189">
        <f t="shared" si="1"/>
        <v>93.60000000000001</v>
      </c>
      <c r="H31" s="189">
        <f t="shared" si="1"/>
        <v>93.60000000000001</v>
      </c>
      <c r="I31" s="189">
        <f t="shared" si="1"/>
        <v>93.60000000000001</v>
      </c>
      <c r="J31" s="189">
        <f t="shared" si="1"/>
        <v>93.60000000000001</v>
      </c>
      <c r="K31" s="189">
        <f t="shared" si="1"/>
        <v>93.60000000000001</v>
      </c>
      <c r="L31" s="190">
        <f>'Datos de depreciacion'!K18</f>
        <v>-140.39999999999998</v>
      </c>
      <c r="M31" s="186"/>
    </row>
    <row r="32" spans="1:13" ht="12.75">
      <c r="A32" s="194"/>
      <c r="B32" s="189"/>
      <c r="C32" s="192"/>
      <c r="D32" s="192"/>
      <c r="E32" s="192"/>
      <c r="F32" s="192"/>
      <c r="G32" s="192"/>
      <c r="H32" s="192"/>
      <c r="I32" s="192"/>
      <c r="J32" s="192"/>
      <c r="K32" s="192"/>
      <c r="L32" s="193"/>
      <c r="M32" s="186"/>
    </row>
    <row r="33" spans="1:13" ht="12.75">
      <c r="A33" s="187" t="s">
        <v>31</v>
      </c>
      <c r="B33" s="189">
        <f>'Datos de depreciacion'!E19</f>
        <v>180</v>
      </c>
      <c r="C33" s="188"/>
      <c r="D33" s="189"/>
      <c r="E33" s="189"/>
      <c r="F33" s="189"/>
      <c r="G33" s="189"/>
      <c r="H33" s="189"/>
      <c r="I33" s="189"/>
      <c r="J33" s="189"/>
      <c r="K33" s="189"/>
      <c r="L33" s="190"/>
      <c r="M33" s="186"/>
    </row>
    <row r="34" spans="1:13" ht="12.75">
      <c r="A34" s="187" t="s">
        <v>183</v>
      </c>
      <c r="B34" s="189"/>
      <c r="C34" s="189">
        <f>'Datos de depreciacion'!I19</f>
        <v>14.4</v>
      </c>
      <c r="D34" s="189">
        <f>C34</f>
        <v>14.4</v>
      </c>
      <c r="E34" s="189">
        <f aca="true" t="shared" si="2" ref="E34:K34">D34</f>
        <v>14.4</v>
      </c>
      <c r="F34" s="189">
        <f t="shared" si="2"/>
        <v>14.4</v>
      </c>
      <c r="G34" s="189">
        <f t="shared" si="2"/>
        <v>14.4</v>
      </c>
      <c r="H34" s="189">
        <f t="shared" si="2"/>
        <v>14.4</v>
      </c>
      <c r="I34" s="189">
        <f t="shared" si="2"/>
        <v>14.4</v>
      </c>
      <c r="J34" s="189">
        <f t="shared" si="2"/>
        <v>14.4</v>
      </c>
      <c r="K34" s="189">
        <f t="shared" si="2"/>
        <v>14.4</v>
      </c>
      <c r="L34" s="190">
        <f>'Datos de depreciacion'!K19</f>
        <v>-21.6</v>
      </c>
      <c r="M34" s="186"/>
    </row>
    <row r="35" spans="1:13" ht="12.75">
      <c r="A35" s="194"/>
      <c r="B35" s="189"/>
      <c r="C35" s="192"/>
      <c r="D35" s="192"/>
      <c r="E35" s="192"/>
      <c r="F35" s="192"/>
      <c r="G35" s="192"/>
      <c r="H35" s="192"/>
      <c r="I35" s="192"/>
      <c r="J35" s="192"/>
      <c r="K35" s="192"/>
      <c r="L35" s="193"/>
      <c r="M35" s="186"/>
    </row>
    <row r="36" spans="1:13" ht="12.75">
      <c r="A36" s="187" t="s">
        <v>15</v>
      </c>
      <c r="B36" s="189">
        <f>'Datos de depreciacion'!E20</f>
        <v>500</v>
      </c>
      <c r="C36" s="188"/>
      <c r="D36" s="189"/>
      <c r="E36" s="189"/>
      <c r="F36" s="189"/>
      <c r="G36" s="189"/>
      <c r="H36" s="189"/>
      <c r="I36" s="189"/>
      <c r="J36" s="189"/>
      <c r="K36" s="189"/>
      <c r="L36" s="190"/>
      <c r="M36" s="186"/>
    </row>
    <row r="37" spans="1:13" ht="12.75">
      <c r="A37" s="187" t="s">
        <v>183</v>
      </c>
      <c r="B37" s="189"/>
      <c r="C37" s="189">
        <f>'Datos de depreciacion'!I20</f>
        <v>40</v>
      </c>
      <c r="D37" s="189">
        <f>C37</f>
        <v>40</v>
      </c>
      <c r="E37" s="189">
        <f aca="true" t="shared" si="3" ref="E37:K37">D37</f>
        <v>40</v>
      </c>
      <c r="F37" s="189">
        <f t="shared" si="3"/>
        <v>40</v>
      </c>
      <c r="G37" s="189">
        <f t="shared" si="3"/>
        <v>40</v>
      </c>
      <c r="H37" s="189">
        <f t="shared" si="3"/>
        <v>40</v>
      </c>
      <c r="I37" s="189">
        <f t="shared" si="3"/>
        <v>40</v>
      </c>
      <c r="J37" s="189">
        <f t="shared" si="3"/>
        <v>40</v>
      </c>
      <c r="K37" s="189">
        <f t="shared" si="3"/>
        <v>40</v>
      </c>
      <c r="L37" s="190">
        <f>'Datos de depreciacion'!K20</f>
        <v>-60</v>
      </c>
      <c r="M37" s="186"/>
    </row>
    <row r="38" spans="1:13" ht="12.75">
      <c r="A38" s="194"/>
      <c r="B38" s="189"/>
      <c r="C38" s="192"/>
      <c r="D38" s="192"/>
      <c r="E38" s="192"/>
      <c r="F38" s="192"/>
      <c r="G38" s="192"/>
      <c r="H38" s="192"/>
      <c r="I38" s="192"/>
      <c r="J38" s="192"/>
      <c r="K38" s="192"/>
      <c r="L38" s="193"/>
      <c r="M38" s="186"/>
    </row>
    <row r="39" spans="1:13" ht="12.75">
      <c r="A39" s="187" t="s">
        <v>18</v>
      </c>
      <c r="B39" s="189">
        <f>'Datos de depreciacion'!E21</f>
        <v>440</v>
      </c>
      <c r="C39" s="188"/>
      <c r="D39" s="189"/>
      <c r="E39" s="189"/>
      <c r="F39" s="189"/>
      <c r="G39" s="189"/>
      <c r="H39" s="189"/>
      <c r="I39" s="189"/>
      <c r="J39" s="189"/>
      <c r="K39" s="189"/>
      <c r="L39" s="190"/>
      <c r="M39" s="186"/>
    </row>
    <row r="40" spans="1:13" ht="12.75">
      <c r="A40" s="187" t="s">
        <v>183</v>
      </c>
      <c r="B40" s="189"/>
      <c r="C40" s="189">
        <f>'Datos de depreciacion'!I21</f>
        <v>35.2</v>
      </c>
      <c r="D40" s="189">
        <f>C40</f>
        <v>35.2</v>
      </c>
      <c r="E40" s="189">
        <f aca="true" t="shared" si="4" ref="E40:K40">D40</f>
        <v>35.2</v>
      </c>
      <c r="F40" s="189">
        <f t="shared" si="4"/>
        <v>35.2</v>
      </c>
      <c r="G40" s="189">
        <f t="shared" si="4"/>
        <v>35.2</v>
      </c>
      <c r="H40" s="189">
        <f t="shared" si="4"/>
        <v>35.2</v>
      </c>
      <c r="I40" s="189">
        <f t="shared" si="4"/>
        <v>35.2</v>
      </c>
      <c r="J40" s="189">
        <f t="shared" si="4"/>
        <v>35.2</v>
      </c>
      <c r="K40" s="189">
        <f t="shared" si="4"/>
        <v>35.2</v>
      </c>
      <c r="L40" s="190">
        <f>'Datos de depreciacion'!K21</f>
        <v>-52.8</v>
      </c>
      <c r="M40" s="186"/>
    </row>
    <row r="41" spans="1:13" ht="12.75">
      <c r="A41" s="194"/>
      <c r="B41" s="189"/>
      <c r="C41" s="192"/>
      <c r="D41" s="192"/>
      <c r="E41" s="192"/>
      <c r="F41" s="192"/>
      <c r="G41" s="192"/>
      <c r="H41" s="192"/>
      <c r="I41" s="192"/>
      <c r="J41" s="192"/>
      <c r="K41" s="192"/>
      <c r="L41" s="193"/>
      <c r="M41" s="186"/>
    </row>
    <row r="42" spans="1:13" ht="12.75">
      <c r="A42" s="187" t="s">
        <v>19</v>
      </c>
      <c r="B42" s="189">
        <f>'Datos de depreciacion'!E22</f>
        <v>630</v>
      </c>
      <c r="C42" s="188"/>
      <c r="D42" s="189"/>
      <c r="E42" s="189"/>
      <c r="F42" s="189"/>
      <c r="G42" s="189"/>
      <c r="H42" s="189"/>
      <c r="I42" s="189"/>
      <c r="J42" s="189"/>
      <c r="K42" s="189"/>
      <c r="L42" s="190"/>
      <c r="M42" s="186"/>
    </row>
    <row r="43" spans="1:13" ht="12.75">
      <c r="A43" s="187" t="s">
        <v>183</v>
      </c>
      <c r="B43" s="189"/>
      <c r="C43" s="189">
        <f>'Datos de depreciacion'!I22</f>
        <v>50.400000000000006</v>
      </c>
      <c r="D43" s="189">
        <f>C43</f>
        <v>50.400000000000006</v>
      </c>
      <c r="E43" s="189">
        <f aca="true" t="shared" si="5" ref="E43:K43">D43</f>
        <v>50.400000000000006</v>
      </c>
      <c r="F43" s="189">
        <f t="shared" si="5"/>
        <v>50.400000000000006</v>
      </c>
      <c r="G43" s="189">
        <f t="shared" si="5"/>
        <v>50.400000000000006</v>
      </c>
      <c r="H43" s="189">
        <f t="shared" si="5"/>
        <v>50.400000000000006</v>
      </c>
      <c r="I43" s="189">
        <f t="shared" si="5"/>
        <v>50.400000000000006</v>
      </c>
      <c r="J43" s="189">
        <f t="shared" si="5"/>
        <v>50.400000000000006</v>
      </c>
      <c r="K43" s="189">
        <f t="shared" si="5"/>
        <v>50.400000000000006</v>
      </c>
      <c r="L43" s="190">
        <f>'Datos de depreciacion'!K22</f>
        <v>-75.6</v>
      </c>
      <c r="M43" s="186"/>
    </row>
    <row r="44" spans="1:13" ht="12.75">
      <c r="A44" s="194"/>
      <c r="B44" s="189"/>
      <c r="C44" s="192"/>
      <c r="D44" s="192"/>
      <c r="E44" s="192"/>
      <c r="F44" s="192"/>
      <c r="G44" s="192"/>
      <c r="H44" s="192"/>
      <c r="I44" s="192"/>
      <c r="J44" s="192"/>
      <c r="K44" s="192"/>
      <c r="L44" s="193"/>
      <c r="M44" s="186"/>
    </row>
    <row r="45" spans="1:13" ht="12.75">
      <c r="A45" s="187" t="s">
        <v>20</v>
      </c>
      <c r="B45" s="189">
        <f>'Datos de depreciacion'!E23</f>
        <v>320</v>
      </c>
      <c r="C45" s="188"/>
      <c r="D45" s="189"/>
      <c r="E45" s="189"/>
      <c r="F45" s="189"/>
      <c r="G45" s="189"/>
      <c r="H45" s="189"/>
      <c r="I45" s="189"/>
      <c r="J45" s="189"/>
      <c r="K45" s="189"/>
      <c r="L45" s="190"/>
      <c r="M45" s="186"/>
    </row>
    <row r="46" spans="1:13" ht="12.75">
      <c r="A46" s="187" t="s">
        <v>183</v>
      </c>
      <c r="B46" s="189"/>
      <c r="C46" s="189">
        <f>'Datos de depreciacion'!I23</f>
        <v>25.6</v>
      </c>
      <c r="D46" s="189">
        <f>C46</f>
        <v>25.6</v>
      </c>
      <c r="E46" s="189">
        <f aca="true" t="shared" si="6" ref="E46:K46">D46</f>
        <v>25.6</v>
      </c>
      <c r="F46" s="189">
        <f t="shared" si="6"/>
        <v>25.6</v>
      </c>
      <c r="G46" s="189">
        <f t="shared" si="6"/>
        <v>25.6</v>
      </c>
      <c r="H46" s="189">
        <f t="shared" si="6"/>
        <v>25.6</v>
      </c>
      <c r="I46" s="189">
        <f t="shared" si="6"/>
        <v>25.6</v>
      </c>
      <c r="J46" s="189">
        <f t="shared" si="6"/>
        <v>25.6</v>
      </c>
      <c r="K46" s="189">
        <f t="shared" si="6"/>
        <v>25.6</v>
      </c>
      <c r="L46" s="190">
        <f>'Datos de depreciacion'!K23</f>
        <v>-38.4</v>
      </c>
      <c r="M46" s="186"/>
    </row>
    <row r="47" spans="1:13" ht="12.75">
      <c r="A47" s="194"/>
      <c r="B47" s="189"/>
      <c r="C47" s="192"/>
      <c r="D47" s="192"/>
      <c r="E47" s="192"/>
      <c r="F47" s="192"/>
      <c r="G47" s="192"/>
      <c r="H47" s="192"/>
      <c r="I47" s="192"/>
      <c r="J47" s="192"/>
      <c r="K47" s="192"/>
      <c r="L47" s="193"/>
      <c r="M47" s="186"/>
    </row>
    <row r="48" spans="1:13" ht="12.75">
      <c r="A48" s="187" t="s">
        <v>21</v>
      </c>
      <c r="B48" s="189">
        <f>'Datos de depreciacion'!E24</f>
        <v>112</v>
      </c>
      <c r="C48" s="188"/>
      <c r="D48" s="189"/>
      <c r="E48" s="189"/>
      <c r="F48" s="189"/>
      <c r="G48" s="189"/>
      <c r="H48" s="189"/>
      <c r="I48" s="189"/>
      <c r="J48" s="189"/>
      <c r="K48" s="189"/>
      <c r="L48" s="190"/>
      <c r="M48" s="186"/>
    </row>
    <row r="49" spans="1:13" ht="12.75">
      <c r="A49" s="187" t="s">
        <v>183</v>
      </c>
      <c r="B49" s="188"/>
      <c r="C49" s="189">
        <f>'Datos de depreciacion'!I24</f>
        <v>8.959999999999999</v>
      </c>
      <c r="D49" s="189">
        <f>C49</f>
        <v>8.959999999999999</v>
      </c>
      <c r="E49" s="189">
        <f aca="true" t="shared" si="7" ref="E49:K49">D49</f>
        <v>8.959999999999999</v>
      </c>
      <c r="F49" s="189">
        <f t="shared" si="7"/>
        <v>8.959999999999999</v>
      </c>
      <c r="G49" s="189">
        <f t="shared" si="7"/>
        <v>8.959999999999999</v>
      </c>
      <c r="H49" s="189">
        <f t="shared" si="7"/>
        <v>8.959999999999999</v>
      </c>
      <c r="I49" s="189">
        <f t="shared" si="7"/>
        <v>8.959999999999999</v>
      </c>
      <c r="J49" s="189">
        <f t="shared" si="7"/>
        <v>8.959999999999999</v>
      </c>
      <c r="K49" s="189">
        <f t="shared" si="7"/>
        <v>8.959999999999999</v>
      </c>
      <c r="L49" s="190">
        <f>'Datos de depreciacion'!K24</f>
        <v>-13.440000000000003</v>
      </c>
      <c r="M49" s="186"/>
    </row>
    <row r="50" spans="1:12" ht="13.5" thickBot="1">
      <c r="A50" s="19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195"/>
    </row>
    <row r="51" spans="1:12" ht="21.75" customHeight="1" thickBot="1">
      <c r="A51" s="196" t="s">
        <v>184</v>
      </c>
      <c r="B51" s="197">
        <f>SUM(B6:B50)</f>
        <v>15092</v>
      </c>
      <c r="C51" s="198">
        <f>SUM(C6:C50)</f>
        <v>2390.8266666666664</v>
      </c>
      <c r="D51" s="197">
        <f aca="true" t="shared" si="8" ref="D51:L51">SUM(D6:D50)</f>
        <v>2390.83</v>
      </c>
      <c r="E51" s="197">
        <f t="shared" si="8"/>
        <v>1842.8266666666666</v>
      </c>
      <c r="F51" s="199">
        <f t="shared" si="8"/>
        <v>4400.16</v>
      </c>
      <c r="G51" s="197">
        <f t="shared" si="8"/>
        <v>710.8266666666667</v>
      </c>
      <c r="H51" s="197">
        <f t="shared" si="8"/>
        <v>9446.83</v>
      </c>
      <c r="I51" s="197">
        <f t="shared" si="8"/>
        <v>1842.8266666666666</v>
      </c>
      <c r="J51" s="199">
        <f t="shared" si="8"/>
        <v>4400.16</v>
      </c>
      <c r="K51" s="197">
        <f t="shared" si="8"/>
        <v>2390.83</v>
      </c>
      <c r="L51" s="200">
        <f t="shared" si="8"/>
        <v>-2702.2400000000002</v>
      </c>
    </row>
  </sheetData>
  <sheetProtection/>
  <mergeCells count="2">
    <mergeCell ref="A2:L2"/>
    <mergeCell ref="B4:L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D28">
      <selection activeCell="G53" sqref="G53"/>
    </sheetView>
  </sheetViews>
  <sheetFormatPr defaultColWidth="11.421875" defaultRowHeight="12.75"/>
  <cols>
    <col min="1" max="1" width="22.7109375" style="0" customWidth="1"/>
    <col min="2" max="2" width="13.8515625" style="0" customWidth="1"/>
    <col min="3" max="7" width="11.421875" style="0" customWidth="1"/>
    <col min="8" max="8" width="11.8515625" style="0" bestFit="1" customWidth="1"/>
  </cols>
  <sheetData>
    <row r="2" spans="1:12" ht="26.25">
      <c r="A2" s="344" t="s">
        <v>181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ht="13.5" thickBot="1"/>
    <row r="4" spans="1:12" ht="21.75" thickBot="1">
      <c r="A4" s="141"/>
      <c r="B4" s="345" t="s">
        <v>182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</row>
    <row r="5" spans="1:12" ht="21.75" thickBot="1">
      <c r="A5" s="142" t="s">
        <v>170</v>
      </c>
      <c r="B5" s="143">
        <v>0</v>
      </c>
      <c r="C5" s="143">
        <v>1</v>
      </c>
      <c r="D5" s="143">
        <v>2</v>
      </c>
      <c r="E5" s="143">
        <v>3</v>
      </c>
      <c r="F5" s="143">
        <v>4</v>
      </c>
      <c r="G5" s="144">
        <v>5</v>
      </c>
      <c r="H5" s="144">
        <v>6</v>
      </c>
      <c r="I5" s="144">
        <v>7</v>
      </c>
      <c r="J5" s="144">
        <v>8</v>
      </c>
      <c r="K5" s="144">
        <v>9</v>
      </c>
      <c r="L5" s="144">
        <v>10</v>
      </c>
    </row>
    <row r="6" spans="1:13" ht="12.75">
      <c r="A6" s="145" t="s">
        <v>29</v>
      </c>
      <c r="B6" s="146">
        <f>'Valor de Dep+Recompra'!B6</f>
        <v>1915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  <c r="M6" s="148"/>
    </row>
    <row r="7" spans="1:13" ht="12.75">
      <c r="A7" s="149" t="s">
        <v>183</v>
      </c>
      <c r="B7" s="146"/>
      <c r="C7" s="150">
        <f>'Datos de depreciacion'!I10</f>
        <v>510.66666666666663</v>
      </c>
      <c r="D7" s="150">
        <f>C7</f>
        <v>510.66666666666663</v>
      </c>
      <c r="E7" s="150">
        <f>'Datos de depreciacion'!K10</f>
        <v>127.66666666666657</v>
      </c>
      <c r="F7" s="150"/>
      <c r="G7" s="150">
        <f>C7</f>
        <v>510.66666666666663</v>
      </c>
      <c r="H7" s="150">
        <f>C7</f>
        <v>510.66666666666663</v>
      </c>
      <c r="I7" s="150">
        <f>E7</f>
        <v>127.66666666666657</v>
      </c>
      <c r="J7" s="150"/>
      <c r="K7" s="150">
        <f>G7</f>
        <v>510.66666666666663</v>
      </c>
      <c r="L7" s="151">
        <f>-'Datos de depreciacion'!J10</f>
        <v>-383.00000000000006</v>
      </c>
      <c r="M7" s="148"/>
    </row>
    <row r="8" spans="1:13" ht="12.75">
      <c r="A8" s="152"/>
      <c r="B8" s="146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48"/>
    </row>
    <row r="9" spans="1:13" ht="12.75">
      <c r="A9" s="155" t="s">
        <v>141</v>
      </c>
      <c r="B9" s="146">
        <f>'Valor de Dep+Recompra'!B9</f>
        <v>225</v>
      </c>
      <c r="C9" s="150"/>
      <c r="D9" s="150"/>
      <c r="E9" s="150"/>
      <c r="F9" s="150"/>
      <c r="G9" s="150"/>
      <c r="H9" s="150"/>
      <c r="I9" s="150"/>
      <c r="J9" s="150"/>
      <c r="K9" s="150"/>
      <c r="L9" s="151"/>
      <c r="M9" s="148"/>
    </row>
    <row r="10" spans="1:13" ht="12.75">
      <c r="A10" s="149" t="s">
        <v>183</v>
      </c>
      <c r="B10" s="146"/>
      <c r="C10" s="150">
        <f>'Datos de depreciacion'!I11</f>
        <v>60</v>
      </c>
      <c r="D10" s="150">
        <f>C10</f>
        <v>60</v>
      </c>
      <c r="E10" s="150">
        <f>'Datos de depreciacion'!K11</f>
        <v>15</v>
      </c>
      <c r="F10" s="150"/>
      <c r="G10" s="150">
        <f>C10</f>
        <v>60</v>
      </c>
      <c r="H10" s="150">
        <f>D10</f>
        <v>60</v>
      </c>
      <c r="I10" s="150">
        <f>E10</f>
        <v>15</v>
      </c>
      <c r="J10" s="150"/>
      <c r="K10" s="150">
        <f>C10</f>
        <v>60</v>
      </c>
      <c r="L10" s="151">
        <f>-'Datos de depreciacion'!J11</f>
        <v>-45</v>
      </c>
      <c r="M10" s="148"/>
    </row>
    <row r="11" spans="1:13" ht="12.75">
      <c r="A11" s="156"/>
      <c r="B11" s="146"/>
      <c r="C11" s="153"/>
      <c r="D11" s="153"/>
      <c r="E11" s="153"/>
      <c r="F11" s="153"/>
      <c r="G11" s="153"/>
      <c r="H11" s="153"/>
      <c r="I11" s="153"/>
      <c r="J11" s="153"/>
      <c r="K11" s="153"/>
      <c r="L11" s="154"/>
      <c r="M11" s="148"/>
    </row>
    <row r="12" spans="1:13" ht="12.75">
      <c r="A12" s="155" t="s">
        <v>25</v>
      </c>
      <c r="B12" s="146">
        <f>'Valor de Dep+Recompra'!B12</f>
        <v>600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1"/>
      <c r="M12" s="148"/>
    </row>
    <row r="13" spans="1:13" ht="12.75">
      <c r="A13" s="149" t="s">
        <v>183</v>
      </c>
      <c r="B13" s="146"/>
      <c r="C13" s="150">
        <f>'Datos de depreciacion'!I12</f>
        <v>160</v>
      </c>
      <c r="D13" s="150">
        <f>C13</f>
        <v>160</v>
      </c>
      <c r="E13" s="150">
        <f>'Datos de depreciacion'!K12</f>
        <v>40</v>
      </c>
      <c r="F13" s="150"/>
      <c r="G13" s="150">
        <f>C13</f>
        <v>160</v>
      </c>
      <c r="H13" s="150">
        <f>C13</f>
        <v>160</v>
      </c>
      <c r="I13" s="150">
        <f>E13</f>
        <v>40</v>
      </c>
      <c r="J13" s="150"/>
      <c r="K13" s="150">
        <f>C13</f>
        <v>160</v>
      </c>
      <c r="L13" s="151">
        <f>-'Datos de depreciacion'!J12</f>
        <v>-120</v>
      </c>
      <c r="M13" s="148"/>
    </row>
    <row r="14" spans="1:13" ht="12.75">
      <c r="A14" s="156"/>
      <c r="B14" s="146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48"/>
    </row>
    <row r="15" spans="1:13" ht="12.75">
      <c r="A15" s="155" t="s">
        <v>4</v>
      </c>
      <c r="B15" s="146">
        <f>'Valor de Dep+Recompra'!B15</f>
        <v>5000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1"/>
      <c r="M15" s="148"/>
    </row>
    <row r="16" spans="1:13" ht="12.75">
      <c r="A16" s="149" t="s">
        <v>183</v>
      </c>
      <c r="B16" s="146"/>
      <c r="C16" s="150">
        <f>'Datos de depreciacion'!I13</f>
        <v>800</v>
      </c>
      <c r="D16" s="150">
        <f>C16</f>
        <v>800</v>
      </c>
      <c r="E16" s="150">
        <f>D16</f>
        <v>800</v>
      </c>
      <c r="F16" s="150">
        <f>E16</f>
        <v>800</v>
      </c>
      <c r="G16" s="150">
        <f>'Datos de depreciacion'!K13</f>
        <v>-200</v>
      </c>
      <c r="H16" s="150"/>
      <c r="I16" s="150">
        <f>C16</f>
        <v>800</v>
      </c>
      <c r="J16" s="150">
        <f>D16</f>
        <v>800</v>
      </c>
      <c r="K16" s="150">
        <f>E16</f>
        <v>800</v>
      </c>
      <c r="L16" s="151">
        <f>-'Datos de depreciacion'!J13</f>
        <v>-1000</v>
      </c>
      <c r="M16" s="148"/>
    </row>
    <row r="17" spans="1:13" ht="12.75">
      <c r="A17" s="156"/>
      <c r="B17" s="146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148"/>
    </row>
    <row r="18" spans="1:13" ht="12.75">
      <c r="A18" s="155" t="s">
        <v>5</v>
      </c>
      <c r="B18" s="146">
        <f>'Valor de Dep+Recompra'!B18</f>
        <v>1600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1"/>
      <c r="M18" s="148"/>
    </row>
    <row r="19" spans="1:13" ht="12.75">
      <c r="A19" s="149" t="s">
        <v>183</v>
      </c>
      <c r="B19" s="146"/>
      <c r="C19" s="150">
        <f>'Datos de depreciacion'!I14</f>
        <v>256</v>
      </c>
      <c r="D19" s="150">
        <f>C19</f>
        <v>256</v>
      </c>
      <c r="E19" s="150">
        <f>D19</f>
        <v>256</v>
      </c>
      <c r="F19" s="150">
        <f>E19</f>
        <v>256</v>
      </c>
      <c r="G19" s="150">
        <f>'Datos de depreciacion'!K14</f>
        <v>-64</v>
      </c>
      <c r="H19" s="150"/>
      <c r="I19" s="150">
        <f>C19</f>
        <v>256</v>
      </c>
      <c r="J19" s="150">
        <f>D19</f>
        <v>256</v>
      </c>
      <c r="K19" s="150">
        <f>E19</f>
        <v>256</v>
      </c>
      <c r="L19" s="151">
        <f>-'Datos de depreciacion'!J14</f>
        <v>-320</v>
      </c>
      <c r="M19" s="148"/>
    </row>
    <row r="20" spans="1:13" ht="12.75">
      <c r="A20" s="156"/>
      <c r="B20" s="146"/>
      <c r="C20" s="153"/>
      <c r="D20" s="153"/>
      <c r="E20" s="153"/>
      <c r="F20" s="153"/>
      <c r="G20" s="153"/>
      <c r="H20" s="153"/>
      <c r="I20" s="153"/>
      <c r="J20" s="153"/>
      <c r="K20" s="153"/>
      <c r="L20" s="154"/>
      <c r="M20" s="148"/>
    </row>
    <row r="21" spans="1:13" ht="12.75">
      <c r="A21" s="155" t="s">
        <v>6</v>
      </c>
      <c r="B21" s="146">
        <f>'Valor de Dep+Recompra'!B21</f>
        <v>450</v>
      </c>
      <c r="C21" s="127"/>
      <c r="D21" s="150"/>
      <c r="E21" s="150"/>
      <c r="F21" s="150"/>
      <c r="G21" s="150"/>
      <c r="H21" s="150"/>
      <c r="I21" s="150"/>
      <c r="J21" s="150"/>
      <c r="K21" s="150"/>
      <c r="L21" s="151"/>
      <c r="M21" s="148"/>
    </row>
    <row r="22" spans="1:13" ht="12.75">
      <c r="A22" s="149" t="s">
        <v>183</v>
      </c>
      <c r="B22" s="146"/>
      <c r="C22" s="150">
        <f>'Datos de depreciacion'!I15</f>
        <v>72</v>
      </c>
      <c r="D22" s="150">
        <f>C22</f>
        <v>72</v>
      </c>
      <c r="E22" s="150">
        <f>D22</f>
        <v>72</v>
      </c>
      <c r="F22" s="150">
        <f>E22</f>
        <v>72</v>
      </c>
      <c r="G22" s="150">
        <f>'Datos de depreciacion'!K15</f>
        <v>-18</v>
      </c>
      <c r="H22" s="150"/>
      <c r="I22" s="150">
        <f>C22</f>
        <v>72</v>
      </c>
      <c r="J22" s="150">
        <f>D22</f>
        <v>72</v>
      </c>
      <c r="K22" s="150">
        <f>E22</f>
        <v>72</v>
      </c>
      <c r="L22" s="151">
        <f>-'Datos de depreciacion'!J15</f>
        <v>-90</v>
      </c>
      <c r="M22" s="148"/>
    </row>
    <row r="23" spans="1:13" ht="12.75">
      <c r="A23" s="156"/>
      <c r="B23" s="146"/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M23" s="148"/>
    </row>
    <row r="24" spans="1:13" ht="12.75">
      <c r="A24" s="155" t="s">
        <v>34</v>
      </c>
      <c r="B24" s="146">
        <f>'Valor de Dep+Recompra'!B24</f>
        <v>1350</v>
      </c>
      <c r="C24" s="127"/>
      <c r="D24" s="150"/>
      <c r="E24" s="150"/>
      <c r="F24" s="150"/>
      <c r="G24" s="150"/>
      <c r="H24" s="150"/>
      <c r="I24" s="150"/>
      <c r="J24" s="150"/>
      <c r="K24" s="150"/>
      <c r="L24" s="151"/>
      <c r="M24" s="148"/>
    </row>
    <row r="25" spans="1:13" ht="12.75">
      <c r="A25" s="149" t="s">
        <v>183</v>
      </c>
      <c r="B25" s="146"/>
      <c r="C25" s="150">
        <f>'Datos de depreciacion'!I16</f>
        <v>216</v>
      </c>
      <c r="D25" s="150">
        <f>C25</f>
        <v>216</v>
      </c>
      <c r="E25" s="150">
        <f>D25</f>
        <v>216</v>
      </c>
      <c r="F25" s="150">
        <f>E25</f>
        <v>216</v>
      </c>
      <c r="G25" s="150">
        <f>'Datos de depreciacion'!K16</f>
        <v>-54</v>
      </c>
      <c r="H25" s="150"/>
      <c r="I25" s="150">
        <f>C25</f>
        <v>216</v>
      </c>
      <c r="J25" s="150">
        <f>D25</f>
        <v>216</v>
      </c>
      <c r="K25" s="150">
        <f>E25</f>
        <v>216</v>
      </c>
      <c r="L25" s="151">
        <f>-'Datos de depreciacion'!J16</f>
        <v>-270</v>
      </c>
      <c r="M25" s="148"/>
    </row>
    <row r="26" spans="1:13" ht="12.75">
      <c r="A26" s="156"/>
      <c r="B26" s="146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48"/>
    </row>
    <row r="27" spans="1:13" ht="12.75">
      <c r="A27" s="155" t="s">
        <v>30</v>
      </c>
      <c r="B27" s="146">
        <f>'Valor de Dep+Recompra'!B27</f>
        <v>600</v>
      </c>
      <c r="C27" s="127"/>
      <c r="D27" s="150"/>
      <c r="E27" s="150"/>
      <c r="F27" s="150"/>
      <c r="G27" s="150"/>
      <c r="H27" s="150"/>
      <c r="I27" s="150"/>
      <c r="J27" s="150"/>
      <c r="K27" s="150"/>
      <c r="L27" s="151"/>
      <c r="M27" s="148"/>
    </row>
    <row r="28" spans="1:13" ht="12.75">
      <c r="A28" s="149" t="s">
        <v>183</v>
      </c>
      <c r="B28" s="146"/>
      <c r="C28" s="150">
        <f>'Datos de depreciacion'!I17</f>
        <v>48</v>
      </c>
      <c r="D28" s="150">
        <f>C28</f>
        <v>48</v>
      </c>
      <c r="E28" s="150">
        <f aca="true" t="shared" si="0" ref="E28:K28">D28</f>
        <v>48</v>
      </c>
      <c r="F28" s="150">
        <f t="shared" si="0"/>
        <v>48</v>
      </c>
      <c r="G28" s="150">
        <f t="shared" si="0"/>
        <v>48</v>
      </c>
      <c r="H28" s="150">
        <f t="shared" si="0"/>
        <v>48</v>
      </c>
      <c r="I28" s="150">
        <f t="shared" si="0"/>
        <v>48</v>
      </c>
      <c r="J28" s="150">
        <f t="shared" si="0"/>
        <v>48</v>
      </c>
      <c r="K28" s="150">
        <f t="shared" si="0"/>
        <v>48</v>
      </c>
      <c r="L28" s="151">
        <f>'Datos de depreciacion'!K17</f>
        <v>-72</v>
      </c>
      <c r="M28" s="148"/>
    </row>
    <row r="29" spans="1:13" ht="12.75">
      <c r="A29" s="156"/>
      <c r="B29" s="146"/>
      <c r="C29" s="153"/>
      <c r="D29" s="153"/>
      <c r="E29" s="153"/>
      <c r="F29" s="153"/>
      <c r="G29" s="153"/>
      <c r="H29" s="153"/>
      <c r="I29" s="153"/>
      <c r="J29" s="153"/>
      <c r="K29" s="153"/>
      <c r="L29" s="154"/>
      <c r="M29" s="148"/>
    </row>
    <row r="30" spans="1:13" ht="12.75">
      <c r="A30" s="155" t="s">
        <v>140</v>
      </c>
      <c r="B30" s="146">
        <f>'Valor de Dep+Recompra'!B30</f>
        <v>1170</v>
      </c>
      <c r="C30" s="127"/>
      <c r="D30" s="150"/>
      <c r="E30" s="150"/>
      <c r="F30" s="150"/>
      <c r="G30" s="150"/>
      <c r="H30" s="150"/>
      <c r="I30" s="150"/>
      <c r="J30" s="150"/>
      <c r="K30" s="150"/>
      <c r="L30" s="151"/>
      <c r="M30" s="148"/>
    </row>
    <row r="31" spans="1:13" ht="12.75">
      <c r="A31" s="149" t="s">
        <v>183</v>
      </c>
      <c r="B31" s="146"/>
      <c r="C31" s="150">
        <f>'Datos de depreciacion'!I18</f>
        <v>93.60000000000001</v>
      </c>
      <c r="D31" s="150">
        <f>C31</f>
        <v>93.60000000000001</v>
      </c>
      <c r="E31" s="150">
        <f aca="true" t="shared" si="1" ref="E31:K31">D31</f>
        <v>93.60000000000001</v>
      </c>
      <c r="F31" s="150">
        <f t="shared" si="1"/>
        <v>93.60000000000001</v>
      </c>
      <c r="G31" s="150">
        <f t="shared" si="1"/>
        <v>93.60000000000001</v>
      </c>
      <c r="H31" s="150">
        <f t="shared" si="1"/>
        <v>93.60000000000001</v>
      </c>
      <c r="I31" s="150">
        <f t="shared" si="1"/>
        <v>93.60000000000001</v>
      </c>
      <c r="J31" s="150">
        <f t="shared" si="1"/>
        <v>93.60000000000001</v>
      </c>
      <c r="K31" s="150">
        <f t="shared" si="1"/>
        <v>93.60000000000001</v>
      </c>
      <c r="L31" s="151">
        <f>'Datos de depreciacion'!K18</f>
        <v>-140.39999999999998</v>
      </c>
      <c r="M31" s="148"/>
    </row>
    <row r="32" spans="1:13" ht="12.75">
      <c r="A32" s="156"/>
      <c r="B32" s="146"/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148"/>
    </row>
    <row r="33" spans="1:13" ht="12.75">
      <c r="A33" s="155" t="s">
        <v>31</v>
      </c>
      <c r="B33" s="146">
        <f>'Valor de Dep+Recompra'!B33</f>
        <v>180</v>
      </c>
      <c r="C33" s="127"/>
      <c r="D33" s="150"/>
      <c r="E33" s="150"/>
      <c r="F33" s="150"/>
      <c r="G33" s="150"/>
      <c r="H33" s="150"/>
      <c r="I33" s="150"/>
      <c r="J33" s="150"/>
      <c r="K33" s="150"/>
      <c r="L33" s="151"/>
      <c r="M33" s="148"/>
    </row>
    <row r="34" spans="1:13" ht="12.75">
      <c r="A34" s="149" t="s">
        <v>183</v>
      </c>
      <c r="B34" s="146"/>
      <c r="C34" s="150">
        <f>'Datos de depreciacion'!I19</f>
        <v>14.4</v>
      </c>
      <c r="D34" s="150">
        <f>C34</f>
        <v>14.4</v>
      </c>
      <c r="E34" s="150">
        <f aca="true" t="shared" si="2" ref="E34:K34">D34</f>
        <v>14.4</v>
      </c>
      <c r="F34" s="150">
        <f t="shared" si="2"/>
        <v>14.4</v>
      </c>
      <c r="G34" s="150">
        <f t="shared" si="2"/>
        <v>14.4</v>
      </c>
      <c r="H34" s="150">
        <f t="shared" si="2"/>
        <v>14.4</v>
      </c>
      <c r="I34" s="150">
        <f t="shared" si="2"/>
        <v>14.4</v>
      </c>
      <c r="J34" s="150">
        <f t="shared" si="2"/>
        <v>14.4</v>
      </c>
      <c r="K34" s="150">
        <f t="shared" si="2"/>
        <v>14.4</v>
      </c>
      <c r="L34" s="151">
        <f>'Datos de depreciacion'!K19</f>
        <v>-21.6</v>
      </c>
      <c r="M34" s="148"/>
    </row>
    <row r="35" spans="1:13" ht="12.75">
      <c r="A35" s="156"/>
      <c r="B35" s="146"/>
      <c r="C35" s="153"/>
      <c r="D35" s="153"/>
      <c r="E35" s="153"/>
      <c r="F35" s="153"/>
      <c r="G35" s="153"/>
      <c r="H35" s="153"/>
      <c r="I35" s="153"/>
      <c r="J35" s="153"/>
      <c r="K35" s="153"/>
      <c r="L35" s="154"/>
      <c r="M35" s="148"/>
    </row>
    <row r="36" spans="1:13" ht="12.75">
      <c r="A36" s="155" t="s">
        <v>15</v>
      </c>
      <c r="B36" s="146">
        <f>'Valor de Dep+Recompra'!B36</f>
        <v>500</v>
      </c>
      <c r="C36" s="127"/>
      <c r="D36" s="150"/>
      <c r="E36" s="150"/>
      <c r="F36" s="150"/>
      <c r="G36" s="150"/>
      <c r="H36" s="150"/>
      <c r="I36" s="150"/>
      <c r="J36" s="150"/>
      <c r="K36" s="150"/>
      <c r="L36" s="151"/>
      <c r="M36" s="148"/>
    </row>
    <row r="37" spans="1:13" ht="12.75">
      <c r="A37" s="149" t="s">
        <v>183</v>
      </c>
      <c r="B37" s="146"/>
      <c r="C37" s="150">
        <f>'Datos de depreciacion'!I20</f>
        <v>40</v>
      </c>
      <c r="D37" s="150">
        <f>C37</f>
        <v>40</v>
      </c>
      <c r="E37" s="150">
        <f aca="true" t="shared" si="3" ref="E37:K37">D37</f>
        <v>40</v>
      </c>
      <c r="F37" s="150">
        <f t="shared" si="3"/>
        <v>40</v>
      </c>
      <c r="G37" s="150">
        <f t="shared" si="3"/>
        <v>40</v>
      </c>
      <c r="H37" s="150">
        <f t="shared" si="3"/>
        <v>40</v>
      </c>
      <c r="I37" s="150">
        <f t="shared" si="3"/>
        <v>40</v>
      </c>
      <c r="J37" s="150">
        <f t="shared" si="3"/>
        <v>40</v>
      </c>
      <c r="K37" s="150">
        <f t="shared" si="3"/>
        <v>40</v>
      </c>
      <c r="L37" s="151">
        <f>'Datos de depreciacion'!K20</f>
        <v>-60</v>
      </c>
      <c r="M37" s="148"/>
    </row>
    <row r="38" spans="1:13" ht="12.75">
      <c r="A38" s="156"/>
      <c r="B38" s="146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48"/>
    </row>
    <row r="39" spans="1:13" ht="12.75">
      <c r="A39" s="155" t="s">
        <v>18</v>
      </c>
      <c r="B39" s="146">
        <f>'Valor de Dep+Recompra'!B39</f>
        <v>440</v>
      </c>
      <c r="C39" s="127"/>
      <c r="D39" s="150"/>
      <c r="E39" s="150"/>
      <c r="F39" s="150"/>
      <c r="G39" s="150"/>
      <c r="H39" s="150"/>
      <c r="I39" s="150"/>
      <c r="J39" s="150"/>
      <c r="K39" s="150"/>
      <c r="L39" s="151"/>
      <c r="M39" s="148"/>
    </row>
    <row r="40" spans="1:13" ht="12.75">
      <c r="A40" s="149" t="s">
        <v>183</v>
      </c>
      <c r="B40" s="146"/>
      <c r="C40" s="150">
        <f>'Datos de depreciacion'!I21</f>
        <v>35.2</v>
      </c>
      <c r="D40" s="150">
        <f>C40</f>
        <v>35.2</v>
      </c>
      <c r="E40" s="150">
        <f aca="true" t="shared" si="4" ref="E40:K40">D40</f>
        <v>35.2</v>
      </c>
      <c r="F40" s="150">
        <f t="shared" si="4"/>
        <v>35.2</v>
      </c>
      <c r="G40" s="150">
        <f t="shared" si="4"/>
        <v>35.2</v>
      </c>
      <c r="H40" s="150">
        <f t="shared" si="4"/>
        <v>35.2</v>
      </c>
      <c r="I40" s="150">
        <f t="shared" si="4"/>
        <v>35.2</v>
      </c>
      <c r="J40" s="150">
        <f t="shared" si="4"/>
        <v>35.2</v>
      </c>
      <c r="K40" s="150">
        <f t="shared" si="4"/>
        <v>35.2</v>
      </c>
      <c r="L40" s="151">
        <f>'Datos de depreciacion'!K21</f>
        <v>-52.8</v>
      </c>
      <c r="M40" s="148"/>
    </row>
    <row r="41" spans="1:13" ht="12.75">
      <c r="A41" s="156"/>
      <c r="B41" s="146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48"/>
    </row>
    <row r="42" spans="1:13" ht="12.75">
      <c r="A42" s="155" t="s">
        <v>19</v>
      </c>
      <c r="B42" s="146">
        <f>'Valor de Dep+Recompra'!B42</f>
        <v>630</v>
      </c>
      <c r="C42" s="127"/>
      <c r="D42" s="150"/>
      <c r="E42" s="150"/>
      <c r="F42" s="150"/>
      <c r="G42" s="150"/>
      <c r="H42" s="150"/>
      <c r="I42" s="150"/>
      <c r="J42" s="150"/>
      <c r="K42" s="150"/>
      <c r="L42" s="151"/>
      <c r="M42" s="148"/>
    </row>
    <row r="43" spans="1:13" ht="12.75">
      <c r="A43" s="149" t="s">
        <v>183</v>
      </c>
      <c r="B43" s="146"/>
      <c r="C43" s="150">
        <f>'Datos de depreciacion'!I22</f>
        <v>50.400000000000006</v>
      </c>
      <c r="D43" s="150">
        <f>C43</f>
        <v>50.400000000000006</v>
      </c>
      <c r="E43" s="150">
        <f aca="true" t="shared" si="5" ref="E43:K43">D43</f>
        <v>50.400000000000006</v>
      </c>
      <c r="F43" s="150">
        <f t="shared" si="5"/>
        <v>50.400000000000006</v>
      </c>
      <c r="G43" s="150">
        <f t="shared" si="5"/>
        <v>50.400000000000006</v>
      </c>
      <c r="H43" s="150">
        <f t="shared" si="5"/>
        <v>50.400000000000006</v>
      </c>
      <c r="I43" s="150">
        <f t="shared" si="5"/>
        <v>50.400000000000006</v>
      </c>
      <c r="J43" s="150">
        <f t="shared" si="5"/>
        <v>50.400000000000006</v>
      </c>
      <c r="K43" s="150">
        <f t="shared" si="5"/>
        <v>50.400000000000006</v>
      </c>
      <c r="L43" s="151">
        <f>'Datos de depreciacion'!K22</f>
        <v>-75.6</v>
      </c>
      <c r="M43" s="148"/>
    </row>
    <row r="44" spans="1:13" ht="12.75">
      <c r="A44" s="156"/>
      <c r="B44" s="146"/>
      <c r="C44" s="153"/>
      <c r="D44" s="153"/>
      <c r="E44" s="153"/>
      <c r="F44" s="153"/>
      <c r="G44" s="153"/>
      <c r="H44" s="153"/>
      <c r="I44" s="153"/>
      <c r="J44" s="153"/>
      <c r="K44" s="153"/>
      <c r="L44" s="154"/>
      <c r="M44" s="148"/>
    </row>
    <row r="45" spans="1:13" ht="12.75">
      <c r="A45" s="155" t="s">
        <v>20</v>
      </c>
      <c r="B45" s="146">
        <f>'Valor de Dep+Recompra'!B45</f>
        <v>320</v>
      </c>
      <c r="C45" s="127"/>
      <c r="D45" s="150"/>
      <c r="E45" s="150"/>
      <c r="F45" s="150"/>
      <c r="G45" s="150"/>
      <c r="H45" s="150"/>
      <c r="I45" s="150"/>
      <c r="J45" s="150"/>
      <c r="K45" s="150"/>
      <c r="L45" s="151"/>
      <c r="M45" s="148"/>
    </row>
    <row r="46" spans="1:13" ht="12.75">
      <c r="A46" s="149" t="s">
        <v>183</v>
      </c>
      <c r="B46" s="146"/>
      <c r="C46" s="150">
        <f>'Datos de depreciacion'!I23</f>
        <v>25.6</v>
      </c>
      <c r="D46" s="150">
        <f>C46</f>
        <v>25.6</v>
      </c>
      <c r="E46" s="150">
        <f aca="true" t="shared" si="6" ref="E46:K46">D46</f>
        <v>25.6</v>
      </c>
      <c r="F46" s="150">
        <f t="shared" si="6"/>
        <v>25.6</v>
      </c>
      <c r="G46" s="150">
        <f t="shared" si="6"/>
        <v>25.6</v>
      </c>
      <c r="H46" s="150">
        <f t="shared" si="6"/>
        <v>25.6</v>
      </c>
      <c r="I46" s="150">
        <f t="shared" si="6"/>
        <v>25.6</v>
      </c>
      <c r="J46" s="150">
        <f t="shared" si="6"/>
        <v>25.6</v>
      </c>
      <c r="K46" s="150">
        <f t="shared" si="6"/>
        <v>25.6</v>
      </c>
      <c r="L46" s="151">
        <f>'Datos de depreciacion'!K23</f>
        <v>-38.4</v>
      </c>
      <c r="M46" s="148"/>
    </row>
    <row r="47" spans="1:13" ht="12.75">
      <c r="A47" s="156"/>
      <c r="B47" s="146"/>
      <c r="C47" s="153"/>
      <c r="D47" s="153"/>
      <c r="E47" s="153"/>
      <c r="F47" s="153"/>
      <c r="G47" s="153"/>
      <c r="H47" s="153"/>
      <c r="I47" s="153"/>
      <c r="J47" s="153"/>
      <c r="K47" s="153"/>
      <c r="L47" s="154"/>
      <c r="M47" s="148"/>
    </row>
    <row r="48" spans="1:13" ht="12.75">
      <c r="A48" s="155" t="s">
        <v>21</v>
      </c>
      <c r="B48" s="146">
        <f>'Valor de Dep+Recompra'!B48</f>
        <v>112</v>
      </c>
      <c r="C48" s="127"/>
      <c r="D48" s="150"/>
      <c r="E48" s="150"/>
      <c r="F48" s="150"/>
      <c r="G48" s="150"/>
      <c r="H48" s="150"/>
      <c r="I48" s="150"/>
      <c r="J48" s="150"/>
      <c r="K48" s="150"/>
      <c r="L48" s="151"/>
      <c r="M48" s="148"/>
    </row>
    <row r="49" spans="1:13" ht="12.75">
      <c r="A49" s="149" t="s">
        <v>183</v>
      </c>
      <c r="B49" s="146"/>
      <c r="C49" s="150">
        <f>'Datos de depreciacion'!I24</f>
        <v>8.959999999999999</v>
      </c>
      <c r="D49" s="150">
        <f>C49</f>
        <v>8.959999999999999</v>
      </c>
      <c r="E49" s="150">
        <f aca="true" t="shared" si="7" ref="E49:K49">D49</f>
        <v>8.959999999999999</v>
      </c>
      <c r="F49" s="150">
        <f t="shared" si="7"/>
        <v>8.959999999999999</v>
      </c>
      <c r="G49" s="150">
        <f t="shared" si="7"/>
        <v>8.959999999999999</v>
      </c>
      <c r="H49" s="150">
        <f t="shared" si="7"/>
        <v>8.959999999999999</v>
      </c>
      <c r="I49" s="150">
        <f t="shared" si="7"/>
        <v>8.959999999999999</v>
      </c>
      <c r="J49" s="150">
        <f t="shared" si="7"/>
        <v>8.959999999999999</v>
      </c>
      <c r="K49" s="150">
        <f t="shared" si="7"/>
        <v>8.959999999999999</v>
      </c>
      <c r="L49" s="151">
        <f>'Datos de depreciacion'!K24</f>
        <v>-13.440000000000003</v>
      </c>
      <c r="M49" s="148"/>
    </row>
    <row r="50" spans="1:12" ht="13.5" thickBot="1">
      <c r="A50" s="15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57"/>
    </row>
    <row r="51" spans="1:12" ht="21.75" customHeight="1" thickBot="1">
      <c r="A51" s="158" t="s">
        <v>184</v>
      </c>
      <c r="B51" s="159">
        <f>SUM(B6:B50)</f>
        <v>15092</v>
      </c>
      <c r="C51" s="160">
        <f>SUM(C6:C50)</f>
        <v>2390.8266666666664</v>
      </c>
      <c r="D51" s="159">
        <f aca="true" t="shared" si="8" ref="D51:L51">SUM(D6:D50)</f>
        <v>2390.8266666666664</v>
      </c>
      <c r="E51" s="159">
        <f t="shared" si="8"/>
        <v>1842.8266666666666</v>
      </c>
      <c r="F51" s="161">
        <f t="shared" si="8"/>
        <v>1660.16</v>
      </c>
      <c r="G51" s="159">
        <f t="shared" si="8"/>
        <v>710.8266666666667</v>
      </c>
      <c r="H51" s="159">
        <f t="shared" si="8"/>
        <v>1046.8266666666666</v>
      </c>
      <c r="I51" s="159">
        <f t="shared" si="8"/>
        <v>1842.8266666666666</v>
      </c>
      <c r="J51" s="161">
        <f t="shared" si="8"/>
        <v>1660.16</v>
      </c>
      <c r="K51" s="159">
        <f t="shared" si="8"/>
        <v>2390.8266666666664</v>
      </c>
      <c r="L51" s="162">
        <f t="shared" si="8"/>
        <v>-2702.2400000000002</v>
      </c>
    </row>
  </sheetData>
  <sheetProtection/>
  <mergeCells count="2">
    <mergeCell ref="A2:L2"/>
    <mergeCell ref="B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D1">
      <selection activeCell="H24" sqref="H24"/>
    </sheetView>
  </sheetViews>
  <sheetFormatPr defaultColWidth="11.421875" defaultRowHeight="12.75"/>
  <cols>
    <col min="1" max="1" width="22.7109375" style="0" customWidth="1"/>
    <col min="2" max="2" width="13.8515625" style="0" customWidth="1"/>
    <col min="3" max="7" width="11.421875" style="0" customWidth="1"/>
    <col min="8" max="8" width="11.8515625" style="0" bestFit="1" customWidth="1"/>
  </cols>
  <sheetData>
    <row r="2" spans="1:12" ht="26.25">
      <c r="A2" s="344" t="s">
        <v>181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ht="13.5" thickBot="1"/>
    <row r="4" spans="1:12" ht="21.75" thickBot="1">
      <c r="A4" s="141"/>
      <c r="B4" s="345" t="s">
        <v>182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</row>
    <row r="5" spans="1:12" ht="21.75" thickBot="1">
      <c r="A5" s="142" t="s">
        <v>170</v>
      </c>
      <c r="B5" s="143">
        <v>0</v>
      </c>
      <c r="C5" s="143">
        <v>1</v>
      </c>
      <c r="D5" s="143">
        <v>2</v>
      </c>
      <c r="E5" s="143">
        <v>3</v>
      </c>
      <c r="F5" s="143">
        <v>4</v>
      </c>
      <c r="G5" s="144">
        <v>5</v>
      </c>
      <c r="H5" s="144">
        <v>6</v>
      </c>
      <c r="I5" s="144">
        <v>7</v>
      </c>
      <c r="J5" s="144">
        <v>8</v>
      </c>
      <c r="K5" s="144">
        <v>9</v>
      </c>
      <c r="L5" s="144">
        <v>10</v>
      </c>
    </row>
    <row r="6" spans="1:13" ht="12.75">
      <c r="A6" s="145" t="s">
        <v>29</v>
      </c>
      <c r="B6" s="146">
        <f>'Valor de Dep+Recompra'!B6</f>
        <v>1915</v>
      </c>
      <c r="C6" s="146"/>
      <c r="D6" s="146"/>
      <c r="E6" s="146"/>
      <c r="F6" s="146">
        <f>B6</f>
        <v>1915</v>
      </c>
      <c r="G6" s="146"/>
      <c r="H6" s="146"/>
      <c r="I6" s="146"/>
      <c r="J6" s="146">
        <f>F6</f>
        <v>1915</v>
      </c>
      <c r="K6" s="146"/>
      <c r="L6" s="147"/>
      <c r="M6" s="148"/>
    </row>
    <row r="7" spans="1:13" ht="12.75">
      <c r="A7" s="149" t="s">
        <v>183</v>
      </c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148"/>
    </row>
    <row r="8" spans="1:13" ht="12.75">
      <c r="A8" s="152"/>
      <c r="B8" s="146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48"/>
    </row>
    <row r="9" spans="1:13" ht="12.75">
      <c r="A9" s="155" t="s">
        <v>141</v>
      </c>
      <c r="B9" s="146">
        <f>'Valor de Dep+Recompra'!B9</f>
        <v>225</v>
      </c>
      <c r="C9" s="150"/>
      <c r="D9" s="150"/>
      <c r="E9" s="150"/>
      <c r="F9" s="150">
        <f>B9</f>
        <v>225</v>
      </c>
      <c r="G9" s="150"/>
      <c r="H9" s="150"/>
      <c r="I9" s="150"/>
      <c r="J9" s="150">
        <f>F9</f>
        <v>225</v>
      </c>
      <c r="K9" s="150"/>
      <c r="L9" s="151"/>
      <c r="M9" s="148"/>
    </row>
    <row r="10" spans="1:13" ht="12.75">
      <c r="A10" s="149" t="s">
        <v>183</v>
      </c>
      <c r="B10" s="146"/>
      <c r="C10" s="150"/>
      <c r="D10" s="150"/>
      <c r="E10" s="150"/>
      <c r="F10" s="150"/>
      <c r="G10" s="150"/>
      <c r="H10" s="150"/>
      <c r="I10" s="150"/>
      <c r="J10" s="150"/>
      <c r="K10" s="150"/>
      <c r="L10" s="151"/>
      <c r="M10" s="148"/>
    </row>
    <row r="11" spans="1:13" ht="12.75">
      <c r="A11" s="156"/>
      <c r="B11" s="146"/>
      <c r="C11" s="153"/>
      <c r="D11" s="153"/>
      <c r="E11" s="153"/>
      <c r="F11" s="153"/>
      <c r="G11" s="153"/>
      <c r="H11" s="153"/>
      <c r="I11" s="153"/>
      <c r="J11" s="153"/>
      <c r="K11" s="153"/>
      <c r="L11" s="154"/>
      <c r="M11" s="148"/>
    </row>
    <row r="12" spans="1:13" ht="12.75">
      <c r="A12" s="155" t="s">
        <v>25</v>
      </c>
      <c r="B12" s="146">
        <f>'Valor de Dep+Recompra'!B12</f>
        <v>600</v>
      </c>
      <c r="C12" s="150"/>
      <c r="D12" s="150"/>
      <c r="E12" s="150"/>
      <c r="F12" s="150">
        <f>B12</f>
        <v>600</v>
      </c>
      <c r="G12" s="150"/>
      <c r="H12" s="150"/>
      <c r="I12" s="150"/>
      <c r="J12" s="150">
        <f>F12</f>
        <v>600</v>
      </c>
      <c r="K12" s="150"/>
      <c r="L12" s="151"/>
      <c r="M12" s="148"/>
    </row>
    <row r="13" spans="1:13" ht="12.75">
      <c r="A13" s="149" t="s">
        <v>183</v>
      </c>
      <c r="B13" s="146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8"/>
    </row>
    <row r="14" spans="1:13" ht="12.75">
      <c r="A14" s="156"/>
      <c r="B14" s="146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48"/>
    </row>
    <row r="15" spans="1:13" ht="12.75">
      <c r="A15" s="155" t="s">
        <v>4</v>
      </c>
      <c r="B15" s="146">
        <f>'Valor de Dep+Recompra'!B15</f>
        <v>5000</v>
      </c>
      <c r="C15" s="150"/>
      <c r="D15" s="150"/>
      <c r="E15" s="150"/>
      <c r="F15" s="150"/>
      <c r="G15" s="150"/>
      <c r="H15" s="150">
        <f>B15</f>
        <v>5000</v>
      </c>
      <c r="I15" s="150"/>
      <c r="J15" s="150"/>
      <c r="K15" s="150"/>
      <c r="L15" s="151"/>
      <c r="M15" s="148"/>
    </row>
    <row r="16" spans="1:13" ht="12.75">
      <c r="A16" s="149" t="s">
        <v>183</v>
      </c>
      <c r="B16" s="146"/>
      <c r="C16" s="150"/>
      <c r="D16" s="150"/>
      <c r="E16" s="150"/>
      <c r="F16" s="150"/>
      <c r="G16" s="150"/>
      <c r="H16" s="150"/>
      <c r="I16" s="150"/>
      <c r="J16" s="150"/>
      <c r="K16" s="150"/>
      <c r="L16" s="151"/>
      <c r="M16" s="148"/>
    </row>
    <row r="17" spans="1:13" ht="12.75">
      <c r="A17" s="156"/>
      <c r="B17" s="146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148"/>
    </row>
    <row r="18" spans="1:13" ht="12.75">
      <c r="A18" s="155" t="s">
        <v>5</v>
      </c>
      <c r="B18" s="146">
        <f>'Valor de Dep+Recompra'!B18</f>
        <v>1600</v>
      </c>
      <c r="C18" s="150"/>
      <c r="D18" s="150"/>
      <c r="E18" s="150"/>
      <c r="F18" s="150"/>
      <c r="G18" s="150"/>
      <c r="H18" s="150">
        <f>B18</f>
        <v>1600</v>
      </c>
      <c r="I18" s="150"/>
      <c r="J18" s="150"/>
      <c r="K18" s="150"/>
      <c r="L18" s="151"/>
      <c r="M18" s="148"/>
    </row>
    <row r="19" spans="1:13" ht="12.75">
      <c r="A19" s="149" t="s">
        <v>183</v>
      </c>
      <c r="B19" s="146"/>
      <c r="C19" s="150"/>
      <c r="D19" s="150"/>
      <c r="E19" s="150"/>
      <c r="F19" s="150"/>
      <c r="G19" s="150"/>
      <c r="H19" s="150"/>
      <c r="I19" s="150"/>
      <c r="J19" s="150"/>
      <c r="K19" s="150"/>
      <c r="L19" s="151"/>
      <c r="M19" s="148"/>
    </row>
    <row r="20" spans="1:13" ht="12.75">
      <c r="A20" s="156"/>
      <c r="B20" s="146"/>
      <c r="C20" s="153"/>
      <c r="D20" s="153"/>
      <c r="E20" s="153"/>
      <c r="F20" s="153"/>
      <c r="G20" s="153"/>
      <c r="H20" s="153"/>
      <c r="I20" s="153"/>
      <c r="J20" s="153"/>
      <c r="K20" s="153"/>
      <c r="L20" s="154"/>
      <c r="M20" s="148"/>
    </row>
    <row r="21" spans="1:13" ht="12.75">
      <c r="A21" s="155" t="s">
        <v>6</v>
      </c>
      <c r="B21" s="146">
        <f>'Valor de Dep+Recompra'!B21</f>
        <v>450</v>
      </c>
      <c r="C21" s="127"/>
      <c r="D21" s="150"/>
      <c r="E21" s="150"/>
      <c r="F21" s="150"/>
      <c r="G21" s="150"/>
      <c r="H21" s="150">
        <f>B21</f>
        <v>450</v>
      </c>
      <c r="I21" s="150"/>
      <c r="J21" s="150"/>
      <c r="K21" s="150"/>
      <c r="L21" s="151"/>
      <c r="M21" s="148"/>
    </row>
    <row r="22" spans="1:13" ht="12.75">
      <c r="A22" s="149" t="s">
        <v>183</v>
      </c>
      <c r="B22" s="146"/>
      <c r="C22" s="150"/>
      <c r="D22" s="150"/>
      <c r="E22" s="150"/>
      <c r="F22" s="150"/>
      <c r="G22" s="150"/>
      <c r="H22" s="150"/>
      <c r="I22" s="150"/>
      <c r="J22" s="150"/>
      <c r="K22" s="150"/>
      <c r="L22" s="151"/>
      <c r="M22" s="148"/>
    </row>
    <row r="23" spans="1:13" ht="12.75">
      <c r="A23" s="156"/>
      <c r="B23" s="146"/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M23" s="148"/>
    </row>
    <row r="24" spans="1:13" ht="12.75">
      <c r="A24" s="155" t="s">
        <v>34</v>
      </c>
      <c r="B24" s="146">
        <f>'Valor de Dep+Recompra'!B24</f>
        <v>1350</v>
      </c>
      <c r="C24" s="127"/>
      <c r="D24" s="150"/>
      <c r="E24" s="150"/>
      <c r="F24" s="150"/>
      <c r="G24" s="150"/>
      <c r="H24" s="150">
        <f>B24</f>
        <v>1350</v>
      </c>
      <c r="I24" s="150"/>
      <c r="J24" s="150"/>
      <c r="K24" s="150"/>
      <c r="L24" s="151"/>
      <c r="M24" s="148"/>
    </row>
    <row r="25" spans="1:13" ht="12.75">
      <c r="A25" s="149" t="s">
        <v>183</v>
      </c>
      <c r="B25" s="146"/>
      <c r="C25" s="150"/>
      <c r="D25" s="150"/>
      <c r="E25" s="150"/>
      <c r="F25" s="150"/>
      <c r="G25" s="150"/>
      <c r="H25" s="150"/>
      <c r="I25" s="150"/>
      <c r="J25" s="150"/>
      <c r="K25" s="150"/>
      <c r="L25" s="151"/>
      <c r="M25" s="148"/>
    </row>
    <row r="26" spans="1:13" ht="12.75">
      <c r="A26" s="156"/>
      <c r="B26" s="146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48"/>
    </row>
    <row r="27" spans="1:13" ht="12.75">
      <c r="A27" s="155" t="s">
        <v>30</v>
      </c>
      <c r="B27" s="146">
        <f>'Valor de Dep+Recompra'!B27</f>
        <v>600</v>
      </c>
      <c r="C27" s="127"/>
      <c r="D27" s="150"/>
      <c r="E27" s="150"/>
      <c r="F27" s="150"/>
      <c r="G27" s="150"/>
      <c r="H27" s="150"/>
      <c r="I27" s="150"/>
      <c r="J27" s="150"/>
      <c r="K27" s="150"/>
      <c r="L27" s="151"/>
      <c r="M27" s="148"/>
    </row>
    <row r="28" spans="1:13" ht="12.75">
      <c r="A28" s="149" t="s">
        <v>183</v>
      </c>
      <c r="B28" s="146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148"/>
    </row>
    <row r="29" spans="1:13" ht="12.75">
      <c r="A29" s="156"/>
      <c r="B29" s="146"/>
      <c r="C29" s="153"/>
      <c r="D29" s="153"/>
      <c r="E29" s="153"/>
      <c r="F29" s="153"/>
      <c r="G29" s="153"/>
      <c r="H29" s="153"/>
      <c r="I29" s="153"/>
      <c r="J29" s="153"/>
      <c r="K29" s="153"/>
      <c r="L29" s="154"/>
      <c r="M29" s="148"/>
    </row>
    <row r="30" spans="1:13" ht="12.75">
      <c r="A30" s="155" t="s">
        <v>140</v>
      </c>
      <c r="B30" s="146">
        <f>'Valor de Dep+Recompra'!B30</f>
        <v>1170</v>
      </c>
      <c r="C30" s="127"/>
      <c r="D30" s="150"/>
      <c r="E30" s="150"/>
      <c r="F30" s="150"/>
      <c r="G30" s="150"/>
      <c r="H30" s="150"/>
      <c r="I30" s="150"/>
      <c r="J30" s="150"/>
      <c r="K30" s="150"/>
      <c r="L30" s="151"/>
      <c r="M30" s="148"/>
    </row>
    <row r="31" spans="1:13" ht="12.75">
      <c r="A31" s="149" t="s">
        <v>183</v>
      </c>
      <c r="B31" s="146"/>
      <c r="C31" s="150"/>
      <c r="D31" s="150"/>
      <c r="E31" s="150"/>
      <c r="F31" s="150"/>
      <c r="G31" s="150"/>
      <c r="H31" s="150"/>
      <c r="I31" s="150"/>
      <c r="J31" s="150"/>
      <c r="K31" s="150"/>
      <c r="L31" s="151"/>
      <c r="M31" s="148"/>
    </row>
    <row r="32" spans="1:13" ht="12.75">
      <c r="A32" s="156"/>
      <c r="B32" s="146"/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148"/>
    </row>
    <row r="33" spans="1:13" ht="12.75">
      <c r="A33" s="155" t="s">
        <v>31</v>
      </c>
      <c r="B33" s="146">
        <f>'Valor de Dep+Recompra'!B33</f>
        <v>180</v>
      </c>
      <c r="C33" s="127"/>
      <c r="D33" s="150"/>
      <c r="E33" s="150"/>
      <c r="F33" s="150"/>
      <c r="G33" s="150"/>
      <c r="H33" s="150"/>
      <c r="I33" s="150"/>
      <c r="J33" s="150"/>
      <c r="K33" s="150"/>
      <c r="L33" s="151"/>
      <c r="M33" s="148"/>
    </row>
    <row r="34" spans="1:13" ht="12.75">
      <c r="A34" s="149" t="s">
        <v>183</v>
      </c>
      <c r="B34" s="146"/>
      <c r="C34" s="150"/>
      <c r="D34" s="150"/>
      <c r="E34" s="150"/>
      <c r="F34" s="150"/>
      <c r="G34" s="150"/>
      <c r="H34" s="150"/>
      <c r="I34" s="150"/>
      <c r="J34" s="150"/>
      <c r="K34" s="150"/>
      <c r="L34" s="151"/>
      <c r="M34" s="148"/>
    </row>
    <row r="35" spans="1:13" ht="12.75">
      <c r="A35" s="156"/>
      <c r="B35" s="146"/>
      <c r="C35" s="153"/>
      <c r="D35" s="153"/>
      <c r="E35" s="153"/>
      <c r="F35" s="153"/>
      <c r="G35" s="153"/>
      <c r="H35" s="153"/>
      <c r="I35" s="153"/>
      <c r="J35" s="153"/>
      <c r="K35" s="153"/>
      <c r="L35" s="154"/>
      <c r="M35" s="148"/>
    </row>
    <row r="36" spans="1:13" ht="12.75">
      <c r="A36" s="155" t="s">
        <v>15</v>
      </c>
      <c r="B36" s="146">
        <f>'Valor de Dep+Recompra'!B36</f>
        <v>500</v>
      </c>
      <c r="C36" s="127"/>
      <c r="D36" s="150"/>
      <c r="E36" s="150"/>
      <c r="F36" s="150"/>
      <c r="G36" s="150"/>
      <c r="H36" s="150"/>
      <c r="I36" s="150"/>
      <c r="J36" s="150"/>
      <c r="K36" s="150"/>
      <c r="L36" s="151"/>
      <c r="M36" s="148"/>
    </row>
    <row r="37" spans="1:13" ht="12.75">
      <c r="A37" s="149" t="s">
        <v>183</v>
      </c>
      <c r="B37" s="146"/>
      <c r="C37" s="150"/>
      <c r="D37" s="150"/>
      <c r="E37" s="150"/>
      <c r="F37" s="150"/>
      <c r="G37" s="150"/>
      <c r="H37" s="150"/>
      <c r="I37" s="150"/>
      <c r="J37" s="150"/>
      <c r="K37" s="150"/>
      <c r="L37" s="151"/>
      <c r="M37" s="148"/>
    </row>
    <row r="38" spans="1:13" ht="12.75">
      <c r="A38" s="156"/>
      <c r="B38" s="146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48"/>
    </row>
    <row r="39" spans="1:13" ht="12.75">
      <c r="A39" s="155" t="s">
        <v>18</v>
      </c>
      <c r="B39" s="146">
        <f>'Valor de Dep+Recompra'!B39</f>
        <v>440</v>
      </c>
      <c r="C39" s="127"/>
      <c r="D39" s="150"/>
      <c r="E39" s="150"/>
      <c r="F39" s="150"/>
      <c r="G39" s="150"/>
      <c r="H39" s="150"/>
      <c r="I39" s="150"/>
      <c r="J39" s="150"/>
      <c r="K39" s="150"/>
      <c r="L39" s="151"/>
      <c r="M39" s="148"/>
    </row>
    <row r="40" spans="1:13" ht="12.75">
      <c r="A40" s="149" t="s">
        <v>183</v>
      </c>
      <c r="B40" s="146"/>
      <c r="C40" s="150"/>
      <c r="D40" s="150"/>
      <c r="E40" s="150"/>
      <c r="F40" s="150"/>
      <c r="G40" s="150"/>
      <c r="H40" s="150"/>
      <c r="I40" s="150"/>
      <c r="J40" s="150"/>
      <c r="K40" s="150"/>
      <c r="L40" s="151"/>
      <c r="M40" s="148"/>
    </row>
    <row r="41" spans="1:13" ht="12.75">
      <c r="A41" s="156"/>
      <c r="B41" s="146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48"/>
    </row>
    <row r="42" spans="1:13" ht="12.75">
      <c r="A42" s="155" t="s">
        <v>19</v>
      </c>
      <c r="B42" s="146">
        <f>'Valor de Dep+Recompra'!B42</f>
        <v>630</v>
      </c>
      <c r="C42" s="127"/>
      <c r="D42" s="150"/>
      <c r="E42" s="150"/>
      <c r="F42" s="150"/>
      <c r="G42" s="150"/>
      <c r="H42" s="150"/>
      <c r="I42" s="150"/>
      <c r="J42" s="150"/>
      <c r="K42" s="150"/>
      <c r="L42" s="151"/>
      <c r="M42" s="148"/>
    </row>
    <row r="43" spans="1:13" ht="12.75">
      <c r="A43" s="149" t="s">
        <v>183</v>
      </c>
      <c r="B43" s="146"/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M43" s="148"/>
    </row>
    <row r="44" spans="1:13" ht="12.75">
      <c r="A44" s="156"/>
      <c r="B44" s="146"/>
      <c r="C44" s="153"/>
      <c r="D44" s="153"/>
      <c r="E44" s="153"/>
      <c r="F44" s="153"/>
      <c r="G44" s="153"/>
      <c r="H44" s="153"/>
      <c r="I44" s="153"/>
      <c r="J44" s="153"/>
      <c r="K44" s="153"/>
      <c r="L44" s="154"/>
      <c r="M44" s="148"/>
    </row>
    <row r="45" spans="1:13" ht="12.75">
      <c r="A45" s="155" t="s">
        <v>20</v>
      </c>
      <c r="B45" s="146">
        <f>'Valor de Dep+Recompra'!B45</f>
        <v>320</v>
      </c>
      <c r="C45" s="127"/>
      <c r="D45" s="150"/>
      <c r="E45" s="150"/>
      <c r="F45" s="150"/>
      <c r="G45" s="150"/>
      <c r="H45" s="150"/>
      <c r="I45" s="150"/>
      <c r="J45" s="150"/>
      <c r="K45" s="150"/>
      <c r="L45" s="151"/>
      <c r="M45" s="148"/>
    </row>
    <row r="46" spans="1:13" ht="12.75">
      <c r="A46" s="149" t="s">
        <v>183</v>
      </c>
      <c r="B46" s="146"/>
      <c r="C46" s="150"/>
      <c r="D46" s="150"/>
      <c r="E46" s="150"/>
      <c r="F46" s="150"/>
      <c r="G46" s="150"/>
      <c r="H46" s="150"/>
      <c r="I46" s="150"/>
      <c r="J46" s="150"/>
      <c r="K46" s="150"/>
      <c r="L46" s="151"/>
      <c r="M46" s="148"/>
    </row>
    <row r="47" spans="1:13" ht="12.75">
      <c r="A47" s="156"/>
      <c r="B47" s="146"/>
      <c r="C47" s="153"/>
      <c r="D47" s="153"/>
      <c r="E47" s="153"/>
      <c r="F47" s="153"/>
      <c r="G47" s="153"/>
      <c r="H47" s="153"/>
      <c r="I47" s="153"/>
      <c r="J47" s="153"/>
      <c r="K47" s="153"/>
      <c r="L47" s="154"/>
      <c r="M47" s="148"/>
    </row>
    <row r="48" spans="1:13" ht="12.75">
      <c r="A48" s="155" t="s">
        <v>21</v>
      </c>
      <c r="B48" s="146">
        <f>'Valor de Dep+Recompra'!B48</f>
        <v>112</v>
      </c>
      <c r="C48" s="127"/>
      <c r="D48" s="150"/>
      <c r="E48" s="150"/>
      <c r="F48" s="150"/>
      <c r="G48" s="150"/>
      <c r="H48" s="150"/>
      <c r="I48" s="150"/>
      <c r="J48" s="150"/>
      <c r="K48" s="150"/>
      <c r="L48" s="151"/>
      <c r="M48" s="148"/>
    </row>
    <row r="49" spans="1:13" ht="12.75">
      <c r="A49" s="149" t="s">
        <v>183</v>
      </c>
      <c r="B49" s="127"/>
      <c r="C49" s="150"/>
      <c r="D49" s="150"/>
      <c r="E49" s="150"/>
      <c r="F49" s="150"/>
      <c r="G49" s="150"/>
      <c r="H49" s="150"/>
      <c r="I49" s="150"/>
      <c r="J49" s="150"/>
      <c r="K49" s="150"/>
      <c r="L49" s="151"/>
      <c r="M49" s="148"/>
    </row>
    <row r="50" spans="1:12" ht="13.5" thickBot="1">
      <c r="A50" s="15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57"/>
    </row>
    <row r="51" spans="1:12" ht="21.75" customHeight="1" thickBot="1">
      <c r="A51" s="158" t="s">
        <v>184</v>
      </c>
      <c r="B51" s="159">
        <f>SUM(B6:B50)</f>
        <v>15092</v>
      </c>
      <c r="C51" s="160">
        <f>SUM(C6:C50)</f>
        <v>0</v>
      </c>
      <c r="D51" s="159">
        <f>SUM(D6:D50)</f>
        <v>0</v>
      </c>
      <c r="E51" s="159">
        <f aca="true" t="shared" si="0" ref="E51:L51">SUM(E6:E50)</f>
        <v>0</v>
      </c>
      <c r="F51" s="161">
        <f t="shared" si="0"/>
        <v>2740</v>
      </c>
      <c r="G51" s="159">
        <f t="shared" si="0"/>
        <v>0</v>
      </c>
      <c r="H51" s="159">
        <f t="shared" si="0"/>
        <v>8400</v>
      </c>
      <c r="I51" s="159">
        <f t="shared" si="0"/>
        <v>0</v>
      </c>
      <c r="J51" s="161">
        <f t="shared" si="0"/>
        <v>2740</v>
      </c>
      <c r="K51" s="159">
        <f t="shared" si="0"/>
        <v>0</v>
      </c>
      <c r="L51" s="162">
        <f t="shared" si="0"/>
        <v>0</v>
      </c>
    </row>
  </sheetData>
  <sheetProtection/>
  <mergeCells count="2">
    <mergeCell ref="A2:L2"/>
    <mergeCell ref="B4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P2" t="e">
        <f>_XLL.CB.RECALCCOUNTERFN()</f>
        <v>#NAME?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104"/>
  <sheetViews>
    <sheetView zoomScale="82" zoomScaleNormal="82" zoomScalePageLayoutView="0" workbookViewId="0" topLeftCell="A58">
      <selection activeCell="B85" sqref="B85"/>
    </sheetView>
  </sheetViews>
  <sheetFormatPr defaultColWidth="9.140625" defaultRowHeight="12.75"/>
  <cols>
    <col min="1" max="1" width="61.421875" style="0" customWidth="1"/>
    <col min="2" max="2" width="13.421875" style="0" customWidth="1"/>
    <col min="3" max="3" width="10.28125" style="0" bestFit="1" customWidth="1"/>
    <col min="5" max="9" width="9.57421875" style="0" bestFit="1" customWidth="1"/>
    <col min="10" max="10" width="12.140625" style="0" customWidth="1"/>
    <col min="11" max="13" width="9.57421875" style="0" bestFit="1" customWidth="1"/>
  </cols>
  <sheetData>
    <row r="5" ht="13.5" thickBot="1"/>
    <row r="6" spans="1:4" ht="18.75" thickBot="1">
      <c r="A6" s="6" t="s">
        <v>70</v>
      </c>
      <c r="B6" s="10" t="s">
        <v>55</v>
      </c>
      <c r="C6" s="10" t="s">
        <v>155</v>
      </c>
      <c r="D6" s="40"/>
    </row>
    <row r="7" spans="1:4" ht="16.5" thickBot="1">
      <c r="A7" s="7" t="s">
        <v>71</v>
      </c>
      <c r="B7" s="11">
        <v>2</v>
      </c>
      <c r="C7" s="108">
        <f>B7*0.5</f>
        <v>1</v>
      </c>
      <c r="D7" s="40"/>
    </row>
    <row r="8" spans="1:4" ht="16.5" thickBot="1">
      <c r="A8" s="8" t="s">
        <v>72</v>
      </c>
      <c r="B8" s="12">
        <v>1.5</v>
      </c>
      <c r="C8" s="108">
        <f aca="true" t="shared" si="0" ref="C8:C20">B8*0.5</f>
        <v>0.75</v>
      </c>
      <c r="D8" s="40"/>
    </row>
    <row r="9" spans="1:4" ht="16.5" thickBot="1">
      <c r="A9" s="8" t="s">
        <v>73</v>
      </c>
      <c r="B9" s="12">
        <v>2.5</v>
      </c>
      <c r="C9" s="108">
        <f t="shared" si="0"/>
        <v>1.25</v>
      </c>
      <c r="D9" s="40"/>
    </row>
    <row r="10" spans="1:4" ht="16.5" thickBot="1">
      <c r="A10" s="8" t="s">
        <v>74</v>
      </c>
      <c r="B10" s="12">
        <v>3</v>
      </c>
      <c r="C10" s="108">
        <f t="shared" si="0"/>
        <v>1.5</v>
      </c>
      <c r="D10" s="40"/>
    </row>
    <row r="11" spans="1:4" ht="21.75" customHeight="1" thickBot="1">
      <c r="A11" s="8" t="s">
        <v>75</v>
      </c>
      <c r="B11" s="12">
        <v>2.5</v>
      </c>
      <c r="C11" s="108">
        <f t="shared" si="0"/>
        <v>1.25</v>
      </c>
      <c r="D11" s="40"/>
    </row>
    <row r="12" spans="1:4" ht="16.5" thickBot="1">
      <c r="A12" s="8" t="s">
        <v>76</v>
      </c>
      <c r="B12" s="12">
        <v>3</v>
      </c>
      <c r="C12" s="108">
        <f t="shared" si="0"/>
        <v>1.5</v>
      </c>
      <c r="D12" s="40"/>
    </row>
    <row r="13" spans="1:4" ht="16.5" thickBot="1">
      <c r="A13" s="8" t="s">
        <v>77</v>
      </c>
      <c r="B13" s="12">
        <v>2.5</v>
      </c>
      <c r="C13" s="108">
        <f t="shared" si="0"/>
        <v>1.25</v>
      </c>
      <c r="D13" s="40"/>
    </row>
    <row r="14" spans="1:4" ht="16.5" thickBot="1">
      <c r="A14" s="8" t="s">
        <v>78</v>
      </c>
      <c r="B14" s="12">
        <v>1.5</v>
      </c>
      <c r="C14" s="108">
        <f t="shared" si="0"/>
        <v>0.75</v>
      </c>
      <c r="D14" s="40"/>
    </row>
    <row r="15" spans="1:4" ht="16.5" thickBot="1">
      <c r="A15" s="8" t="s">
        <v>79</v>
      </c>
      <c r="B15" s="12">
        <v>1.5</v>
      </c>
      <c r="C15" s="108">
        <f t="shared" si="0"/>
        <v>0.75</v>
      </c>
      <c r="D15" s="40"/>
    </row>
    <row r="16" spans="1:4" ht="16.5" thickBot="1">
      <c r="A16" s="8" t="s">
        <v>80</v>
      </c>
      <c r="B16" s="12">
        <v>1.5</v>
      </c>
      <c r="C16" s="108">
        <f t="shared" si="0"/>
        <v>0.75</v>
      </c>
      <c r="D16" s="40"/>
    </row>
    <row r="17" spans="1:12" ht="16.5" thickBot="1">
      <c r="A17" s="8" t="s">
        <v>81</v>
      </c>
      <c r="B17" s="12">
        <v>2</v>
      </c>
      <c r="C17" s="108">
        <f t="shared" si="0"/>
        <v>1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1:3" ht="16.5" thickBot="1">
      <c r="A18" s="8" t="s">
        <v>82</v>
      </c>
      <c r="B18" s="12">
        <v>2</v>
      </c>
      <c r="C18" s="108">
        <f t="shared" si="0"/>
        <v>1</v>
      </c>
    </row>
    <row r="19" spans="1:3" ht="16.5" thickBot="1">
      <c r="A19" s="8" t="s">
        <v>84</v>
      </c>
      <c r="B19" s="12">
        <v>1.75</v>
      </c>
      <c r="C19" s="108">
        <f t="shared" si="0"/>
        <v>0.875</v>
      </c>
    </row>
    <row r="20" spans="1:3" ht="16.5" thickBot="1">
      <c r="A20" s="9" t="s">
        <v>83</v>
      </c>
      <c r="B20" s="13">
        <v>2</v>
      </c>
      <c r="C20" s="207">
        <f t="shared" si="0"/>
        <v>1</v>
      </c>
    </row>
    <row r="21" ht="15.75">
      <c r="A21" s="1"/>
    </row>
    <row r="22" ht="15.75">
      <c r="A22" s="1"/>
    </row>
    <row r="23" ht="16.5" thickBot="1">
      <c r="A23" s="1"/>
    </row>
    <row r="24" spans="1:3" ht="18.75" thickBot="1">
      <c r="A24" s="6" t="s">
        <v>97</v>
      </c>
      <c r="B24" s="10" t="s">
        <v>55</v>
      </c>
      <c r="C24" s="10" t="s">
        <v>155</v>
      </c>
    </row>
    <row r="25" spans="1:3" ht="15.75">
      <c r="A25" s="17" t="s">
        <v>85</v>
      </c>
      <c r="B25" s="23">
        <v>2.25</v>
      </c>
      <c r="C25" s="11">
        <f>B25*5</f>
        <v>11.25</v>
      </c>
    </row>
    <row r="26" spans="1:3" ht="15.75">
      <c r="A26" s="18" t="s">
        <v>86</v>
      </c>
      <c r="B26" s="22">
        <v>2</v>
      </c>
      <c r="C26" s="11">
        <v>1</v>
      </c>
    </row>
    <row r="27" spans="1:3" ht="15.75">
      <c r="A27" s="19" t="s">
        <v>87</v>
      </c>
      <c r="B27" s="24">
        <v>1.5</v>
      </c>
      <c r="C27" s="11">
        <v>0.75</v>
      </c>
    </row>
    <row r="28" spans="1:3" ht="15.75">
      <c r="A28" s="18" t="s">
        <v>88</v>
      </c>
      <c r="B28" s="22">
        <v>2</v>
      </c>
      <c r="C28" s="11">
        <v>1</v>
      </c>
    </row>
    <row r="29" spans="1:3" ht="15.75">
      <c r="A29" s="18" t="s">
        <v>89</v>
      </c>
      <c r="B29" s="22">
        <v>2.25</v>
      </c>
      <c r="C29" s="11">
        <v>1.12</v>
      </c>
    </row>
    <row r="30" spans="1:3" ht="15.75">
      <c r="A30" s="18" t="s">
        <v>90</v>
      </c>
      <c r="B30" s="22">
        <v>2</v>
      </c>
      <c r="C30" s="11">
        <v>1</v>
      </c>
    </row>
    <row r="31" spans="1:3" ht="15.75">
      <c r="A31" s="19" t="s">
        <v>91</v>
      </c>
      <c r="B31" s="24">
        <v>2.25</v>
      </c>
      <c r="C31" s="11">
        <v>1.12</v>
      </c>
    </row>
    <row r="32" spans="1:3" ht="15.75">
      <c r="A32" s="19" t="s">
        <v>92</v>
      </c>
      <c r="B32" s="24">
        <v>2.5</v>
      </c>
      <c r="C32" s="11">
        <v>1.25</v>
      </c>
    </row>
    <row r="33" spans="1:3" ht="15.75">
      <c r="A33" s="19" t="s">
        <v>93</v>
      </c>
      <c r="B33" s="24">
        <v>1.75</v>
      </c>
      <c r="C33" s="11">
        <v>0.88</v>
      </c>
    </row>
    <row r="34" spans="1:3" ht="15.75">
      <c r="A34" s="19" t="s">
        <v>94</v>
      </c>
      <c r="B34" s="24">
        <v>2.5</v>
      </c>
      <c r="C34" s="11">
        <v>1.25</v>
      </c>
    </row>
    <row r="35" spans="1:3" ht="15.75">
      <c r="A35" s="20" t="s">
        <v>95</v>
      </c>
      <c r="B35" s="24">
        <v>2</v>
      </c>
      <c r="C35" s="11">
        <v>1</v>
      </c>
    </row>
    <row r="36" spans="1:13" ht="16.5" thickBot="1">
      <c r="A36" s="21" t="s">
        <v>96</v>
      </c>
      <c r="B36" s="25">
        <v>2.5</v>
      </c>
      <c r="C36" s="13">
        <v>1.25</v>
      </c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2" ht="15.75">
      <c r="A37" s="14"/>
      <c r="B37" s="16"/>
    </row>
    <row r="38" spans="1:2" ht="15.75">
      <c r="A38" s="14"/>
      <c r="B38" s="16"/>
    </row>
    <row r="39" spans="1:2" ht="16.5" thickBot="1">
      <c r="A39" s="15"/>
      <c r="B39" s="16"/>
    </row>
    <row r="40" spans="1:3" ht="18.75" thickBot="1">
      <c r="A40" s="218" t="s">
        <v>102</v>
      </c>
      <c r="B40" s="28" t="s">
        <v>55</v>
      </c>
      <c r="C40" s="105" t="s">
        <v>155</v>
      </c>
    </row>
    <row r="41" spans="1:3" ht="15.75">
      <c r="A41" s="26" t="s">
        <v>98</v>
      </c>
      <c r="B41" s="101">
        <v>3</v>
      </c>
      <c r="C41" s="106">
        <f>+B41*0.5</f>
        <v>1.5</v>
      </c>
    </row>
    <row r="42" spans="1:3" ht="15.75">
      <c r="A42" s="19" t="s">
        <v>99</v>
      </c>
      <c r="B42" s="102">
        <v>2.8</v>
      </c>
      <c r="C42" s="107">
        <f>+B42*0.5</f>
        <v>1.4</v>
      </c>
    </row>
    <row r="43" spans="1:3" ht="15.75">
      <c r="A43" s="19" t="s">
        <v>100</v>
      </c>
      <c r="B43" s="103">
        <v>2.5</v>
      </c>
      <c r="C43" s="107">
        <f>+B43*0.5</f>
        <v>1.25</v>
      </c>
    </row>
    <row r="44" spans="1:13" ht="16.5" thickBot="1">
      <c r="A44" s="27" t="s">
        <v>101</v>
      </c>
      <c r="B44" s="104">
        <v>2.6</v>
      </c>
      <c r="C44" s="98">
        <f>+B44*0.5</f>
        <v>1.3</v>
      </c>
      <c r="E44" s="201"/>
      <c r="F44" s="201"/>
      <c r="G44" s="201"/>
      <c r="H44" s="201"/>
      <c r="I44" s="201"/>
      <c r="J44" s="201"/>
      <c r="K44" s="201"/>
      <c r="L44" s="201"/>
      <c r="M44" s="201"/>
    </row>
    <row r="45" spans="1:13" ht="15.75">
      <c r="A45" s="219"/>
      <c r="B45" s="220"/>
      <c r="C45" s="221"/>
      <c r="E45" s="201"/>
      <c r="F45" s="201"/>
      <c r="G45" s="201"/>
      <c r="H45" s="201"/>
      <c r="I45" s="201"/>
      <c r="J45" s="201"/>
      <c r="K45" s="201"/>
      <c r="L45" s="201"/>
      <c r="M45" s="201"/>
    </row>
    <row r="46" spans="1:13" ht="15.75">
      <c r="A46" s="219"/>
      <c r="B46" s="220"/>
      <c r="C46" s="22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1:2" ht="23.25" customHeight="1" thickBot="1">
      <c r="A47" s="1"/>
      <c r="B47" s="16"/>
    </row>
    <row r="48" spans="1:3" ht="18.75" thickBot="1">
      <c r="A48" s="31" t="s">
        <v>115</v>
      </c>
      <c r="B48" s="99" t="s">
        <v>55</v>
      </c>
      <c r="C48" s="99" t="s">
        <v>155</v>
      </c>
    </row>
    <row r="49" spans="1:3" ht="15.75">
      <c r="A49" s="19" t="s">
        <v>103</v>
      </c>
      <c r="B49" s="100">
        <v>1.25</v>
      </c>
      <c r="C49" s="100">
        <f>+B49*0.5</f>
        <v>0.625</v>
      </c>
    </row>
    <row r="50" spans="1:3" ht="15.75">
      <c r="A50" s="19" t="s">
        <v>104</v>
      </c>
      <c r="B50" s="24">
        <v>1.8</v>
      </c>
      <c r="C50" s="24">
        <f aca="true" t="shared" si="1" ref="C50:C60">+B50*0.5</f>
        <v>0.9</v>
      </c>
    </row>
    <row r="51" spans="1:3" ht="15.75">
      <c r="A51" s="19" t="s">
        <v>105</v>
      </c>
      <c r="B51" s="24">
        <v>2.8</v>
      </c>
      <c r="C51" s="24">
        <f t="shared" si="1"/>
        <v>1.4</v>
      </c>
    </row>
    <row r="52" spans="1:3" ht="15.75">
      <c r="A52" s="19" t="s">
        <v>106</v>
      </c>
      <c r="B52" s="24">
        <v>2.8</v>
      </c>
      <c r="C52" s="24">
        <f t="shared" si="1"/>
        <v>1.4</v>
      </c>
    </row>
    <row r="53" spans="1:3" ht="15.75">
      <c r="A53" s="19" t="s">
        <v>107</v>
      </c>
      <c r="B53" s="24">
        <v>3</v>
      </c>
      <c r="C53" s="24">
        <f t="shared" si="1"/>
        <v>1.5</v>
      </c>
    </row>
    <row r="54" spans="1:8" ht="15.75">
      <c r="A54" s="18" t="s">
        <v>108</v>
      </c>
      <c r="B54" s="24">
        <v>2</v>
      </c>
      <c r="C54" s="24">
        <f t="shared" si="1"/>
        <v>1</v>
      </c>
      <c r="H54" s="2"/>
    </row>
    <row r="55" spans="1:3" ht="15.75">
      <c r="A55" s="18" t="s">
        <v>109</v>
      </c>
      <c r="B55" s="24">
        <v>2.5</v>
      </c>
      <c r="C55" s="24">
        <f t="shared" si="1"/>
        <v>1.25</v>
      </c>
    </row>
    <row r="56" spans="1:3" ht="15.75">
      <c r="A56" s="18" t="s">
        <v>110</v>
      </c>
      <c r="B56" s="24">
        <v>2.5</v>
      </c>
      <c r="C56" s="24">
        <f t="shared" si="1"/>
        <v>1.25</v>
      </c>
    </row>
    <row r="57" spans="1:3" ht="15.75">
      <c r="A57" s="18" t="s">
        <v>111</v>
      </c>
      <c r="B57" s="24">
        <v>2.5</v>
      </c>
      <c r="C57" s="24">
        <f t="shared" si="1"/>
        <v>1.25</v>
      </c>
    </row>
    <row r="58" spans="1:3" ht="15.75">
      <c r="A58" s="18" t="s">
        <v>112</v>
      </c>
      <c r="B58" s="24">
        <v>2.6</v>
      </c>
      <c r="C58" s="24">
        <f t="shared" si="1"/>
        <v>1.3</v>
      </c>
    </row>
    <row r="59" spans="1:3" ht="15.75">
      <c r="A59" s="18" t="s">
        <v>113</v>
      </c>
      <c r="B59" s="24">
        <v>2.7</v>
      </c>
      <c r="C59" s="24">
        <f t="shared" si="1"/>
        <v>1.35</v>
      </c>
    </row>
    <row r="60" spans="1:13" ht="16.5" thickBot="1">
      <c r="A60" s="32" t="s">
        <v>114</v>
      </c>
      <c r="B60" s="29">
        <v>2.9</v>
      </c>
      <c r="C60" s="29">
        <f t="shared" si="1"/>
        <v>1.45</v>
      </c>
      <c r="E60" s="201"/>
      <c r="F60" s="201"/>
      <c r="G60" s="201"/>
      <c r="H60" s="201"/>
      <c r="I60" s="201"/>
      <c r="J60" s="201"/>
      <c r="K60" s="201"/>
      <c r="L60" s="201"/>
      <c r="M60" s="201"/>
    </row>
    <row r="61" ht="15.75">
      <c r="A61" s="2"/>
    </row>
    <row r="62" ht="15.75">
      <c r="A62" s="1"/>
    </row>
    <row r="63" ht="20.25">
      <c r="A63" s="222" t="s">
        <v>206</v>
      </c>
    </row>
    <row r="64" ht="16.5" thickBot="1">
      <c r="A64" s="2"/>
    </row>
    <row r="65" spans="2:11" ht="18.75" thickBot="1">
      <c r="B65" s="348" t="s">
        <v>144</v>
      </c>
      <c r="C65" s="349"/>
      <c r="D65" s="349"/>
      <c r="E65" s="349"/>
      <c r="F65" s="349"/>
      <c r="G65" s="349"/>
      <c r="H65" s="349"/>
      <c r="I65" s="349"/>
      <c r="J65" s="349"/>
      <c r="K65" s="350"/>
    </row>
    <row r="66" spans="1:11" ht="18.75" thickBot="1">
      <c r="A66" s="214" t="s">
        <v>204</v>
      </c>
      <c r="B66" s="208">
        <v>1</v>
      </c>
      <c r="C66" s="208">
        <v>2</v>
      </c>
      <c r="D66" s="208">
        <v>3</v>
      </c>
      <c r="E66" s="208">
        <v>4</v>
      </c>
      <c r="F66" s="208">
        <v>5</v>
      </c>
      <c r="G66" s="208">
        <v>6</v>
      </c>
      <c r="H66" s="208">
        <v>7</v>
      </c>
      <c r="I66" s="208">
        <v>8</v>
      </c>
      <c r="J66" s="208">
        <v>9</v>
      </c>
      <c r="K66" s="209">
        <v>10</v>
      </c>
    </row>
    <row r="67" spans="1:11" ht="16.5" thickBot="1">
      <c r="A67" s="224" t="s">
        <v>70</v>
      </c>
      <c r="B67" s="215">
        <f>(SUM(C7:C20))/14</f>
        <v>1.0446428571428572</v>
      </c>
      <c r="C67" s="212">
        <f>B67*1.0497</f>
        <v>1.0965616071428572</v>
      </c>
      <c r="D67" s="212">
        <f aca="true" t="shared" si="2" ref="D67:K67">C67*1.0497</f>
        <v>1.1510607190178572</v>
      </c>
      <c r="E67" s="212">
        <f t="shared" si="2"/>
        <v>1.2082684367530447</v>
      </c>
      <c r="F67" s="212">
        <f t="shared" si="2"/>
        <v>1.268319378059671</v>
      </c>
      <c r="G67" s="212">
        <f t="shared" si="2"/>
        <v>1.3313548511492368</v>
      </c>
      <c r="H67" s="212">
        <f t="shared" si="2"/>
        <v>1.397523187251354</v>
      </c>
      <c r="I67" s="212">
        <f t="shared" si="2"/>
        <v>1.4669800896577465</v>
      </c>
      <c r="J67" s="212">
        <f t="shared" si="2"/>
        <v>1.5398890001137366</v>
      </c>
      <c r="K67" s="212">
        <f t="shared" si="2"/>
        <v>1.6164214834193895</v>
      </c>
    </row>
    <row r="68" spans="1:11" ht="15.75">
      <c r="A68" s="223" t="s">
        <v>97</v>
      </c>
      <c r="B68" s="216">
        <f>(SUM(C25:C36))/12</f>
        <v>1.9058333333333335</v>
      </c>
      <c r="C68" s="211">
        <f>B68*1.0497</f>
        <v>2.0005532500000003</v>
      </c>
      <c r="D68" s="211">
        <f aca="true" t="shared" si="3" ref="D68:K68">C68*1.0497</f>
        <v>2.0999807465250004</v>
      </c>
      <c r="E68" s="211">
        <f t="shared" si="3"/>
        <v>2.204349789627293</v>
      </c>
      <c r="F68" s="211">
        <f t="shared" si="3"/>
        <v>2.3139059741717696</v>
      </c>
      <c r="G68" s="211">
        <f t="shared" si="3"/>
        <v>2.428907101088107</v>
      </c>
      <c r="H68" s="211">
        <f t="shared" si="3"/>
        <v>2.549623784012186</v>
      </c>
      <c r="I68" s="211">
        <f t="shared" si="3"/>
        <v>2.6763400860775914</v>
      </c>
      <c r="J68" s="211">
        <f t="shared" si="3"/>
        <v>2.809354188355648</v>
      </c>
      <c r="K68" s="211">
        <f t="shared" si="3"/>
        <v>2.948979091516924</v>
      </c>
    </row>
    <row r="69" spans="1:11" ht="15.75">
      <c r="A69" s="18" t="s">
        <v>157</v>
      </c>
      <c r="B69" s="216">
        <f>(SUM(C41:C44))/4</f>
        <v>1.3625</v>
      </c>
      <c r="C69" s="211">
        <f>B69*1.0497</f>
        <v>1.4302162500000002</v>
      </c>
      <c r="D69" s="211">
        <f aca="true" t="shared" si="4" ref="D69:K69">C69*1.0497</f>
        <v>1.5012979976250003</v>
      </c>
      <c r="E69" s="211">
        <f t="shared" si="4"/>
        <v>1.575912508106963</v>
      </c>
      <c r="F69" s="211">
        <f t="shared" si="4"/>
        <v>1.6542353597598791</v>
      </c>
      <c r="G69" s="211">
        <f t="shared" si="4"/>
        <v>1.7364508571399453</v>
      </c>
      <c r="H69" s="211">
        <f t="shared" si="4"/>
        <v>1.8227524647398008</v>
      </c>
      <c r="I69" s="211">
        <f t="shared" si="4"/>
        <v>1.913343262237369</v>
      </c>
      <c r="J69" s="211">
        <f t="shared" si="4"/>
        <v>2.008436422370566</v>
      </c>
      <c r="K69" s="211">
        <f t="shared" si="4"/>
        <v>2.1082557125623835</v>
      </c>
    </row>
    <row r="70" spans="1:11" ht="16.5" thickBot="1">
      <c r="A70" s="32" t="s">
        <v>115</v>
      </c>
      <c r="B70" s="217">
        <f>(SUM(C49:C60))/12</f>
        <v>1.2229166666666667</v>
      </c>
      <c r="C70" s="213">
        <f>B70*1.0497</f>
        <v>1.283695625</v>
      </c>
      <c r="D70" s="213">
        <f aca="true" t="shared" si="5" ref="D70:K70">C70*1.0497</f>
        <v>1.3474952975625</v>
      </c>
      <c r="E70" s="213">
        <f t="shared" si="5"/>
        <v>1.4144658138513564</v>
      </c>
      <c r="F70" s="213">
        <f t="shared" si="5"/>
        <v>1.4847647647997688</v>
      </c>
      <c r="G70" s="213">
        <f t="shared" si="5"/>
        <v>1.5585575736103174</v>
      </c>
      <c r="H70" s="213">
        <f t="shared" si="5"/>
        <v>1.6360178850187503</v>
      </c>
      <c r="I70" s="213">
        <f t="shared" si="5"/>
        <v>1.7173279739041825</v>
      </c>
      <c r="J70" s="213">
        <f t="shared" si="5"/>
        <v>1.8026791742072206</v>
      </c>
      <c r="K70" s="213">
        <f t="shared" si="5"/>
        <v>1.8922723291653196</v>
      </c>
    </row>
    <row r="71" spans="1:11" ht="15.75">
      <c r="A71" s="15"/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ht="18.75">
      <c r="A72" s="3"/>
    </row>
    <row r="73" ht="16.5" thickBot="1">
      <c r="A73" s="30"/>
    </row>
    <row r="74" spans="2:11" ht="18.75" thickBot="1">
      <c r="B74" s="348" t="s">
        <v>144</v>
      </c>
      <c r="C74" s="349"/>
      <c r="D74" s="349"/>
      <c r="E74" s="349"/>
      <c r="F74" s="349"/>
      <c r="G74" s="349"/>
      <c r="H74" s="349"/>
      <c r="I74" s="349"/>
      <c r="J74" s="349"/>
      <c r="K74" s="350"/>
    </row>
    <row r="75" spans="1:11" ht="18.75" thickBot="1">
      <c r="A75" s="214" t="s">
        <v>205</v>
      </c>
      <c r="B75" s="208">
        <v>1</v>
      </c>
      <c r="C75" s="208">
        <v>2</v>
      </c>
      <c r="D75" s="208">
        <v>3</v>
      </c>
      <c r="E75" s="208">
        <v>4</v>
      </c>
      <c r="F75" s="208">
        <v>5</v>
      </c>
      <c r="G75" s="208">
        <v>6</v>
      </c>
      <c r="H75" s="208">
        <v>7</v>
      </c>
      <c r="I75" s="208">
        <v>8</v>
      </c>
      <c r="J75" s="208">
        <v>9</v>
      </c>
      <c r="K75" s="209">
        <v>10</v>
      </c>
    </row>
    <row r="76" spans="1:11" ht="15.75">
      <c r="A76" s="17" t="s">
        <v>70</v>
      </c>
      <c r="B76" s="215">
        <f>(SUM(B7:B20))/14</f>
        <v>2.0892857142857144</v>
      </c>
      <c r="C76" s="212">
        <f>B76*1.0497</f>
        <v>2.1931232142857144</v>
      </c>
      <c r="D76" s="212">
        <f aca="true" t="shared" si="6" ref="D76:K76">C76*1.0497</f>
        <v>2.3021214380357145</v>
      </c>
      <c r="E76" s="212">
        <f t="shared" si="6"/>
        <v>2.4165368735060895</v>
      </c>
      <c r="F76" s="212">
        <f t="shared" si="6"/>
        <v>2.536638756119342</v>
      </c>
      <c r="G76" s="212">
        <f t="shared" si="6"/>
        <v>2.6627097022984736</v>
      </c>
      <c r="H76" s="212">
        <f t="shared" si="6"/>
        <v>2.795046374502708</v>
      </c>
      <c r="I76" s="212">
        <f t="shared" si="6"/>
        <v>2.933960179315493</v>
      </c>
      <c r="J76" s="212">
        <f t="shared" si="6"/>
        <v>3.0797780002274733</v>
      </c>
      <c r="K76" s="212">
        <f t="shared" si="6"/>
        <v>3.232842966838779</v>
      </c>
    </row>
    <row r="77" spans="1:11" ht="15.75">
      <c r="A77" s="18" t="s">
        <v>97</v>
      </c>
      <c r="B77" s="216">
        <f>(SUM(B25:B36))/12</f>
        <v>2.125</v>
      </c>
      <c r="C77" s="211">
        <f>B77*1.0497</f>
        <v>2.2306125000000003</v>
      </c>
      <c r="D77" s="211">
        <f aca="true" t="shared" si="7" ref="D77:K77">C77*1.0497</f>
        <v>2.3414739412500003</v>
      </c>
      <c r="E77" s="211">
        <f t="shared" si="7"/>
        <v>2.4578451961301253</v>
      </c>
      <c r="F77" s="211">
        <f t="shared" si="7"/>
        <v>2.5800001023777925</v>
      </c>
      <c r="G77" s="211">
        <f t="shared" si="7"/>
        <v>2.708226107465969</v>
      </c>
      <c r="H77" s="211">
        <f t="shared" si="7"/>
        <v>2.8428249450070275</v>
      </c>
      <c r="I77" s="211">
        <f t="shared" si="7"/>
        <v>2.9841133447738772</v>
      </c>
      <c r="J77" s="211">
        <f t="shared" si="7"/>
        <v>3.132423778009139</v>
      </c>
      <c r="K77" s="211">
        <f t="shared" si="7"/>
        <v>3.2881052397761934</v>
      </c>
    </row>
    <row r="78" spans="1:11" ht="15.75">
      <c r="A78" s="18" t="s">
        <v>157</v>
      </c>
      <c r="B78" s="216">
        <f>(SUM(B41:B44))/4</f>
        <v>2.725</v>
      </c>
      <c r="C78" s="211">
        <f>B78*1.0497</f>
        <v>2.8604325000000004</v>
      </c>
      <c r="D78" s="211">
        <f aca="true" t="shared" si="8" ref="D78:K78">C78*1.0497</f>
        <v>3.0025959952500005</v>
      </c>
      <c r="E78" s="211">
        <f t="shared" si="8"/>
        <v>3.151825016213926</v>
      </c>
      <c r="F78" s="211">
        <f t="shared" si="8"/>
        <v>3.3084707195197582</v>
      </c>
      <c r="G78" s="211">
        <f t="shared" si="8"/>
        <v>3.4729017142798906</v>
      </c>
      <c r="H78" s="211">
        <f t="shared" si="8"/>
        <v>3.6455049294796016</v>
      </c>
      <c r="I78" s="211">
        <f t="shared" si="8"/>
        <v>3.826686524474738</v>
      </c>
      <c r="J78" s="211">
        <f t="shared" si="8"/>
        <v>4.016872844741132</v>
      </c>
      <c r="K78" s="211">
        <f t="shared" si="8"/>
        <v>4.216511425124767</v>
      </c>
    </row>
    <row r="79" spans="1:11" ht="16.5" thickBot="1">
      <c r="A79" s="32" t="s">
        <v>115</v>
      </c>
      <c r="B79" s="217">
        <f>(SUM(B49:B60))/12</f>
        <v>2.4458333333333333</v>
      </c>
      <c r="C79" s="213">
        <f>B79*1.0497</f>
        <v>2.56739125</v>
      </c>
      <c r="D79" s="213">
        <f aca="true" t="shared" si="9" ref="D79:K79">C79*1.0497</f>
        <v>2.694990595125</v>
      </c>
      <c r="E79" s="213">
        <f t="shared" si="9"/>
        <v>2.828931627702713</v>
      </c>
      <c r="F79" s="213">
        <f t="shared" si="9"/>
        <v>2.9695295295995376</v>
      </c>
      <c r="G79" s="213">
        <f t="shared" si="9"/>
        <v>3.117115147220635</v>
      </c>
      <c r="H79" s="213">
        <f t="shared" si="9"/>
        <v>3.2720357700375007</v>
      </c>
      <c r="I79" s="213">
        <f t="shared" si="9"/>
        <v>3.434655947808365</v>
      </c>
      <c r="J79" s="213">
        <f t="shared" si="9"/>
        <v>3.605358348414441</v>
      </c>
      <c r="K79" s="213">
        <f t="shared" si="9"/>
        <v>3.7845446583306392</v>
      </c>
    </row>
    <row r="80" ht="15.75">
      <c r="A80" s="30"/>
    </row>
    <row r="81" spans="1:11" ht="15.75">
      <c r="A81" s="30" t="s">
        <v>207</v>
      </c>
      <c r="B81" s="225">
        <v>5</v>
      </c>
      <c r="C81" s="225">
        <f>B81*1.0497</f>
        <v>5.2485</v>
      </c>
      <c r="D81" s="225">
        <f aca="true" t="shared" si="10" ref="D81:K81">C81*1.0329</f>
        <v>5.4211756499999995</v>
      </c>
      <c r="E81" s="225">
        <f t="shared" si="10"/>
        <v>5.599532328884999</v>
      </c>
      <c r="F81" s="225">
        <f t="shared" si="10"/>
        <v>5.783756942505315</v>
      </c>
      <c r="G81" s="225">
        <f t="shared" si="10"/>
        <v>5.97404254591374</v>
      </c>
      <c r="H81" s="225">
        <f t="shared" si="10"/>
        <v>6.170588545674302</v>
      </c>
      <c r="I81" s="225">
        <f t="shared" si="10"/>
        <v>6.373600908826986</v>
      </c>
      <c r="J81" s="225">
        <f t="shared" si="10"/>
        <v>6.583292378727394</v>
      </c>
      <c r="K81" s="225">
        <f t="shared" si="10"/>
        <v>6.799882697987524</v>
      </c>
    </row>
    <row r="82" ht="15.75">
      <c r="A82" s="14"/>
    </row>
    <row r="83" ht="15.75">
      <c r="A83" s="15"/>
    </row>
    <row r="84" ht="20.25">
      <c r="A84" s="222"/>
    </row>
    <row r="85" ht="15.75">
      <c r="A85" s="30"/>
    </row>
    <row r="86" ht="15.75">
      <c r="A86" s="30"/>
    </row>
    <row r="87" ht="15.75">
      <c r="A87" s="14"/>
    </row>
    <row r="88" ht="15.75">
      <c r="A88" s="15"/>
    </row>
    <row r="89" ht="18.75">
      <c r="A89" s="3"/>
    </row>
    <row r="90" ht="18.75">
      <c r="A90" s="3"/>
    </row>
    <row r="91" ht="15.75">
      <c r="A91" s="30"/>
    </row>
    <row r="92" ht="15.75">
      <c r="A92" s="30"/>
    </row>
    <row r="93" ht="15.75">
      <c r="A93" s="14"/>
    </row>
    <row r="94" ht="15.75">
      <c r="A94" s="15"/>
    </row>
    <row r="95" ht="18.75">
      <c r="A95" s="3"/>
    </row>
    <row r="96" ht="15.75">
      <c r="A96" s="30"/>
    </row>
    <row r="97" ht="15.75">
      <c r="A97" s="30"/>
    </row>
    <row r="98" ht="15.75">
      <c r="A98" s="14"/>
    </row>
    <row r="99" ht="15.75">
      <c r="A99" s="15"/>
    </row>
    <row r="100" ht="18.75">
      <c r="A100" s="3"/>
    </row>
    <row r="101" spans="1:2" ht="15.75">
      <c r="A101" s="30"/>
      <c r="B101" s="351"/>
    </row>
    <row r="102" spans="1:2" ht="15.75">
      <c r="A102" s="30"/>
      <c r="B102" s="351"/>
    </row>
    <row r="103" spans="1:2" ht="15.75">
      <c r="A103" s="14"/>
      <c r="B103" s="351"/>
    </row>
    <row r="104" spans="1:2" ht="15.75">
      <c r="A104" s="15"/>
      <c r="B104" s="351"/>
    </row>
  </sheetData>
  <sheetProtection/>
  <mergeCells count="3">
    <mergeCell ref="B65:K65"/>
    <mergeCell ref="B74:K74"/>
    <mergeCell ref="B101:B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Diseño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jakabelo</cp:lastModifiedBy>
  <dcterms:created xsi:type="dcterms:W3CDTF">2009-08-22T22:35:06Z</dcterms:created>
  <dcterms:modified xsi:type="dcterms:W3CDTF">2010-02-23T13:23:19Z</dcterms:modified>
  <cp:category/>
  <cp:version/>
  <cp:contentType/>
  <cp:contentStatus/>
</cp:coreProperties>
</file>