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95" windowHeight="7935" tabRatio="748"/>
  </bookViews>
  <sheets>
    <sheet name="analisis de sensibilidad" sheetId="10" r:id="rId1"/>
    <sheet name="Demanada Esperada " sheetId="3" r:id="rId2"/>
    <sheet name="Flujo de caja" sheetId="9" r:id="rId3"/>
    <sheet name="Costos Variables" sheetId="1" r:id="rId4"/>
    <sheet name="Inversion y Capacidad" sheetId="2" r:id="rId5"/>
    <sheet name="Ingresos Esperados" sheetId="6" r:id="rId6"/>
    <sheet name="Costos Fijos" sheetId="4" r:id="rId7"/>
    <sheet name="Costos totales" sheetId="5" r:id="rId8"/>
    <sheet name="Capital de Trabajo" sheetId="7" r:id="rId9"/>
    <sheet name="Valor de Desecho" sheetId="8" r:id="rId10"/>
  </sheets>
  <calcPr calcId="125725"/>
</workbook>
</file>

<file path=xl/calcChain.xml><?xml version="1.0" encoding="utf-8"?>
<calcChain xmlns="http://schemas.openxmlformats.org/spreadsheetml/2006/main">
  <c r="B34" i="10"/>
  <c r="B70"/>
  <c r="C68"/>
  <c r="B68"/>
  <c r="C51"/>
  <c r="B51"/>
  <c r="B15"/>
  <c r="B63"/>
  <c r="B64"/>
  <c r="B65"/>
  <c r="A12" i="3"/>
  <c r="B9" i="2"/>
  <c r="D9" i="8"/>
  <c r="B31" i="10"/>
  <c r="D6" i="1"/>
  <c r="D48" i="10"/>
  <c r="D47"/>
  <c r="D46"/>
  <c r="D45"/>
  <c r="D44"/>
  <c r="D2" i="9"/>
  <c r="C7" i="2"/>
  <c r="C6"/>
  <c r="D63" i="10"/>
  <c r="D64"/>
  <c r="D65"/>
  <c r="D66"/>
  <c r="D58"/>
  <c r="D59"/>
  <c r="D60"/>
  <c r="D61"/>
  <c r="D62"/>
  <c r="B66"/>
  <c r="B58"/>
  <c r="B59"/>
  <c r="B60"/>
  <c r="B61"/>
  <c r="B46"/>
  <c r="B47"/>
  <c r="B48"/>
  <c r="B45"/>
  <c r="B40"/>
  <c r="B41"/>
  <c r="B42"/>
  <c r="B43"/>
  <c r="D28"/>
  <c r="D23"/>
  <c r="D24"/>
  <c r="D25"/>
  <c r="D26"/>
  <c r="D29"/>
  <c r="D30"/>
  <c r="D31"/>
  <c r="D27"/>
  <c r="D53" i="1"/>
  <c r="D52"/>
  <c r="D51"/>
  <c r="D50"/>
  <c r="D49"/>
  <c r="D48"/>
  <c r="D47"/>
  <c r="D46"/>
  <c r="D45"/>
  <c r="D44"/>
  <c r="D43"/>
  <c r="D42"/>
  <c r="J35"/>
  <c r="J34"/>
  <c r="J33"/>
  <c r="J32"/>
  <c r="J31"/>
  <c r="J30"/>
  <c r="J29"/>
  <c r="J28"/>
  <c r="J27"/>
  <c r="J26"/>
  <c r="J25"/>
  <c r="J24"/>
  <c r="D35"/>
  <c r="D34"/>
  <c r="D33"/>
  <c r="D32"/>
  <c r="D31"/>
  <c r="D30"/>
  <c r="D29"/>
  <c r="D28"/>
  <c r="D27"/>
  <c r="D26"/>
  <c r="D25"/>
  <c r="D24"/>
  <c r="J16"/>
  <c r="J15"/>
  <c r="J14"/>
  <c r="J13"/>
  <c r="J12"/>
  <c r="J11"/>
  <c r="J10"/>
  <c r="J9"/>
  <c r="J8"/>
  <c r="J7"/>
  <c r="J6"/>
  <c r="J5"/>
  <c r="D16"/>
  <c r="D15"/>
  <c r="D14"/>
  <c r="D13"/>
  <c r="D12"/>
  <c r="D11"/>
  <c r="D10"/>
  <c r="D9"/>
  <c r="D8"/>
  <c r="D7"/>
  <c r="B13" i="10"/>
  <c r="D13"/>
  <c r="D9"/>
  <c r="D10"/>
  <c r="D11"/>
  <c r="D12"/>
  <c r="D5"/>
  <c r="D6"/>
  <c r="D7"/>
  <c r="D8"/>
  <c r="B5"/>
  <c r="B6"/>
  <c r="B7"/>
  <c r="B8"/>
  <c r="B11"/>
  <c r="B12"/>
  <c r="B10"/>
  <c r="H11" i="3"/>
  <c r="B6" i="6"/>
  <c r="B7" s="1"/>
  <c r="B8" s="1"/>
  <c r="B9" s="1"/>
  <c r="B10" s="1"/>
  <c r="B11" s="1"/>
  <c r="B12" s="1"/>
  <c r="B13" s="1"/>
  <c r="B14" s="1"/>
  <c r="B15" s="1"/>
  <c r="B16" s="1"/>
  <c r="G5" s="1"/>
  <c r="G6" s="1"/>
  <c r="G7" s="1"/>
  <c r="G8" s="1"/>
  <c r="G9" s="1"/>
  <c r="G10" s="1"/>
  <c r="G11" s="1"/>
  <c r="G12" s="1"/>
  <c r="G13" s="1"/>
  <c r="G14" s="1"/>
  <c r="G15" s="1"/>
  <c r="G16" s="1"/>
  <c r="B22" s="1"/>
  <c r="B23" s="1"/>
  <c r="B24" s="1"/>
  <c r="B25" s="1"/>
  <c r="B26" s="1"/>
  <c r="B27" s="1"/>
  <c r="B28" s="1"/>
  <c r="B29" s="1"/>
  <c r="B30" s="1"/>
  <c r="B31" s="1"/>
  <c r="B32" s="1"/>
  <c r="B33" s="1"/>
  <c r="G22" s="1"/>
  <c r="G23" s="1"/>
  <c r="G24" s="1"/>
  <c r="G25" s="1"/>
  <c r="G26" s="1"/>
  <c r="G27" s="1"/>
  <c r="G28" s="1"/>
  <c r="G29" s="1"/>
  <c r="G30" s="1"/>
  <c r="G31" s="1"/>
  <c r="G32" s="1"/>
  <c r="G33" s="1"/>
  <c r="B39" s="1"/>
  <c r="B40" s="1"/>
  <c r="B41" s="1"/>
  <c r="B42" s="1"/>
  <c r="B43" s="1"/>
  <c r="B44" s="1"/>
  <c r="B45" s="1"/>
  <c r="B46" s="1"/>
  <c r="B47" s="1"/>
  <c r="B48" s="1"/>
  <c r="B49" s="1"/>
  <c r="B50" s="1"/>
  <c r="E25" i="4"/>
  <c r="N14" i="9"/>
  <c r="O14"/>
  <c r="P14"/>
  <c r="O28"/>
  <c r="F6" i="3"/>
  <c r="F33"/>
  <c r="F32"/>
  <c r="F31"/>
  <c r="F30"/>
  <c r="F27"/>
  <c r="F26"/>
  <c r="F25"/>
  <c r="F24"/>
  <c r="F21"/>
  <c r="F20"/>
  <c r="F19"/>
  <c r="F18"/>
  <c r="F15"/>
  <c r="F14"/>
  <c r="F13"/>
  <c r="F12"/>
  <c r="B10"/>
  <c r="F7"/>
  <c r="F8"/>
  <c r="F9"/>
  <c r="C7"/>
  <c r="G7" s="1"/>
  <c r="C8"/>
  <c r="G8" s="1"/>
  <c r="C9"/>
  <c r="G9" s="1"/>
  <c r="C6"/>
  <c r="G6" s="1"/>
  <c r="G10" s="1"/>
  <c r="K23" i="9"/>
  <c r="I6" i="3" l="1"/>
  <c r="J6" s="1"/>
  <c r="L6" s="1"/>
  <c r="C10"/>
  <c r="L14" i="9"/>
  <c r="M14"/>
  <c r="D41" i="4"/>
  <c r="C41"/>
  <c r="B17" i="8"/>
  <c r="G5"/>
  <c r="G6"/>
  <c r="G7"/>
  <c r="G4"/>
  <c r="F5"/>
  <c r="F6"/>
  <c r="F7"/>
  <c r="F4"/>
  <c r="D5"/>
  <c r="D6"/>
  <c r="D7"/>
  <c r="D4"/>
  <c r="D8"/>
  <c r="C35" i="4"/>
  <c r="B43" i="1"/>
  <c r="B44"/>
  <c r="B45"/>
  <c r="B46"/>
  <c r="B47"/>
  <c r="B48"/>
  <c r="B49"/>
  <c r="B50"/>
  <c r="B51"/>
  <c r="B52"/>
  <c r="B53"/>
  <c r="B42"/>
  <c r="H25"/>
  <c r="H26"/>
  <c r="H27"/>
  <c r="H28"/>
  <c r="H29"/>
  <c r="H30"/>
  <c r="H31"/>
  <c r="H32"/>
  <c r="H33"/>
  <c r="H34"/>
  <c r="H35"/>
  <c r="H24"/>
  <c r="B25"/>
  <c r="B26"/>
  <c r="B27"/>
  <c r="B28"/>
  <c r="B29"/>
  <c r="B30"/>
  <c r="B31"/>
  <c r="B32"/>
  <c r="B33"/>
  <c r="B34"/>
  <c r="B35"/>
  <c r="B24"/>
  <c r="H6"/>
  <c r="H7"/>
  <c r="H8"/>
  <c r="H9"/>
  <c r="H10"/>
  <c r="H11"/>
  <c r="H12"/>
  <c r="H13"/>
  <c r="H14"/>
  <c r="H15"/>
  <c r="H16"/>
  <c r="H5"/>
  <c r="B6"/>
  <c r="B7"/>
  <c r="B8"/>
  <c r="B9"/>
  <c r="B10"/>
  <c r="B11"/>
  <c r="B12"/>
  <c r="B13"/>
  <c r="B14"/>
  <c r="B15"/>
  <c r="B16"/>
  <c r="B5"/>
  <c r="N56" i="3"/>
  <c r="B72"/>
  <c r="E8" i="4"/>
  <c r="E12"/>
  <c r="F8"/>
  <c r="F9"/>
  <c r="F10"/>
  <c r="F12"/>
  <c r="E15"/>
  <c r="F15" s="1"/>
  <c r="E9"/>
  <c r="E10"/>
  <c r="E11"/>
  <c r="F11" s="1"/>
  <c r="E13"/>
  <c r="F13" s="1"/>
  <c r="E14"/>
  <c r="F14" s="1"/>
  <c r="E7"/>
  <c r="E16" s="1"/>
  <c r="C39" s="1"/>
  <c r="B27"/>
  <c r="C40" s="1"/>
  <c r="E20"/>
  <c r="M7" i="9" s="1"/>
  <c r="E21" i="4"/>
  <c r="M8" i="9" s="1"/>
  <c r="E23" i="4"/>
  <c r="M10" i="9" s="1"/>
  <c r="E24" i="4"/>
  <c r="M11" i="9" s="1"/>
  <c r="M12"/>
  <c r="E26" i="4"/>
  <c r="M13" i="9" s="1"/>
  <c r="E22" i="4"/>
  <c r="M9" i="9" s="1"/>
  <c r="B18" i="1"/>
  <c r="C22" i="2"/>
  <c r="D22" s="1"/>
  <c r="E22" s="1"/>
  <c r="C19"/>
  <c r="D19" s="1"/>
  <c r="E19" s="1"/>
  <c r="C16"/>
  <c r="D16" s="1"/>
  <c r="E16" s="1"/>
  <c r="C21"/>
  <c r="D21" s="1"/>
  <c r="E21" s="1"/>
  <c r="C18"/>
  <c r="D18" s="1"/>
  <c r="E18" s="1"/>
  <c r="C15"/>
  <c r="D15" s="1"/>
  <c r="E15" s="1"/>
  <c r="R72" i="3"/>
  <c r="N72"/>
  <c r="B56"/>
  <c r="C4" i="2"/>
  <c r="B55" i="1"/>
  <c r="H37"/>
  <c r="B37"/>
  <c r="H18"/>
  <c r="C45" i="3" l="1"/>
  <c r="C6" i="1" s="1"/>
  <c r="E6" s="1"/>
  <c r="B15" i="5" s="1"/>
  <c r="C46" i="3"/>
  <c r="C47"/>
  <c r="C48"/>
  <c r="C49"/>
  <c r="C50"/>
  <c r="C51"/>
  <c r="C52"/>
  <c r="C53"/>
  <c r="C54"/>
  <c r="C55"/>
  <c r="C44"/>
  <c r="C5" i="6" s="1"/>
  <c r="M21" i="9"/>
  <c r="N21"/>
  <c r="O21"/>
  <c r="P21"/>
  <c r="L21"/>
  <c r="M17"/>
  <c r="N17"/>
  <c r="O17"/>
  <c r="P17"/>
  <c r="L17"/>
  <c r="F8" i="8"/>
  <c r="G8" s="1"/>
  <c r="G9" s="1"/>
  <c r="P26" i="9" s="1"/>
  <c r="L13"/>
  <c r="P13"/>
  <c r="O13"/>
  <c r="N13"/>
  <c r="L12"/>
  <c r="P12"/>
  <c r="O12"/>
  <c r="N12"/>
  <c r="L11"/>
  <c r="P11"/>
  <c r="O11"/>
  <c r="N11"/>
  <c r="L10"/>
  <c r="P10"/>
  <c r="O10"/>
  <c r="N10"/>
  <c r="L8"/>
  <c r="P8"/>
  <c r="O8"/>
  <c r="N8"/>
  <c r="L9"/>
  <c r="P9"/>
  <c r="O9"/>
  <c r="N9"/>
  <c r="L7"/>
  <c r="P7"/>
  <c r="O7"/>
  <c r="N7"/>
  <c r="C13" i="3"/>
  <c r="G13" s="1"/>
  <c r="C14"/>
  <c r="G14" s="1"/>
  <c r="C15"/>
  <c r="G15" s="1"/>
  <c r="C12"/>
  <c r="G12" s="1"/>
  <c r="G16" s="1"/>
  <c r="I12" s="1"/>
  <c r="J12" s="1"/>
  <c r="L12" s="1"/>
  <c r="D5" i="6"/>
  <c r="E25" i="7" s="1"/>
  <c r="C6" i="6"/>
  <c r="D6" s="1"/>
  <c r="F25" i="7" s="1"/>
  <c r="E26"/>
  <c r="E29" s="1"/>
  <c r="E34" s="1"/>
  <c r="F26"/>
  <c r="F27"/>
  <c r="G27"/>
  <c r="G28"/>
  <c r="H28"/>
  <c r="A18" i="3"/>
  <c r="C42" i="4"/>
  <c r="F7"/>
  <c r="F16"/>
  <c r="E27"/>
  <c r="D40" s="1"/>
  <c r="I5" i="1"/>
  <c r="I16"/>
  <c r="I15"/>
  <c r="I14"/>
  <c r="I13"/>
  <c r="I12"/>
  <c r="I11"/>
  <c r="I10"/>
  <c r="I9"/>
  <c r="I8"/>
  <c r="I7"/>
  <c r="C5" i="2"/>
  <c r="C9" s="1"/>
  <c r="K5" i="1"/>
  <c r="B30" i="5" s="1"/>
  <c r="K7" i="1"/>
  <c r="B32" i="5" s="1"/>
  <c r="K8" i="1"/>
  <c r="B33" i="5" s="1"/>
  <c r="K9" i="1"/>
  <c r="B34" i="5" s="1"/>
  <c r="K10" i="1"/>
  <c r="B35" i="5" s="1"/>
  <c r="K11" i="1"/>
  <c r="B36" i="5" s="1"/>
  <c r="K12" i="1"/>
  <c r="B37" i="5" s="1"/>
  <c r="K13" i="1"/>
  <c r="B38" i="5" s="1"/>
  <c r="K14" i="1"/>
  <c r="B39" i="5" s="1"/>
  <c r="K15" i="1"/>
  <c r="B40" i="5" s="1"/>
  <c r="K16" i="1"/>
  <c r="B41" i="5" s="1"/>
  <c r="D39" i="4" l="1"/>
  <c r="M6" i="9"/>
  <c r="N6"/>
  <c r="O6"/>
  <c r="P6"/>
  <c r="L6"/>
  <c r="D42" i="4"/>
  <c r="D6" i="5"/>
  <c r="E6"/>
  <c r="F6"/>
  <c r="B6"/>
  <c r="C19" i="3"/>
  <c r="G19" s="1"/>
  <c r="C20"/>
  <c r="G20" s="1"/>
  <c r="C21"/>
  <c r="G21" s="1"/>
  <c r="C18"/>
  <c r="G18" s="1"/>
  <c r="G22" s="1"/>
  <c r="I18" s="1"/>
  <c r="J18" s="1"/>
  <c r="L18" s="1"/>
  <c r="C7" i="1"/>
  <c r="E7" s="1"/>
  <c r="B16" i="5" s="1"/>
  <c r="C7" i="6"/>
  <c r="D7" s="1"/>
  <c r="C8" i="1"/>
  <c r="E8" s="1"/>
  <c r="B17" i="5" s="1"/>
  <c r="C8" i="6"/>
  <c r="D8" s="1"/>
  <c r="H25" i="7" s="1"/>
  <c r="C9" i="1"/>
  <c r="E9" s="1"/>
  <c r="B18" i="5" s="1"/>
  <c r="C9" i="6"/>
  <c r="D9" s="1"/>
  <c r="I25" i="7" s="1"/>
  <c r="C10" i="1"/>
  <c r="E10" s="1"/>
  <c r="B19" i="5" s="1"/>
  <c r="C10" i="6"/>
  <c r="D10" s="1"/>
  <c r="J25" i="7" s="1"/>
  <c r="C11" i="1"/>
  <c r="E11" s="1"/>
  <c r="B20" i="5" s="1"/>
  <c r="C11" i="6"/>
  <c r="D11" s="1"/>
  <c r="K25" i="7" s="1"/>
  <c r="C12" i="1"/>
  <c r="E12" s="1"/>
  <c r="B21" i="5" s="1"/>
  <c r="C12" i="6"/>
  <c r="D12" s="1"/>
  <c r="L25" i="7" s="1"/>
  <c r="C13" i="1"/>
  <c r="E13" s="1"/>
  <c r="B22" i="5" s="1"/>
  <c r="C13" i="6"/>
  <c r="D13" s="1"/>
  <c r="M25" i="7" s="1"/>
  <c r="C14" i="1"/>
  <c r="E14" s="1"/>
  <c r="B23" i="5" s="1"/>
  <c r="C14" i="6"/>
  <c r="D14" s="1"/>
  <c r="N25" i="7" s="1"/>
  <c r="C15" i="1"/>
  <c r="E15" s="1"/>
  <c r="B24" i="5" s="1"/>
  <c r="C15" i="6"/>
  <c r="D15" s="1"/>
  <c r="O25" i="7" s="1"/>
  <c r="C16" i="1"/>
  <c r="E16" s="1"/>
  <c r="B25" i="5" s="1"/>
  <c r="C16" i="6"/>
  <c r="D16" s="1"/>
  <c r="P25" i="7" s="1"/>
  <c r="F29"/>
  <c r="F34" s="1"/>
  <c r="A24" i="3"/>
  <c r="I6" i="1"/>
  <c r="K6" s="1"/>
  <c r="B31" i="5" s="1"/>
  <c r="O45" i="3"/>
  <c r="H6" i="6" s="1"/>
  <c r="I6" s="1"/>
  <c r="O46" i="3"/>
  <c r="H7" i="6" s="1"/>
  <c r="I7" s="1"/>
  <c r="O47" i="3"/>
  <c r="H8" i="6" s="1"/>
  <c r="I8" s="1"/>
  <c r="O48" i="3"/>
  <c r="H9" i="6" s="1"/>
  <c r="I9" s="1"/>
  <c r="O49" i="3"/>
  <c r="H10" i="6" s="1"/>
  <c r="I10" s="1"/>
  <c r="O50" i="3"/>
  <c r="H11" i="6" s="1"/>
  <c r="I11" s="1"/>
  <c r="O51" i="3"/>
  <c r="H12" i="6" s="1"/>
  <c r="I12" s="1"/>
  <c r="O52" i="3"/>
  <c r="H13" i="6" s="1"/>
  <c r="I13" s="1"/>
  <c r="O53" i="3"/>
  <c r="H14" i="6" s="1"/>
  <c r="I14" s="1"/>
  <c r="O54" i="3"/>
  <c r="H15" i="6" s="1"/>
  <c r="I15" s="1"/>
  <c r="O55" i="3"/>
  <c r="H16" i="6" s="1"/>
  <c r="I16" s="1"/>
  <c r="O44" i="3"/>
  <c r="C61"/>
  <c r="C23" i="6" s="1"/>
  <c r="D23" s="1"/>
  <c r="C62" i="3"/>
  <c r="C24" i="6" s="1"/>
  <c r="D24" s="1"/>
  <c r="C63" i="3"/>
  <c r="C25" i="6" s="1"/>
  <c r="D25" s="1"/>
  <c r="C64" i="3"/>
  <c r="C26" i="6" s="1"/>
  <c r="D26" s="1"/>
  <c r="C65" i="3"/>
  <c r="C27" i="6" s="1"/>
  <c r="D27" s="1"/>
  <c r="C66" i="3"/>
  <c r="C28" i="6" s="1"/>
  <c r="D28" s="1"/>
  <c r="C67" i="3"/>
  <c r="C29" i="6" s="1"/>
  <c r="D29" s="1"/>
  <c r="C68" i="3"/>
  <c r="C30" i="6" s="1"/>
  <c r="D30" s="1"/>
  <c r="C69" i="3"/>
  <c r="C31" i="6" s="1"/>
  <c r="D31" s="1"/>
  <c r="C70" i="3"/>
  <c r="C32" i="6" s="1"/>
  <c r="D32" s="1"/>
  <c r="C71" i="3"/>
  <c r="C33" i="6" s="1"/>
  <c r="D33" s="1"/>
  <c r="C60" i="3"/>
  <c r="C5" i="1"/>
  <c r="C56" i="3"/>
  <c r="I18" i="1"/>
  <c r="C6" i="5"/>
  <c r="K18" i="1"/>
  <c r="C31" i="5" l="1"/>
  <c r="C32"/>
  <c r="C33"/>
  <c r="C34"/>
  <c r="C35"/>
  <c r="C36"/>
  <c r="C37"/>
  <c r="C38"/>
  <c r="C39"/>
  <c r="C40"/>
  <c r="C41"/>
  <c r="C30"/>
  <c r="C15"/>
  <c r="C16"/>
  <c r="C17"/>
  <c r="C18"/>
  <c r="C19"/>
  <c r="C20"/>
  <c r="C21"/>
  <c r="C22"/>
  <c r="C23"/>
  <c r="C24"/>
  <c r="C25"/>
  <c r="C14"/>
  <c r="C26" s="1"/>
  <c r="C79"/>
  <c r="C80"/>
  <c r="C81"/>
  <c r="C82"/>
  <c r="C83"/>
  <c r="C84"/>
  <c r="C85"/>
  <c r="C86"/>
  <c r="C87"/>
  <c r="C88"/>
  <c r="C89"/>
  <c r="C78"/>
  <c r="C63"/>
  <c r="C64"/>
  <c r="C65"/>
  <c r="C66"/>
  <c r="C67"/>
  <c r="C68"/>
  <c r="C69"/>
  <c r="C70"/>
  <c r="C71"/>
  <c r="C72"/>
  <c r="C73"/>
  <c r="C62"/>
  <c r="C47"/>
  <c r="C48"/>
  <c r="C49"/>
  <c r="C50"/>
  <c r="C51"/>
  <c r="C52"/>
  <c r="C53"/>
  <c r="C54"/>
  <c r="C55"/>
  <c r="C56"/>
  <c r="C57"/>
  <c r="C46"/>
  <c r="C25" i="3"/>
  <c r="G25" s="1"/>
  <c r="C26"/>
  <c r="G26" s="1"/>
  <c r="C27"/>
  <c r="G27" s="1"/>
  <c r="C24"/>
  <c r="G24" s="1"/>
  <c r="G28" s="1"/>
  <c r="I24" s="1"/>
  <c r="J24" s="1"/>
  <c r="L24" s="1"/>
  <c r="G25" i="7"/>
  <c r="D17" i="6"/>
  <c r="L4" i="9" s="1"/>
  <c r="C17" i="6"/>
  <c r="C5" i="5"/>
  <c r="M5" i="9"/>
  <c r="M15" s="1"/>
  <c r="C72" i="3"/>
  <c r="C22" i="6"/>
  <c r="O56" i="3"/>
  <c r="H5" i="6"/>
  <c r="P26" i="7"/>
  <c r="P27"/>
  <c r="O26"/>
  <c r="P28"/>
  <c r="N26"/>
  <c r="O27"/>
  <c r="O28"/>
  <c r="M26"/>
  <c r="N27"/>
  <c r="N28"/>
  <c r="L26"/>
  <c r="M27"/>
  <c r="M28"/>
  <c r="K26"/>
  <c r="L27"/>
  <c r="L28"/>
  <c r="J26"/>
  <c r="K27"/>
  <c r="K28"/>
  <c r="I26"/>
  <c r="J27"/>
  <c r="J28"/>
  <c r="H26"/>
  <c r="I27"/>
  <c r="I28"/>
  <c r="G26"/>
  <c r="H27"/>
  <c r="D15" i="5"/>
  <c r="F35" i="7" s="1"/>
  <c r="D16" i="5"/>
  <c r="G35" i="7" s="1"/>
  <c r="D17" i="5"/>
  <c r="H35" i="7" s="1"/>
  <c r="D18" i="5"/>
  <c r="I35" i="7" s="1"/>
  <c r="D19" i="5"/>
  <c r="J35" i="7" s="1"/>
  <c r="D20" i="5"/>
  <c r="K35" i="7" s="1"/>
  <c r="D21" i="5"/>
  <c r="L35" i="7" s="1"/>
  <c r="D22" i="5"/>
  <c r="M35" i="7" s="1"/>
  <c r="D23" i="5"/>
  <c r="N35" i="7" s="1"/>
  <c r="D24" i="5"/>
  <c r="O35" i="7" s="1"/>
  <c r="D25" i="5"/>
  <c r="P35" i="7" s="1"/>
  <c r="D32" i="5"/>
  <c r="D33"/>
  <c r="D34"/>
  <c r="D35"/>
  <c r="D36"/>
  <c r="D37"/>
  <c r="D38"/>
  <c r="D39"/>
  <c r="D40"/>
  <c r="D41"/>
  <c r="C58"/>
  <c r="C74"/>
  <c r="C90"/>
  <c r="D31"/>
  <c r="F36" i="7"/>
  <c r="I24" i="1"/>
  <c r="A30" i="3"/>
  <c r="B42" i="5"/>
  <c r="O61" i="3"/>
  <c r="H23" i="6" s="1"/>
  <c r="I23" s="1"/>
  <c r="O62" i="3"/>
  <c r="H24" i="6" s="1"/>
  <c r="I24" s="1"/>
  <c r="O63" i="3"/>
  <c r="H25" i="6" s="1"/>
  <c r="I25" s="1"/>
  <c r="O64" i="3"/>
  <c r="H26" i="6" s="1"/>
  <c r="I26" s="1"/>
  <c r="O65" i="3"/>
  <c r="H27" i="6" s="1"/>
  <c r="I27" s="1"/>
  <c r="O66" i="3"/>
  <c r="H28" i="6" s="1"/>
  <c r="I28" s="1"/>
  <c r="O67" i="3"/>
  <c r="H29" i="6" s="1"/>
  <c r="I29" s="1"/>
  <c r="O68" i="3"/>
  <c r="H30" i="6" s="1"/>
  <c r="I30" s="1"/>
  <c r="O69" i="3"/>
  <c r="H31" i="6" s="1"/>
  <c r="I31" s="1"/>
  <c r="O70" i="3"/>
  <c r="H32" i="6" s="1"/>
  <c r="I32" s="1"/>
  <c r="O71" i="3"/>
  <c r="H33" i="6" s="1"/>
  <c r="I33" s="1"/>
  <c r="O60" i="3"/>
  <c r="C18" i="1"/>
  <c r="E5"/>
  <c r="C7" i="5"/>
  <c r="C25" i="1"/>
  <c r="E25" s="1"/>
  <c r="B47" i="5" s="1"/>
  <c r="D47" s="1"/>
  <c r="C26" i="1"/>
  <c r="E26" s="1"/>
  <c r="B48" i="5" s="1"/>
  <c r="D48" s="1"/>
  <c r="C27" i="1"/>
  <c r="E27" s="1"/>
  <c r="B49" i="5" s="1"/>
  <c r="D49" s="1"/>
  <c r="C28" i="1"/>
  <c r="E28" s="1"/>
  <c r="B50" i="5" s="1"/>
  <c r="D50" s="1"/>
  <c r="C29" i="1"/>
  <c r="E29" s="1"/>
  <c r="B51" i="5" s="1"/>
  <c r="D51" s="1"/>
  <c r="C30" i="1"/>
  <c r="E30" s="1"/>
  <c r="B52" i="5" s="1"/>
  <c r="D52" s="1"/>
  <c r="C31" i="1"/>
  <c r="E31" s="1"/>
  <c r="B53" i="5" s="1"/>
  <c r="D53" s="1"/>
  <c r="C32" i="1"/>
  <c r="E32" s="1"/>
  <c r="B54" i="5" s="1"/>
  <c r="D54" s="1"/>
  <c r="C33" i="1"/>
  <c r="E33" s="1"/>
  <c r="B55" i="5" s="1"/>
  <c r="D55" s="1"/>
  <c r="C34" i="1"/>
  <c r="E34" s="1"/>
  <c r="B56" i="5" s="1"/>
  <c r="D56" s="1"/>
  <c r="C35" i="1"/>
  <c r="E35" s="1"/>
  <c r="B57" i="5" s="1"/>
  <c r="D57" s="1"/>
  <c r="C24" i="1"/>
  <c r="C31" i="3" l="1"/>
  <c r="G31" s="1"/>
  <c r="C32"/>
  <c r="G32" s="1"/>
  <c r="C33"/>
  <c r="G33" s="1"/>
  <c r="C30"/>
  <c r="G30" s="1"/>
  <c r="G34" s="1"/>
  <c r="I30" s="1"/>
  <c r="J30" s="1"/>
  <c r="L30" s="1"/>
  <c r="P29" i="7"/>
  <c r="P34" s="1"/>
  <c r="P36"/>
  <c r="I29"/>
  <c r="I34" s="1"/>
  <c r="I36" s="1"/>
  <c r="H29"/>
  <c r="H34" s="1"/>
  <c r="H36" s="1"/>
  <c r="J29"/>
  <c r="J34" s="1"/>
  <c r="J36" s="1"/>
  <c r="K29"/>
  <c r="K34" s="1"/>
  <c r="K36" s="1"/>
  <c r="L29"/>
  <c r="L34" s="1"/>
  <c r="L36" s="1"/>
  <c r="M29"/>
  <c r="M34" s="1"/>
  <c r="M36" s="1"/>
  <c r="N29"/>
  <c r="N34" s="1"/>
  <c r="N36" s="1"/>
  <c r="O29"/>
  <c r="O34" s="1"/>
  <c r="O36" s="1"/>
  <c r="G29"/>
  <c r="G34" s="1"/>
  <c r="G36" s="1"/>
  <c r="B14" i="5"/>
  <c r="E18" i="1"/>
  <c r="O72" i="3"/>
  <c r="H22" i="6"/>
  <c r="H17"/>
  <c r="I5"/>
  <c r="I17" s="1"/>
  <c r="M4" i="9" s="1"/>
  <c r="C34" i="6"/>
  <c r="D22"/>
  <c r="D34" s="1"/>
  <c r="N4" i="9" s="1"/>
  <c r="C42" i="5"/>
  <c r="D30"/>
  <c r="D42" s="1"/>
  <c r="B26"/>
  <c r="D14"/>
  <c r="E24" i="1"/>
  <c r="C37"/>
  <c r="C43"/>
  <c r="C44"/>
  <c r="E44" s="1"/>
  <c r="B80" i="5" s="1"/>
  <c r="D80" s="1"/>
  <c r="C45" i="1"/>
  <c r="E45" s="1"/>
  <c r="B81" i="5" s="1"/>
  <c r="D81" s="1"/>
  <c r="C46" i="1"/>
  <c r="E46" s="1"/>
  <c r="B82" i="5" s="1"/>
  <c r="D82" s="1"/>
  <c r="C47" i="1"/>
  <c r="E47" s="1"/>
  <c r="B83" i="5" s="1"/>
  <c r="D83" s="1"/>
  <c r="C48" i="1"/>
  <c r="E48" s="1"/>
  <c r="B84" i="5" s="1"/>
  <c r="D84" s="1"/>
  <c r="C49" i="1"/>
  <c r="E49" s="1"/>
  <c r="B85" i="5" s="1"/>
  <c r="D85" s="1"/>
  <c r="C50" i="1"/>
  <c r="E50" s="1"/>
  <c r="B86" i="5" s="1"/>
  <c r="D86" s="1"/>
  <c r="C51" i="1"/>
  <c r="E51" s="1"/>
  <c r="B87" i="5" s="1"/>
  <c r="D87" s="1"/>
  <c r="C52" i="1"/>
  <c r="E52" s="1"/>
  <c r="B88" i="5" s="1"/>
  <c r="D88" s="1"/>
  <c r="C53" i="1"/>
  <c r="E53" s="1"/>
  <c r="B89" i="5" s="1"/>
  <c r="D89" s="1"/>
  <c r="I25" i="1"/>
  <c r="K25" s="1"/>
  <c r="B63" i="5" s="1"/>
  <c r="D63" s="1"/>
  <c r="I26" i="1"/>
  <c r="K26" s="1"/>
  <c r="B64" i="5" s="1"/>
  <c r="D64" s="1"/>
  <c r="I27" i="1"/>
  <c r="K27" s="1"/>
  <c r="B65" i="5" s="1"/>
  <c r="D65" s="1"/>
  <c r="I28" i="1"/>
  <c r="K28" s="1"/>
  <c r="B66" i="5" s="1"/>
  <c r="D66" s="1"/>
  <c r="I29" i="1"/>
  <c r="K29" s="1"/>
  <c r="B67" i="5" s="1"/>
  <c r="D67" s="1"/>
  <c r="I30" i="1"/>
  <c r="K30" s="1"/>
  <c r="B68" i="5" s="1"/>
  <c r="D68" s="1"/>
  <c r="I31" i="1"/>
  <c r="K31" s="1"/>
  <c r="B69" i="5" s="1"/>
  <c r="D69" s="1"/>
  <c r="I32" i="1"/>
  <c r="K32" s="1"/>
  <c r="B70" i="5" s="1"/>
  <c r="D70" s="1"/>
  <c r="I33" i="1"/>
  <c r="K33" s="1"/>
  <c r="B71" i="5" s="1"/>
  <c r="D71" s="1"/>
  <c r="I34" i="1"/>
  <c r="K34" s="1"/>
  <c r="B72" i="5" s="1"/>
  <c r="D72" s="1"/>
  <c r="I35" i="1"/>
  <c r="K35" s="1"/>
  <c r="B73" i="5" s="1"/>
  <c r="D73" s="1"/>
  <c r="S61" i="3" l="1"/>
  <c r="C40" i="6" s="1"/>
  <c r="D40" s="1"/>
  <c r="S62" i="3"/>
  <c r="C41" i="6" s="1"/>
  <c r="D41" s="1"/>
  <c r="S63" i="3"/>
  <c r="C42" i="6" s="1"/>
  <c r="D42" s="1"/>
  <c r="S64" i="3"/>
  <c r="C43" i="6" s="1"/>
  <c r="D43" s="1"/>
  <c r="S65" i="3"/>
  <c r="C44" i="6" s="1"/>
  <c r="D44" s="1"/>
  <c r="S66" i="3"/>
  <c r="C45" i="6" s="1"/>
  <c r="D45" s="1"/>
  <c r="S67" i="3"/>
  <c r="C46" i="6" s="1"/>
  <c r="D46" s="1"/>
  <c r="S68" i="3"/>
  <c r="C47" i="6" s="1"/>
  <c r="D47" s="1"/>
  <c r="S69" i="3"/>
  <c r="C48" i="6" s="1"/>
  <c r="D48" s="1"/>
  <c r="S70" i="3"/>
  <c r="C49" i="6" s="1"/>
  <c r="D49" s="1"/>
  <c r="S71" i="3"/>
  <c r="C50" i="6" s="1"/>
  <c r="D50" s="1"/>
  <c r="S60" i="3"/>
  <c r="C42" i="1"/>
  <c r="E42" s="1"/>
  <c r="B78" i="5" s="1"/>
  <c r="H34" i="6"/>
  <c r="I22"/>
  <c r="I34" s="1"/>
  <c r="O4" i="9" s="1"/>
  <c r="L5"/>
  <c r="L15" s="1"/>
  <c r="B5" i="5"/>
  <c r="B7" s="1"/>
  <c r="D26"/>
  <c r="E35" i="7"/>
  <c r="E36" s="1"/>
  <c r="E37" s="1"/>
  <c r="D78" i="5"/>
  <c r="E37" i="1"/>
  <c r="B46" i="5"/>
  <c r="K24" i="1"/>
  <c r="I37"/>
  <c r="E43"/>
  <c r="B79" i="5" s="1"/>
  <c r="D79" s="1"/>
  <c r="C55" i="1"/>
  <c r="E55"/>
  <c r="S72" i="3" l="1"/>
  <c r="C39" i="6"/>
  <c r="F5" i="5"/>
  <c r="F7" s="1"/>
  <c r="P5" i="9"/>
  <c r="P15" s="1"/>
  <c r="D5" i="5"/>
  <c r="D7" s="1"/>
  <c r="N5" i="9"/>
  <c r="N15" s="1"/>
  <c r="F37" i="7"/>
  <c r="G37" s="1"/>
  <c r="H37" s="1"/>
  <c r="I37" s="1"/>
  <c r="J37" s="1"/>
  <c r="K37" s="1"/>
  <c r="L37" s="1"/>
  <c r="M37" s="1"/>
  <c r="N37" s="1"/>
  <c r="O37" s="1"/>
  <c r="P37" s="1"/>
  <c r="K37" i="1"/>
  <c r="B62" i="5"/>
  <c r="B58"/>
  <c r="D46"/>
  <c r="D58" s="1"/>
  <c r="D90"/>
  <c r="B90"/>
  <c r="C51" i="6" l="1"/>
  <c r="D39"/>
  <c r="D51" s="1"/>
  <c r="P4" i="9" s="1"/>
  <c r="P18" s="1"/>
  <c r="P19" s="1"/>
  <c r="P20" s="1"/>
  <c r="P27" s="1"/>
  <c r="E5" i="5"/>
  <c r="E7" s="1"/>
  <c r="O5" i="9"/>
  <c r="O15" s="1"/>
  <c r="E41" i="7"/>
  <c r="B74" i="5"/>
  <c r="D62"/>
  <c r="D74" s="1"/>
  <c r="H18" i="9" l="1"/>
  <c r="H19"/>
  <c r="K24"/>
  <c r="D3"/>
  <c r="D4"/>
  <c r="E8" s="1"/>
  <c r="C18" s="1"/>
  <c r="C19" l="1"/>
  <c r="C20"/>
  <c r="D20" s="1"/>
  <c r="C9"/>
  <c r="K25"/>
  <c r="K27" s="1"/>
  <c r="L16"/>
  <c r="L18" s="1"/>
  <c r="B10"/>
  <c r="B11"/>
  <c r="B12"/>
  <c r="B9"/>
  <c r="D9" s="1"/>
  <c r="L22" s="1"/>
  <c r="E9"/>
  <c r="L19" l="1"/>
  <c r="L20" s="1"/>
  <c r="L27" s="1"/>
  <c r="E10"/>
  <c r="C10"/>
  <c r="M16" s="1"/>
  <c r="M18" s="1"/>
  <c r="D10"/>
  <c r="M22" s="1"/>
  <c r="D18" l="1"/>
  <c r="D19"/>
  <c r="M19"/>
  <c r="M20" s="1"/>
  <c r="M27" s="1"/>
  <c r="E11"/>
  <c r="C11"/>
  <c r="E18" l="1"/>
  <c r="E19"/>
  <c r="E20" s="1"/>
  <c r="D11"/>
  <c r="N22" s="1"/>
  <c r="N16"/>
  <c r="N18" s="1"/>
  <c r="E12"/>
  <c r="C12"/>
  <c r="D12" l="1"/>
  <c r="O22" s="1"/>
  <c r="O16"/>
  <c r="O18" s="1"/>
  <c r="N19"/>
  <c r="N20" s="1"/>
  <c r="N27" s="1"/>
  <c r="F18" l="1"/>
  <c r="F19"/>
  <c r="F20" s="1"/>
  <c r="O19"/>
  <c r="O20" s="1"/>
  <c r="O27" s="1"/>
  <c r="K28" s="1"/>
  <c r="G18" l="1"/>
  <c r="G19"/>
  <c r="K29"/>
  <c r="B28" i="10"/>
  <c r="B29"/>
  <c r="B30"/>
  <c r="B23"/>
  <c r="B24"/>
  <c r="B25"/>
  <c r="B26"/>
  <c r="D40"/>
  <c r="D41"/>
  <c r="D42"/>
  <c r="D43"/>
</calcChain>
</file>

<file path=xl/sharedStrings.xml><?xml version="1.0" encoding="utf-8"?>
<sst xmlns="http://schemas.openxmlformats.org/spreadsheetml/2006/main" count="621" uniqueCount="238">
  <si>
    <t>Mes</t>
  </si>
  <si>
    <t>Año</t>
  </si>
  <si>
    <t>Inmuebles</t>
  </si>
  <si>
    <t>Maquinaria y equipos</t>
  </si>
  <si>
    <t>Otros muebles</t>
  </si>
  <si>
    <t>Total</t>
  </si>
  <si>
    <t xml:space="preserve">Valor </t>
  </si>
  <si>
    <t>Porcentaje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</si>
  <si>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</si>
  <si>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</si>
  <si>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</si>
  <si>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</si>
  <si>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</si>
  <si>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</si>
  <si>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</si>
  <si>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</si>
  <si>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</si>
  <si>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</si>
  <si>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</si>
  <si>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</si>
  <si>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</si>
  <si>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Demanada Esperada</t>
  </si>
  <si>
    <t>Poblacion Objetivo</t>
  </si>
  <si>
    <t>Tasa de Crecimeinto de poblacion objetivo</t>
  </si>
  <si>
    <t>Tasa de crecimiento de porcentaje de mercado</t>
  </si>
  <si>
    <t xml:space="preserve"> Produccion Mensual</t>
  </si>
  <si>
    <t>Costos Variable</t>
  </si>
  <si>
    <t>Costos Esperado</t>
  </si>
  <si>
    <t>Proyeccion Costos Variables  del año 1</t>
  </si>
  <si>
    <t>Proyeccion Costos Variables  del año 2</t>
  </si>
  <si>
    <t>Proyeccion Costos Variables  del año 3</t>
  </si>
  <si>
    <t>Proyeccion Costos Variables  del año 4</t>
  </si>
  <si>
    <t>Proyeccion Costos Variables  del año 5</t>
  </si>
  <si>
    <t>Demanda Esperada</t>
  </si>
  <si>
    <t>Demanda Esperada Mensual Año 1</t>
  </si>
  <si>
    <t>Enero</t>
  </si>
  <si>
    <t>%</t>
  </si>
  <si>
    <t>Cantidad</t>
  </si>
  <si>
    <t>Demanda Esperada Mensual Año 2</t>
  </si>
  <si>
    <t>Demanda Esperada Mensual Año 3</t>
  </si>
  <si>
    <t>Demanda Esperada Mensual Año 4</t>
  </si>
  <si>
    <t>Demanda Esperada Mensual Año 5</t>
  </si>
  <si>
    <t xml:space="preserve">Capacidad Máxima de Producción </t>
  </si>
  <si>
    <t>Hora</t>
  </si>
  <si>
    <t>Día</t>
  </si>
  <si>
    <t>1 jornada de trabajo</t>
  </si>
  <si>
    <t>Galletas</t>
  </si>
  <si>
    <t>Empaques ( 6 unid.)</t>
  </si>
  <si>
    <t>2 jornadas de trabajo</t>
  </si>
  <si>
    <t>Empaques (6 unid.)</t>
  </si>
  <si>
    <t>3 jornadas de trabajo</t>
  </si>
  <si>
    <t>Produccion Mensual</t>
  </si>
  <si>
    <t>COSTOS FIJOS: Administrativos</t>
  </si>
  <si>
    <t>Sueldos de personal</t>
  </si>
  <si>
    <t>Personal</t>
  </si>
  <si>
    <t>Sueldo</t>
  </si>
  <si>
    <t>No. de</t>
  </si>
  <si>
    <t>Gasto</t>
  </si>
  <si>
    <t>mensual</t>
  </si>
  <si>
    <t>personas</t>
  </si>
  <si>
    <t>anual</t>
  </si>
  <si>
    <t>($)</t>
  </si>
  <si>
    <t>Gerente-General</t>
  </si>
  <si>
    <t>Jefe de planta</t>
  </si>
  <si>
    <t>Jefe de investigación y desarrollo</t>
  </si>
  <si>
    <t>Contador</t>
  </si>
  <si>
    <t>Asistente contable</t>
  </si>
  <si>
    <t>Gerente de marketing</t>
  </si>
  <si>
    <t>Asistente de compras</t>
  </si>
  <si>
    <t>Asistente de marketing y ventas</t>
  </si>
  <si>
    <t>Operarios</t>
  </si>
  <si>
    <t>Total sueldo de personal</t>
  </si>
  <si>
    <t>COSTOS FIJOS: Servicios básicos, suministros, alquiler y movilización</t>
  </si>
  <si>
    <t xml:space="preserve">Concepto </t>
  </si>
  <si>
    <t xml:space="preserve"> Costo Mensual ($)</t>
  </si>
  <si>
    <t>Costo anual ($)</t>
  </si>
  <si>
    <t>Electricidad</t>
  </si>
  <si>
    <t>Teléfono</t>
  </si>
  <si>
    <t>Agua</t>
  </si>
  <si>
    <t>Internet</t>
  </si>
  <si>
    <t>Suministros de oficina</t>
  </si>
  <si>
    <t>Suministros de planta</t>
  </si>
  <si>
    <t>Gastos de Movilización (Gasolina)</t>
  </si>
  <si>
    <t>TOTAL ($)</t>
  </si>
  <si>
    <t>TOTAL COSTOS FIJOS</t>
  </si>
  <si>
    <t>Costos Totales Administrativos</t>
  </si>
  <si>
    <t>Costos totales servicios basicos, suministros alquiler y movilización</t>
  </si>
  <si>
    <t>Mensuales</t>
  </si>
  <si>
    <t>Anuales</t>
  </si>
  <si>
    <t>COSTOS FIJOS TOTALES</t>
  </si>
  <si>
    <t>Concepto</t>
  </si>
  <si>
    <t xml:space="preserve">Costos </t>
  </si>
  <si>
    <t>Variables</t>
  </si>
  <si>
    <t>Fijos</t>
  </si>
  <si>
    <t>Totales</t>
  </si>
  <si>
    <t>Año 1</t>
  </si>
  <si>
    <t>Año 2</t>
  </si>
  <si>
    <t>Año 3</t>
  </si>
  <si>
    <t>Año 4</t>
  </si>
  <si>
    <t>Año 5</t>
  </si>
  <si>
    <t>Costos de marketing</t>
  </si>
  <si>
    <t>Medio</t>
  </si>
  <si>
    <t>Presupuesto</t>
  </si>
  <si>
    <t xml:space="preserve">Radio </t>
  </si>
  <si>
    <t>Periodicos</t>
  </si>
  <si>
    <t>Volantes</t>
  </si>
  <si>
    <t>Televisión</t>
  </si>
  <si>
    <t>Costos Totales Anuales</t>
  </si>
  <si>
    <t>Costos Fijos</t>
  </si>
  <si>
    <t>Costos Totales</t>
  </si>
  <si>
    <t>Costos Variables</t>
  </si>
  <si>
    <t>Costos Totales por Mes Año 1</t>
  </si>
  <si>
    <t>Costos Totales por Mes Año 2</t>
  </si>
  <si>
    <t>Costos Totales por Mes Año 3</t>
  </si>
  <si>
    <t>Costos Totales por Mes Año 4</t>
  </si>
  <si>
    <t>Costos Totales por Mes Año 5</t>
  </si>
  <si>
    <t>Inversión</t>
  </si>
  <si>
    <t>Valor</t>
  </si>
  <si>
    <t>Ingresos</t>
  </si>
  <si>
    <t>Ingreso</t>
  </si>
  <si>
    <t>TOTAL</t>
  </si>
  <si>
    <t>Ingresos Totales por Mes Año 1</t>
  </si>
  <si>
    <t>Ingresos Totales por Mes Año 2</t>
  </si>
  <si>
    <t>Ingresos Totales por Mes Año 3</t>
  </si>
  <si>
    <t>Ingresos Totales por Mes Año 4</t>
  </si>
  <si>
    <t>Ingresos Totales por Mes Año 5</t>
  </si>
  <si>
    <t>Contado</t>
  </si>
  <si>
    <t>Credito</t>
  </si>
  <si>
    <t>--------</t>
  </si>
  <si>
    <t>Forma de Pago</t>
  </si>
  <si>
    <t>Plazos (Dias)</t>
  </si>
  <si>
    <t>CALCULO DE INGRESOS MENSUALES</t>
  </si>
  <si>
    <t>Descripción</t>
  </si>
  <si>
    <t>enero</t>
  </si>
  <si>
    <t>febrero</t>
  </si>
  <si>
    <t>marzo</t>
  </si>
  <si>
    <t>abril</t>
  </si>
  <si>
    <t>mayo</t>
  </si>
  <si>
    <t>junio</t>
  </si>
  <si>
    <t xml:space="preserve">Proyección Ingreso Mensual </t>
  </si>
  <si>
    <t xml:space="preserve">Crédito 30/ 30% </t>
  </si>
  <si>
    <t>TOTAL INGRESO EFECTIVO MENSUAL ($)</t>
  </si>
  <si>
    <t xml:space="preserve">Contado 50% </t>
  </si>
  <si>
    <t>Crédito 60/ 20%</t>
  </si>
  <si>
    <t>julio</t>
  </si>
  <si>
    <t>agosto</t>
  </si>
  <si>
    <t>septiembre</t>
  </si>
  <si>
    <t>octubre</t>
  </si>
  <si>
    <t>noviembre</t>
  </si>
  <si>
    <t>diciembre</t>
  </si>
  <si>
    <t xml:space="preserve">Descripcion </t>
  </si>
  <si>
    <t>Egresos</t>
  </si>
  <si>
    <t xml:space="preserve">Saldo Mensual </t>
  </si>
  <si>
    <t>Saldo Acumulado</t>
  </si>
  <si>
    <t>Saldo Caja Mensual y Acumulado</t>
  </si>
  <si>
    <t>Capital de Trabajo</t>
  </si>
  <si>
    <t>Activos</t>
  </si>
  <si>
    <t>Valor de</t>
  </si>
  <si>
    <t>Vida</t>
  </si>
  <si>
    <t>Deprec.</t>
  </si>
  <si>
    <t>Años</t>
  </si>
  <si>
    <t>Valor en</t>
  </si>
  <si>
    <t>Compra</t>
  </si>
  <si>
    <t>Útil</t>
  </si>
  <si>
    <t>Anual</t>
  </si>
  <si>
    <t>Depreciándose</t>
  </si>
  <si>
    <t>Acumulada</t>
  </si>
  <si>
    <t>libros</t>
  </si>
  <si>
    <t>Computadoras</t>
  </si>
  <si>
    <t xml:space="preserve">Muebles y Enseres </t>
  </si>
  <si>
    <t>Equipos de oficina</t>
  </si>
  <si>
    <t>Maquinaria</t>
  </si>
  <si>
    <t>Planta</t>
  </si>
  <si>
    <t>Depreciación anual de los activos</t>
  </si>
  <si>
    <t>Valor de desecho</t>
  </si>
  <si>
    <t>Rf</t>
  </si>
  <si>
    <t>Rm</t>
  </si>
  <si>
    <t>B</t>
  </si>
  <si>
    <t>TMAR</t>
  </si>
  <si>
    <t>Información</t>
  </si>
  <si>
    <t>Ri</t>
  </si>
  <si>
    <t>Inversiones: AÑO 0</t>
  </si>
  <si>
    <t>Inverision Incial</t>
  </si>
  <si>
    <t>Inversion de capital de trabajo</t>
  </si>
  <si>
    <t>Total Inversion</t>
  </si>
  <si>
    <t>Tabla de Amortización</t>
  </si>
  <si>
    <t>Periodo</t>
  </si>
  <si>
    <t>Cuota</t>
  </si>
  <si>
    <t>Interes</t>
  </si>
  <si>
    <t xml:space="preserve">Amortizacion </t>
  </si>
  <si>
    <t>Capital Vivo</t>
  </si>
  <si>
    <t>Tasa de Interes anual</t>
  </si>
  <si>
    <t>FLUJO DE CAJA</t>
  </si>
  <si>
    <t xml:space="preserve">Año </t>
  </si>
  <si>
    <t>Ingreso de Ventas</t>
  </si>
  <si>
    <t>Costo de Variables</t>
  </si>
  <si>
    <t>Gastos de administ.</t>
  </si>
  <si>
    <t>Intereses</t>
  </si>
  <si>
    <t>Depreciación</t>
  </si>
  <si>
    <t>Utilidad antes imp.</t>
  </si>
  <si>
    <t>Impuestos  (25%)</t>
  </si>
  <si>
    <t>Utilidad neta</t>
  </si>
  <si>
    <t>Depreciación(+)</t>
  </si>
  <si>
    <t>Amortización(-)</t>
  </si>
  <si>
    <t>Inversion Inicial</t>
  </si>
  <si>
    <t>Prestamo</t>
  </si>
  <si>
    <t>Valor de desecho(+)</t>
  </si>
  <si>
    <t>VAN ($)</t>
  </si>
  <si>
    <t>TASA DE DESCUENTO</t>
  </si>
  <si>
    <t>TIR (%)</t>
  </si>
  <si>
    <t xml:space="preserve">Gastos de Movilización </t>
  </si>
  <si>
    <t>Gastos de marketing</t>
  </si>
  <si>
    <t>Consumo esperado por mes</t>
  </si>
  <si>
    <t># Personas</t>
  </si>
  <si>
    <t>Frecuencia</t>
  </si>
  <si>
    <t>Todos los Dias</t>
  </si>
  <si>
    <t>5 a 3 veces por semana</t>
  </si>
  <si>
    <t>2 a 1 ves por semana</t>
  </si>
  <si>
    <t>1 ves al mes</t>
  </si>
  <si>
    <t>Canal de Distribucion</t>
  </si>
  <si>
    <t>Demanda</t>
  </si>
  <si>
    <t>Payback</t>
  </si>
  <si>
    <t>Flujo de caja</t>
  </si>
  <si>
    <t>Flujo de caja descontado</t>
  </si>
  <si>
    <t>Se recuperaria la inversion en 3 años, 3 meses y  1 dia</t>
  </si>
  <si>
    <t>Precio</t>
  </si>
  <si>
    <t>Van</t>
  </si>
  <si>
    <t>Mercado Objetivo</t>
  </si>
  <si>
    <t>Porcentage</t>
  </si>
  <si>
    <t>Variacion</t>
  </si>
  <si>
    <t>Variacion Van</t>
  </si>
  <si>
    <t>Variacion Precio</t>
  </si>
  <si>
    <t>Variacion Costos variables</t>
  </si>
  <si>
    <t xml:space="preserve">Variacion </t>
  </si>
  <si>
    <t>Variacion  Inversion en Activos</t>
  </si>
  <si>
    <t>Inversion</t>
  </si>
  <si>
    <t>Gastos de Constitución</t>
  </si>
  <si>
    <t>Variacion Poblacion Obejetivo</t>
  </si>
</sst>
</file>

<file path=xl/styles.xml><?xml version="1.0" encoding="utf-8"?>
<styleSheet xmlns="http://schemas.openxmlformats.org/spreadsheetml/2006/main">
  <numFmts count="9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[$$-300A]\ * #,##0.00_ ;_-[$$-300A]\ * \-#,##0.00\ ;_-[$$-300A]\ * &quot;-&quot;??_ ;_-@_ "/>
    <numFmt numFmtId="165" formatCode="0.0%"/>
    <numFmt numFmtId="166" formatCode="_-[$$-240A]\ * #,##0.00_ ;_-[$$-240A]\ * \-#,##0.00\ ;_-[$$-240A]\ * &quot;-&quot;??_ ;_-@_ "/>
    <numFmt numFmtId="167" formatCode="#,##0_ ;\-#,##0\ "/>
    <numFmt numFmtId="168" formatCode="_-* #,##0\ _€_-;\-* #,##0\ _€_-;_-* &quot;-&quot;??\ _€_-;_-@_-"/>
    <numFmt numFmtId="169" formatCode="[$$-300A]\ 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Book Antiqua"/>
      <family val="1"/>
    </font>
    <font>
      <sz val="10"/>
      <color rgb="FF000000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sz val="8"/>
      <color rgb="FF000000"/>
      <name val="Book Antiqua"/>
      <family val="1"/>
    </font>
    <font>
      <b/>
      <sz val="8"/>
      <color theme="1"/>
      <name val="Calibri"/>
      <family val="2"/>
      <scheme val="minor"/>
    </font>
    <font>
      <b/>
      <sz val="7"/>
      <color rgb="FF000000"/>
      <name val="Calibri"/>
      <family val="2"/>
    </font>
    <font>
      <b/>
      <sz val="7"/>
      <color rgb="FF000000"/>
      <name val="Book Antiqua"/>
      <family val="1"/>
    </font>
    <font>
      <sz val="7"/>
      <color rgb="FF000000"/>
      <name val="Book Antiqua"/>
      <family val="1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Book Antiqua"/>
      <family val="1"/>
    </font>
    <font>
      <sz val="7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rgb="FF9BBB59"/>
        <bgColor indexed="64"/>
      </patternFill>
    </fill>
    <fill>
      <patternFill patternType="solid">
        <fgColor rgb="FFCDDDAC"/>
        <bgColor indexed="64"/>
      </patternFill>
    </fill>
    <fill>
      <patternFill patternType="solid">
        <fgColor rgb="FFE6EED5"/>
        <bgColor indexed="64"/>
      </patternFill>
    </fill>
    <fill>
      <patternFill patternType="solid">
        <fgColor rgb="FFEFD3D2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rgb="FFC0504D"/>
      </top>
      <bottom style="medium">
        <color rgb="FFC0504D"/>
      </bottom>
      <diagonal/>
    </border>
    <border>
      <left/>
      <right/>
      <top/>
      <bottom style="medium">
        <color rgb="FFC0504D"/>
      </bottom>
      <diagonal/>
    </border>
    <border>
      <left/>
      <right/>
      <top style="medium">
        <color rgb="FFC0504D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6">
    <xf numFmtId="0" fontId="0" fillId="0" borderId="0" xfId="0"/>
    <xf numFmtId="165" fontId="0" fillId="0" borderId="0" xfId="2" applyNumberFormat="1" applyFont="1"/>
    <xf numFmtId="0" fontId="0" fillId="0" borderId="1" xfId="0" applyBorder="1"/>
    <xf numFmtId="9" fontId="0" fillId="0" borderId="1" xfId="2" applyFont="1" applyBorder="1"/>
    <xf numFmtId="1" fontId="0" fillId="0" borderId="1" xfId="0" applyNumberFormat="1" applyBorder="1"/>
    <xf numFmtId="9" fontId="0" fillId="0" borderId="1" xfId="2" applyFont="1" applyBorder="1" applyAlignment="1">
      <alignment wrapText="1"/>
    </xf>
    <xf numFmtId="9" fontId="0" fillId="0" borderId="1" xfId="2" applyFont="1" applyBorder="1" applyAlignment="1"/>
    <xf numFmtId="9" fontId="0" fillId="0" borderId="1" xfId="2" applyFont="1" applyBorder="1" applyAlignment="1">
      <alignment vertical="center"/>
    </xf>
    <xf numFmtId="2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" fontId="2" fillId="0" borderId="1" xfId="0" applyNumberFormat="1" applyFont="1" applyBorder="1"/>
    <xf numFmtId="9" fontId="2" fillId="0" borderId="1" xfId="2" applyFont="1" applyBorder="1"/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2" borderId="8" xfId="0" applyFill="1" applyBorder="1" applyAlignment="1">
      <alignment vertical="top"/>
    </xf>
    <xf numFmtId="0" fontId="3" fillId="3" borderId="9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4" fillId="3" borderId="11" xfId="0" applyFont="1" applyFill="1" applyBorder="1" applyAlignment="1">
      <alignment horizontal="right" vertical="top"/>
    </xf>
    <xf numFmtId="0" fontId="3" fillId="2" borderId="10" xfId="0" applyFont="1" applyFill="1" applyBorder="1" applyAlignment="1">
      <alignment vertical="top" wrapText="1"/>
    </xf>
    <xf numFmtId="0" fontId="4" fillId="4" borderId="9" xfId="0" applyFont="1" applyFill="1" applyBorder="1" applyAlignment="1">
      <alignment horizontal="right" vertical="top"/>
    </xf>
    <xf numFmtId="0" fontId="4" fillId="4" borderId="11" xfId="0" applyFont="1" applyFill="1" applyBorder="1" applyAlignment="1">
      <alignment horizontal="right" vertical="top"/>
    </xf>
    <xf numFmtId="0" fontId="4" fillId="3" borderId="9" xfId="0" applyFont="1" applyFill="1" applyBorder="1" applyAlignment="1">
      <alignment horizontal="right" vertical="top"/>
    </xf>
    <xf numFmtId="0" fontId="3" fillId="2" borderId="12" xfId="0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center"/>
    </xf>
    <xf numFmtId="9" fontId="0" fillId="0" borderId="1" xfId="0" applyNumberFormat="1" applyBorder="1" applyAlignment="1"/>
    <xf numFmtId="0" fontId="2" fillId="0" borderId="0" xfId="0" applyFont="1" applyBorder="1" applyAlignment="1"/>
    <xf numFmtId="0" fontId="2" fillId="0" borderId="0" xfId="0" applyFont="1" applyBorder="1"/>
    <xf numFmtId="0" fontId="0" fillId="0" borderId="0" xfId="0" applyBorder="1"/>
    <xf numFmtId="2" fontId="2" fillId="0" borderId="0" xfId="0" applyNumberFormat="1" applyFont="1" applyBorder="1"/>
    <xf numFmtId="0" fontId="0" fillId="0" borderId="0" xfId="0" applyBorder="1" applyAlignment="1"/>
    <xf numFmtId="1" fontId="2" fillId="0" borderId="0" xfId="0" applyNumberFormat="1" applyFont="1" applyBorder="1"/>
    <xf numFmtId="43" fontId="2" fillId="0" borderId="0" xfId="3" applyFont="1" applyBorder="1"/>
    <xf numFmtId="0" fontId="0" fillId="0" borderId="1" xfId="0" applyFont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Border="1" applyAlignme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8" fillId="0" borderId="1" xfId="0" applyFont="1" applyBorder="1" applyAlignment="1">
      <alignment horizontal="right"/>
    </xf>
    <xf numFmtId="0" fontId="8" fillId="0" borderId="1" xfId="0" applyFont="1" applyBorder="1" applyAlignment="1"/>
    <xf numFmtId="0" fontId="7" fillId="0" borderId="1" xfId="0" applyFont="1" applyBorder="1" applyAlignment="1">
      <alignment horizontal="right"/>
    </xf>
    <xf numFmtId="0" fontId="8" fillId="0" borderId="1" xfId="0" applyFont="1" applyBorder="1"/>
    <xf numFmtId="0" fontId="7" fillId="0" borderId="1" xfId="0" applyFont="1" applyBorder="1"/>
    <xf numFmtId="166" fontId="0" fillId="0" borderId="1" xfId="0" applyNumberFormat="1" applyBorder="1"/>
    <xf numFmtId="166" fontId="2" fillId="0" borderId="1" xfId="0" applyNumberFormat="1" applyFont="1" applyBorder="1"/>
    <xf numFmtId="0" fontId="4" fillId="0" borderId="0" xfId="0" applyFont="1" applyFill="1" applyBorder="1" applyAlignment="1"/>
    <xf numFmtId="0" fontId="2" fillId="0" borderId="1" xfId="0" applyFont="1" applyBorder="1" applyAlignment="1">
      <alignment horizontal="center"/>
    </xf>
    <xf numFmtId="0" fontId="8" fillId="0" borderId="1" xfId="0" applyFont="1" applyFill="1" applyBorder="1"/>
    <xf numFmtId="0" fontId="7" fillId="0" borderId="1" xfId="0" applyFont="1" applyFill="1" applyBorder="1"/>
    <xf numFmtId="2" fontId="0" fillId="0" borderId="1" xfId="0" applyNumberFormat="1" applyBorder="1"/>
    <xf numFmtId="164" fontId="0" fillId="0" borderId="1" xfId="1" applyNumberFormat="1" applyFont="1" applyBorder="1"/>
    <xf numFmtId="164" fontId="0" fillId="0" borderId="1" xfId="0" applyNumberFormat="1" applyBorder="1"/>
    <xf numFmtId="1" fontId="0" fillId="0" borderId="0" xfId="0" applyNumberFormat="1"/>
    <xf numFmtId="0" fontId="0" fillId="0" borderId="1" xfId="0" quotePrefix="1" applyBorder="1" applyAlignment="1">
      <alignment horizontal="center"/>
    </xf>
    <xf numFmtId="9" fontId="0" fillId="0" borderId="1" xfId="0" applyNumberFormat="1" applyBorder="1"/>
    <xf numFmtId="0" fontId="6" fillId="0" borderId="1" xfId="0" applyFont="1" applyBorder="1"/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 wrapText="1"/>
    </xf>
    <xf numFmtId="164" fontId="6" fillId="0" borderId="0" xfId="0" applyNumberFormat="1" applyFont="1"/>
    <xf numFmtId="164" fontId="14" fillId="0" borderId="1" xfId="0" applyNumberFormat="1" applyFont="1" applyFill="1" applyBorder="1" applyAlignment="1">
      <alignment horizontal="right" vertical="top"/>
    </xf>
    <xf numFmtId="164" fontId="14" fillId="0" borderId="1" xfId="0" applyNumberFormat="1" applyFont="1" applyFill="1" applyBorder="1" applyAlignment="1">
      <alignment vertical="top"/>
    </xf>
    <xf numFmtId="164" fontId="12" fillId="0" borderId="1" xfId="0" applyNumberFormat="1" applyFont="1" applyFill="1" applyBorder="1" applyAlignment="1">
      <alignment horizontal="right" vertical="top"/>
    </xf>
    <xf numFmtId="2" fontId="6" fillId="0" borderId="1" xfId="0" applyNumberFormat="1" applyFont="1" applyBorder="1"/>
    <xf numFmtId="0" fontId="11" fillId="0" borderId="1" xfId="0" applyFont="1" applyFill="1" applyBorder="1" applyAlignment="1">
      <alignment horizontal="right" vertical="top"/>
    </xf>
    <xf numFmtId="0" fontId="11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right" vertical="top"/>
    </xf>
    <xf numFmtId="10" fontId="0" fillId="0" borderId="0" xfId="0" applyNumberFormat="1"/>
    <xf numFmtId="0" fontId="0" fillId="0" borderId="0" xfId="0" applyAlignment="1">
      <alignment horizontal="center"/>
    </xf>
    <xf numFmtId="10" fontId="0" fillId="0" borderId="1" xfId="0" applyNumberFormat="1" applyBorder="1"/>
    <xf numFmtId="10" fontId="2" fillId="0" borderId="1" xfId="2" applyNumberFormat="1" applyFont="1" applyBorder="1"/>
    <xf numFmtId="8" fontId="0" fillId="0" borderId="0" xfId="0" applyNumberFormat="1"/>
    <xf numFmtId="0" fontId="15" fillId="0" borderId="1" xfId="0" applyFont="1" applyBorder="1"/>
    <xf numFmtId="164" fontId="15" fillId="0" borderId="1" xfId="0" applyNumberFormat="1" applyFont="1" applyBorder="1"/>
    <xf numFmtId="164" fontId="13" fillId="0" borderId="1" xfId="0" applyNumberFormat="1" applyFont="1" applyBorder="1"/>
    <xf numFmtId="164" fontId="0" fillId="0" borderId="0" xfId="0" applyNumberFormat="1"/>
    <xf numFmtId="0" fontId="0" fillId="0" borderId="0" xfId="0" applyBorder="1" applyAlignment="1">
      <alignment horizontal="center"/>
    </xf>
    <xf numFmtId="1" fontId="0" fillId="0" borderId="0" xfId="0" applyNumberFormat="1" applyBorder="1"/>
    <xf numFmtId="0" fontId="0" fillId="0" borderId="1" xfId="0" applyBorder="1" applyAlignment="1">
      <alignment horizontal="center" wrapText="1"/>
    </xf>
    <xf numFmtId="0" fontId="0" fillId="0" borderId="26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" xfId="0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/>
    <xf numFmtId="1" fontId="0" fillId="0" borderId="2" xfId="0" applyNumberFormat="1" applyBorder="1"/>
    <xf numFmtId="1" fontId="0" fillId="0" borderId="2" xfId="0" applyNumberFormat="1" applyFill="1" applyBorder="1"/>
    <xf numFmtId="10" fontId="0" fillId="0" borderId="1" xfId="2" applyNumberFormat="1" applyFont="1" applyBorder="1"/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17" fillId="5" borderId="0" xfId="0" applyFont="1" applyFill="1" applyAlignment="1">
      <alignment vertical="top"/>
    </xf>
    <xf numFmtId="169" fontId="18" fillId="5" borderId="0" xfId="0" applyNumberFormat="1" applyFont="1" applyFill="1" applyAlignment="1">
      <alignment horizontal="right" vertical="top"/>
    </xf>
    <xf numFmtId="169" fontId="18" fillId="5" borderId="20" xfId="0" applyNumberFormat="1" applyFont="1" applyFill="1" applyBorder="1" applyAlignment="1">
      <alignment vertical="top"/>
    </xf>
    <xf numFmtId="0" fontId="17" fillId="0" borderId="0" xfId="0" applyFont="1" applyAlignment="1">
      <alignment vertical="top"/>
    </xf>
    <xf numFmtId="169" fontId="18" fillId="0" borderId="0" xfId="0" applyNumberFormat="1" applyFont="1" applyAlignment="1">
      <alignment vertical="top"/>
    </xf>
    <xf numFmtId="169" fontId="18" fillId="0" borderId="0" xfId="0" applyNumberFormat="1" applyFont="1" applyAlignment="1">
      <alignment horizontal="right" vertical="top"/>
    </xf>
    <xf numFmtId="169" fontId="18" fillId="5" borderId="0" xfId="0" applyNumberFormat="1" applyFont="1" applyFill="1" applyAlignment="1">
      <alignment vertical="top"/>
    </xf>
    <xf numFmtId="0" fontId="17" fillId="5" borderId="0" xfId="0" applyFont="1" applyFill="1" applyAlignment="1">
      <alignment vertical="top" wrapText="1"/>
    </xf>
    <xf numFmtId="0" fontId="19" fillId="0" borderId="0" xfId="0" applyFont="1"/>
    <xf numFmtId="169" fontId="20" fillId="0" borderId="0" xfId="0" applyNumberFormat="1" applyFont="1"/>
    <xf numFmtId="0" fontId="16" fillId="0" borderId="0" xfId="0" applyFont="1" applyAlignment="1">
      <alignment vertical="top"/>
    </xf>
    <xf numFmtId="0" fontId="21" fillId="0" borderId="0" xfId="0" applyFont="1" applyAlignment="1">
      <alignment vertical="top"/>
    </xf>
    <xf numFmtId="169" fontId="21" fillId="0" borderId="0" xfId="0" applyNumberFormat="1" applyFont="1" applyAlignment="1">
      <alignment horizontal="right" vertical="top"/>
    </xf>
    <xf numFmtId="0" fontId="21" fillId="5" borderId="0" xfId="0" applyFont="1" applyFill="1" applyAlignment="1">
      <alignment vertical="top"/>
    </xf>
    <xf numFmtId="169" fontId="22" fillId="5" borderId="0" xfId="0" applyNumberFormat="1" applyFont="1" applyFill="1" applyAlignment="1">
      <alignment horizontal="right" vertical="top"/>
    </xf>
    <xf numFmtId="169" fontId="21" fillId="5" borderId="0" xfId="0" applyNumberFormat="1" applyFont="1" applyFill="1" applyAlignment="1">
      <alignment vertical="top"/>
    </xf>
    <xf numFmtId="169" fontId="22" fillId="5" borderId="0" xfId="0" applyNumberFormat="1" applyFont="1" applyFill="1" applyAlignment="1">
      <alignment vertical="top"/>
    </xf>
    <xf numFmtId="0" fontId="17" fillId="0" borderId="19" xfId="0" applyFont="1" applyBorder="1" applyAlignment="1">
      <alignment vertical="top"/>
    </xf>
    <xf numFmtId="169" fontId="18" fillId="0" borderId="19" xfId="0" applyNumberFormat="1" applyFont="1" applyBorder="1" applyAlignment="1">
      <alignment vertical="top"/>
    </xf>
    <xf numFmtId="0" fontId="19" fillId="0" borderId="1" xfId="0" applyNumberFormat="1" applyFont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9" fontId="13" fillId="0" borderId="1" xfId="0" applyNumberFormat="1" applyFont="1" applyBorder="1" applyAlignment="1">
      <alignment horizontal="center"/>
    </xf>
    <xf numFmtId="10" fontId="13" fillId="0" borderId="1" xfId="2" applyNumberFormat="1" applyFont="1" applyBorder="1" applyAlignment="1">
      <alignment horizontal="center"/>
    </xf>
    <xf numFmtId="10" fontId="13" fillId="0" borderId="1" xfId="0" applyNumberFormat="1" applyFont="1" applyBorder="1" applyAlignment="1">
      <alignment horizontal="center"/>
    </xf>
    <xf numFmtId="10" fontId="18" fillId="0" borderId="19" xfId="2" applyNumberFormat="1" applyFont="1" applyBorder="1" applyAlignment="1">
      <alignment horizontal="right" vertical="top"/>
    </xf>
    <xf numFmtId="164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0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6" fillId="0" borderId="18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1" fontId="0" fillId="0" borderId="23" xfId="0" applyNumberFormat="1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7" fontId="0" fillId="0" borderId="1" xfId="3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8" fontId="0" fillId="0" borderId="1" xfId="3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8" fillId="0" borderId="1" xfId="0" applyFont="1" applyBorder="1" applyAlignment="1">
      <alignment horizontal="right"/>
    </xf>
    <xf numFmtId="0" fontId="9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12" fillId="0" borderId="2" xfId="0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/>
    </xf>
    <xf numFmtId="168" fontId="0" fillId="0" borderId="1" xfId="3" applyNumberFormat="1" applyFont="1" applyBorder="1"/>
    <xf numFmtId="168" fontId="0" fillId="0" borderId="0" xfId="0" applyNumberFormat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4">
    <cellStyle name="Millares" xfId="3" builtinId="3"/>
    <cellStyle name="Moneda" xfId="1" builtinId="4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lineChart>
        <c:grouping val="standard"/>
        <c:ser>
          <c:idx val="0"/>
          <c:order val="0"/>
          <c:tx>
            <c:v>Variación Costos Variables</c:v>
          </c:tx>
          <c:cat>
            <c:numRef>
              <c:f>'analisis de sensibilidad'!$B$23:$B$31</c:f>
              <c:numCache>
                <c:formatCode>_-[$$-300A]\ * #,##0.00_ ;_-[$$-300A]\ * \-#,##0.00\ ;_-[$$-300A]\ * "-"??_ ;_-@_ </c:formatCode>
                <c:ptCount val="9"/>
                <c:pt idx="0">
                  <c:v>0.35100000000000003</c:v>
                </c:pt>
                <c:pt idx="1">
                  <c:v>0.36075000000000002</c:v>
                </c:pt>
                <c:pt idx="2">
                  <c:v>0.3705</c:v>
                </c:pt>
                <c:pt idx="3">
                  <c:v>0.38024999999999998</c:v>
                </c:pt>
                <c:pt idx="4">
                  <c:v>0.39</c:v>
                </c:pt>
                <c:pt idx="5">
                  <c:v>0.39974999999999999</c:v>
                </c:pt>
                <c:pt idx="6">
                  <c:v>0.40950000000000003</c:v>
                </c:pt>
                <c:pt idx="7">
                  <c:v>0.41925000000000001</c:v>
                </c:pt>
                <c:pt idx="8">
                  <c:v>0.42900000000000005</c:v>
                </c:pt>
              </c:numCache>
            </c:numRef>
          </c:cat>
          <c:val>
            <c:numRef>
              <c:f>'analisis de sensibilidad'!$C$23:$C$31</c:f>
              <c:numCache>
                <c:formatCode>_-[$$-300A]\ * #,##0.00_ ;_-[$$-300A]\ * \-#,##0.00\ ;_-[$$-300A]\ * "-"??_ ;_-@_ </c:formatCode>
                <c:ptCount val="9"/>
                <c:pt idx="0">
                  <c:v>225292.15624544711</c:v>
                </c:pt>
                <c:pt idx="1">
                  <c:v>205843.1868679311</c:v>
                </c:pt>
                <c:pt idx="2">
                  <c:v>186394.21749041526</c:v>
                </c:pt>
                <c:pt idx="3">
                  <c:v>166945.24811289934</c:v>
                </c:pt>
                <c:pt idx="4">
                  <c:v>147496.27873538301</c:v>
                </c:pt>
                <c:pt idx="5">
                  <c:v>128047.30935786753</c:v>
                </c:pt>
                <c:pt idx="6">
                  <c:v>108598.33998035181</c:v>
                </c:pt>
                <c:pt idx="7">
                  <c:v>89149.370602836076</c:v>
                </c:pt>
                <c:pt idx="8">
                  <c:v>69700.401225320122</c:v>
                </c:pt>
              </c:numCache>
            </c:numRef>
          </c:val>
        </c:ser>
        <c:marker val="1"/>
        <c:axId val="49701632"/>
        <c:axId val="49703168"/>
      </c:lineChart>
      <c:catAx>
        <c:axId val="49701632"/>
        <c:scaling>
          <c:orientation val="minMax"/>
        </c:scaling>
        <c:axPos val="b"/>
        <c:numFmt formatCode="_-[$$-300A]\ * #,##0.00_ ;_-[$$-300A]\ * \-#,##0.00\ ;_-[$$-300A]\ * &quot;-&quot;??_ ;_-@_ " sourceLinked="1"/>
        <c:tickLblPos val="nextTo"/>
        <c:crossAx val="49703168"/>
        <c:crosses val="autoZero"/>
        <c:auto val="1"/>
        <c:lblAlgn val="ctr"/>
        <c:lblOffset val="100"/>
      </c:catAx>
      <c:valAx>
        <c:axId val="49703168"/>
        <c:scaling>
          <c:orientation val="minMax"/>
        </c:scaling>
        <c:axPos val="l"/>
        <c:majorGridlines/>
        <c:numFmt formatCode="_-[$$-300A]\ * #,##0.00_ ;_-[$$-300A]\ * \-#,##0.00\ ;_-[$$-300A]\ * &quot;-&quot;??_ ;_-@_ " sourceLinked="1"/>
        <c:tickLblPos val="nextTo"/>
        <c:crossAx val="49701632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lineChart>
        <c:grouping val="standard"/>
        <c:ser>
          <c:idx val="0"/>
          <c:order val="0"/>
          <c:tx>
            <c:v>Variación Inversion en Activos</c:v>
          </c:tx>
          <c:cat>
            <c:numRef>
              <c:f>'analisis de sensibilidad'!$B$40:$B$48</c:f>
              <c:numCache>
                <c:formatCode>_-[$$-300A]\ * #,##0.00_ ;_-[$$-300A]\ * \-#,##0.00\ ;_-[$$-300A]\ * "-"??_ ;_-@_ </c:formatCode>
                <c:ptCount val="9"/>
                <c:pt idx="0">
                  <c:v>155664</c:v>
                </c:pt>
                <c:pt idx="1">
                  <c:v>159988</c:v>
                </c:pt>
                <c:pt idx="2">
                  <c:v>164312</c:v>
                </c:pt>
                <c:pt idx="3">
                  <c:v>168636</c:v>
                </c:pt>
                <c:pt idx="4">
                  <c:v>172960</c:v>
                </c:pt>
                <c:pt idx="5">
                  <c:v>177283.99999999997</c:v>
                </c:pt>
                <c:pt idx="6">
                  <c:v>181608</c:v>
                </c:pt>
                <c:pt idx="7">
                  <c:v>185932</c:v>
                </c:pt>
                <c:pt idx="8">
                  <c:v>190256.00000000003</c:v>
                </c:pt>
              </c:numCache>
            </c:numRef>
          </c:cat>
          <c:val>
            <c:numRef>
              <c:f>'analisis de sensibilidad'!$C$40:$C$48</c:f>
              <c:numCache>
                <c:formatCode>_-[$$-300A]\ * #,##0.00_ ;_-[$$-300A]\ * \-#,##0.00\ ;_-[$$-300A]\ * "-"??_ ;_-@_ </c:formatCode>
                <c:ptCount val="9"/>
                <c:pt idx="0">
                  <c:v>161441.13662360262</c:v>
                </c:pt>
                <c:pt idx="1">
                  <c:v>157954.9221515478</c:v>
                </c:pt>
                <c:pt idx="2">
                  <c:v>154468.70767949303</c:v>
                </c:pt>
                <c:pt idx="3">
                  <c:v>150982.49320743821</c:v>
                </c:pt>
                <c:pt idx="4">
                  <c:v>147496.27873538301</c:v>
                </c:pt>
                <c:pt idx="5">
                  <c:v>144010.06426332868</c:v>
                </c:pt>
                <c:pt idx="6">
                  <c:v>140523.84979127382</c:v>
                </c:pt>
                <c:pt idx="7">
                  <c:v>137037.635319219</c:v>
                </c:pt>
                <c:pt idx="8">
                  <c:v>133551.42084716415</c:v>
                </c:pt>
              </c:numCache>
            </c:numRef>
          </c:val>
        </c:ser>
        <c:marker val="1"/>
        <c:axId val="58316288"/>
        <c:axId val="58317824"/>
      </c:lineChart>
      <c:catAx>
        <c:axId val="58316288"/>
        <c:scaling>
          <c:orientation val="minMax"/>
        </c:scaling>
        <c:axPos val="b"/>
        <c:numFmt formatCode="_-[$$-300A]\ * #,##0.00_ ;_-[$$-300A]\ * \-#,##0.00\ ;_-[$$-300A]\ * &quot;-&quot;??_ ;_-@_ " sourceLinked="1"/>
        <c:tickLblPos val="nextTo"/>
        <c:crossAx val="58317824"/>
        <c:crosses val="autoZero"/>
        <c:auto val="1"/>
        <c:lblAlgn val="ctr"/>
        <c:lblOffset val="100"/>
      </c:catAx>
      <c:valAx>
        <c:axId val="58317824"/>
        <c:scaling>
          <c:orientation val="minMax"/>
        </c:scaling>
        <c:axPos val="l"/>
        <c:majorGridlines/>
        <c:numFmt formatCode="_-[$$-300A]\ * #,##0.00_ ;_-[$$-300A]\ * \-#,##0.00\ ;_-[$$-300A]\ * &quot;-&quot;??_ ;_-@_ " sourceLinked="1"/>
        <c:tickLblPos val="nextTo"/>
        <c:crossAx val="58316288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'analisis de sensibilidad'!$A$56:$D$56</c:f>
              <c:strCache>
                <c:ptCount val="1"/>
                <c:pt idx="0">
                  <c:v>Variacion Poblacion Obejetivo</c:v>
                </c:pt>
              </c:strCache>
            </c:strRef>
          </c:tx>
          <c:cat>
            <c:numRef>
              <c:f>'analisis de sensibilidad'!$B$58:$B$66</c:f>
              <c:numCache>
                <c:formatCode>_-* #,##0\ _€_-;\-* #,##0\ _€_-;_-* "-"??\ _€_-;_-@_-</c:formatCode>
                <c:ptCount val="9"/>
                <c:pt idx="0">
                  <c:v>1443346.2</c:v>
                </c:pt>
                <c:pt idx="1">
                  <c:v>1483439.1500000001</c:v>
                </c:pt>
                <c:pt idx="2">
                  <c:v>1523532.0999999999</c:v>
                </c:pt>
                <c:pt idx="3">
                  <c:v>1563625.05</c:v>
                </c:pt>
                <c:pt idx="4">
                  <c:v>1603718</c:v>
                </c:pt>
                <c:pt idx="5">
                  <c:v>1643810.95</c:v>
                </c:pt>
                <c:pt idx="6">
                  <c:v>1683903.9000000001</c:v>
                </c:pt>
                <c:pt idx="7">
                  <c:v>1723996.8499999999</c:v>
                </c:pt>
                <c:pt idx="8">
                  <c:v>1764089.8</c:v>
                </c:pt>
              </c:numCache>
            </c:numRef>
          </c:cat>
          <c:val>
            <c:numRef>
              <c:f>'analisis de sensibilidad'!$C$58:$C$66</c:f>
              <c:numCache>
                <c:formatCode>_-[$$-300A]\ * #,##0.00_ ;_-[$$-300A]\ * \-#,##0.00\ ;_-[$$-300A]\ * "-"??_ ;_-@_ </c:formatCode>
                <c:ptCount val="9"/>
                <c:pt idx="0">
                  <c:v>56765.698393581144</c:v>
                </c:pt>
                <c:pt idx="1">
                  <c:v>79588.154389796298</c:v>
                </c:pt>
                <c:pt idx="2">
                  <c:v>102224.1958383255</c:v>
                </c:pt>
                <c:pt idx="3">
                  <c:v>124860.23728685435</c:v>
                </c:pt>
                <c:pt idx="4">
                  <c:v>147496.27873538301</c:v>
                </c:pt>
                <c:pt idx="5">
                  <c:v>170132.32018391215</c:v>
                </c:pt>
                <c:pt idx="6">
                  <c:v>192768.36163244105</c:v>
                </c:pt>
                <c:pt idx="7">
                  <c:v>215404.40308096996</c:v>
                </c:pt>
                <c:pt idx="8">
                  <c:v>238040.44452949933</c:v>
                </c:pt>
              </c:numCache>
            </c:numRef>
          </c:val>
        </c:ser>
        <c:marker val="1"/>
        <c:axId val="59587968"/>
        <c:axId val="59599488"/>
      </c:lineChart>
      <c:catAx>
        <c:axId val="59587968"/>
        <c:scaling>
          <c:orientation val="minMax"/>
        </c:scaling>
        <c:axPos val="b"/>
        <c:numFmt formatCode="_-* #,##0\ _€_-;\-* #,##0\ _€_-;_-* &quot;-&quot;??\ _€_-;_-@_-" sourceLinked="1"/>
        <c:tickLblPos val="nextTo"/>
        <c:crossAx val="59599488"/>
        <c:crosses val="autoZero"/>
        <c:auto val="1"/>
        <c:lblAlgn val="ctr"/>
        <c:lblOffset val="100"/>
      </c:catAx>
      <c:valAx>
        <c:axId val="59599488"/>
        <c:scaling>
          <c:orientation val="minMax"/>
        </c:scaling>
        <c:axPos val="l"/>
        <c:majorGridlines/>
        <c:numFmt formatCode="_-[$$-300A]\ * #,##0.00_ ;_-[$$-300A]\ * \-#,##0.00\ ;_-[$$-300A]\ * &quot;-&quot;??_ ;_-@_ " sourceLinked="1"/>
        <c:tickLblPos val="nextTo"/>
        <c:crossAx val="59587968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'analisis de sensibilidad'!$A$3:$D$3</c:f>
              <c:strCache>
                <c:ptCount val="1"/>
                <c:pt idx="0">
                  <c:v>Variacion Precio</c:v>
                </c:pt>
              </c:strCache>
            </c:strRef>
          </c:tx>
          <c:marker>
            <c:symbol val="none"/>
          </c:marker>
          <c:cat>
            <c:numRef>
              <c:f>'analisis de sensibilidad'!$B$5:$B$13</c:f>
              <c:numCache>
                <c:formatCode>_-[$$-300A]\ * #,##0.00_ ;_-[$$-300A]\ * \-#,##0.00\ ;_-[$$-300A]\ * "-"??_ ;_-@_ </c:formatCode>
                <c:ptCount val="9"/>
                <c:pt idx="0">
                  <c:v>0.76500000000000001</c:v>
                </c:pt>
                <c:pt idx="1">
                  <c:v>0.78625</c:v>
                </c:pt>
                <c:pt idx="2">
                  <c:v>0.8075</c:v>
                </c:pt>
                <c:pt idx="3">
                  <c:v>0.82874999999999999</c:v>
                </c:pt>
                <c:pt idx="4">
                  <c:v>0.85</c:v>
                </c:pt>
                <c:pt idx="5">
                  <c:v>0.87124999999999986</c:v>
                </c:pt>
                <c:pt idx="6">
                  <c:v>0.89249999999999996</c:v>
                </c:pt>
                <c:pt idx="7">
                  <c:v>0.91374999999999995</c:v>
                </c:pt>
                <c:pt idx="8">
                  <c:v>0.93500000000000005</c:v>
                </c:pt>
              </c:numCache>
            </c:numRef>
          </c:cat>
          <c:val>
            <c:numRef>
              <c:f>'analisis de sensibilidad'!$C$5:$C$13</c:f>
              <c:numCache>
                <c:formatCode>_-[$$-300A]\ * #,##0.00_ ;_-[$$-300A]\ * \-#,##0.00\ ;_-[$$-300A]\ * "-"??_ ;_-@_ </c:formatCode>
                <c:ptCount val="9"/>
                <c:pt idx="0">
                  <c:v>-9824.4452856160933</c:v>
                </c:pt>
                <c:pt idx="1">
                  <c:v>29969.056511951436</c:v>
                </c:pt>
                <c:pt idx="2">
                  <c:v>69192.680445299702</c:v>
                </c:pt>
                <c:pt idx="3">
                  <c:v>108344.47959034148</c:v>
                </c:pt>
                <c:pt idx="4">
                  <c:v>147496.27873538301</c:v>
                </c:pt>
                <c:pt idx="5">
                  <c:v>186648.0778804252</c:v>
                </c:pt>
                <c:pt idx="6">
                  <c:v>225799.87702546714</c:v>
                </c:pt>
                <c:pt idx="7">
                  <c:v>264951.6761705089</c:v>
                </c:pt>
                <c:pt idx="8">
                  <c:v>323679.37488807162</c:v>
                </c:pt>
              </c:numCache>
            </c:numRef>
          </c:val>
        </c:ser>
        <c:marker val="1"/>
        <c:axId val="64971904"/>
        <c:axId val="64973824"/>
      </c:lineChart>
      <c:catAx>
        <c:axId val="64971904"/>
        <c:scaling>
          <c:orientation val="minMax"/>
        </c:scaling>
        <c:axPos val="b"/>
        <c:numFmt formatCode="_-[$$-300A]\ * #,##0.00_ ;_-[$$-300A]\ * \-#,##0.00\ ;_-[$$-300A]\ * &quot;-&quot;??_ ;_-@_ " sourceLinked="1"/>
        <c:tickLblPos val="nextTo"/>
        <c:crossAx val="64973824"/>
        <c:crosses val="autoZero"/>
        <c:auto val="1"/>
        <c:lblAlgn val="ctr"/>
        <c:lblOffset val="100"/>
      </c:catAx>
      <c:valAx>
        <c:axId val="64973824"/>
        <c:scaling>
          <c:orientation val="minMax"/>
        </c:scaling>
        <c:axPos val="l"/>
        <c:majorGridlines/>
        <c:numFmt formatCode="_-[$$-300A]\ * #,##0.00_ ;_-[$$-300A]\ * \-#,##0.00\ ;_-[$$-300A]\ * &quot;-&quot;??_ ;_-@_ " sourceLinked="1"/>
        <c:tickLblPos val="nextTo"/>
        <c:crossAx val="64971904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0</xdr:rowOff>
    </xdr:from>
    <xdr:to>
      <xdr:col>11</xdr:col>
      <xdr:colOff>0</xdr:colOff>
      <xdr:row>34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37</xdr:row>
      <xdr:rowOff>104775</xdr:rowOff>
    </xdr:from>
    <xdr:to>
      <xdr:col>11</xdr:col>
      <xdr:colOff>38100</xdr:colOff>
      <xdr:row>52</xdr:row>
      <xdr:rowOff>19050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56</xdr:row>
      <xdr:rowOff>0</xdr:rowOff>
    </xdr:from>
    <xdr:to>
      <xdr:col>11</xdr:col>
      <xdr:colOff>0</xdr:colOff>
      <xdr:row>70</xdr:row>
      <xdr:rowOff>76200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752474</xdr:colOff>
      <xdr:row>2</xdr:row>
      <xdr:rowOff>9525</xdr:rowOff>
    </xdr:from>
    <xdr:to>
      <xdr:col>11</xdr:col>
      <xdr:colOff>9525</xdr:colOff>
      <xdr:row>19</xdr:row>
      <xdr:rowOff>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70"/>
  <sheetViews>
    <sheetView tabSelected="1" workbookViewId="0">
      <selection activeCell="G80" sqref="G80"/>
    </sheetView>
  </sheetViews>
  <sheetFormatPr baseColWidth="10" defaultRowHeight="12.75" customHeight="1"/>
  <cols>
    <col min="1" max="1" width="10.85546875" customWidth="1"/>
    <col min="2" max="2" width="13" bestFit="1" customWidth="1"/>
    <col min="3" max="3" width="12.85546875" bestFit="1" customWidth="1"/>
    <col min="4" max="4" width="13.140625" bestFit="1" customWidth="1"/>
  </cols>
  <sheetData>
    <row r="3" spans="1:4" ht="12.75" customHeight="1">
      <c r="A3" s="128" t="s">
        <v>231</v>
      </c>
      <c r="B3" s="128"/>
      <c r="C3" s="128"/>
      <c r="D3" s="128"/>
    </row>
    <row r="4" spans="1:4" ht="12.75" customHeight="1">
      <c r="A4" s="2" t="s">
        <v>229</v>
      </c>
      <c r="B4" s="2" t="s">
        <v>225</v>
      </c>
      <c r="C4" s="2" t="s">
        <v>226</v>
      </c>
      <c r="D4" s="2" t="s">
        <v>230</v>
      </c>
    </row>
    <row r="5" spans="1:4" ht="12.75" customHeight="1">
      <c r="A5" s="62">
        <v>-0.1</v>
      </c>
      <c r="B5" s="59">
        <f t="shared" ref="B5:B7" si="0">$B$9*(1+A5)</f>
        <v>0.76500000000000001</v>
      </c>
      <c r="C5" s="59">
        <v>-9824.4452856160933</v>
      </c>
      <c r="D5" s="98">
        <f t="shared" ref="D5:D7" si="1">(C5/$C$9)-1</f>
        <v>-1.0666080891657053</v>
      </c>
    </row>
    <row r="6" spans="1:4" ht="12.75" customHeight="1">
      <c r="A6" s="78">
        <v>-7.4999999999999997E-2</v>
      </c>
      <c r="B6" s="59">
        <f t="shared" si="0"/>
        <v>0.78625</v>
      </c>
      <c r="C6" s="59">
        <v>29969.056511951436</v>
      </c>
      <c r="D6" s="98">
        <f t="shared" si="1"/>
        <v>-0.79681482971026218</v>
      </c>
    </row>
    <row r="7" spans="1:4" ht="12.75" customHeight="1">
      <c r="A7" s="62">
        <v>-0.05</v>
      </c>
      <c r="B7" s="59">
        <f t="shared" si="0"/>
        <v>0.8075</v>
      </c>
      <c r="C7" s="59">
        <v>69192.680445299702</v>
      </c>
      <c r="D7" s="98">
        <f t="shared" si="1"/>
        <v>-0.53088524647163848</v>
      </c>
    </row>
    <row r="8" spans="1:4" ht="12.75" customHeight="1">
      <c r="A8" s="78">
        <v>-2.5000000000000001E-2</v>
      </c>
      <c r="B8" s="59">
        <f>$B$9*(1+A8)</f>
        <v>0.82874999999999999</v>
      </c>
      <c r="C8" s="59">
        <v>108344.47959034148</v>
      </c>
      <c r="D8" s="98">
        <f>(C8/$C$9)-1</f>
        <v>-0.26544262323581846</v>
      </c>
    </row>
    <row r="9" spans="1:4" ht="12.75" customHeight="1">
      <c r="A9" s="62">
        <v>0</v>
      </c>
      <c r="B9" s="59">
        <v>0.85</v>
      </c>
      <c r="C9" s="127">
        <v>147496.27873538301</v>
      </c>
      <c r="D9" s="98">
        <f t="shared" ref="D9:D12" si="2">(C9/$C$9)-1</f>
        <v>0</v>
      </c>
    </row>
    <row r="10" spans="1:4" ht="12.75" customHeight="1">
      <c r="A10" s="78">
        <v>2.5000000000000001E-2</v>
      </c>
      <c r="B10" s="59">
        <f>$B$9*(1+A10)</f>
        <v>0.87124999999999986</v>
      </c>
      <c r="C10" s="59">
        <v>186648.0778804252</v>
      </c>
      <c r="D10" s="98">
        <f t="shared" si="2"/>
        <v>0.26544262323582291</v>
      </c>
    </row>
    <row r="11" spans="1:4" ht="12.75" customHeight="1">
      <c r="A11" s="62">
        <v>0.05</v>
      </c>
      <c r="B11" s="59">
        <f t="shared" ref="B11:B12" si="3">$B$9*(1+A11)</f>
        <v>0.89249999999999996</v>
      </c>
      <c r="C11" s="59">
        <v>225799.87702546714</v>
      </c>
      <c r="D11" s="98">
        <f t="shared" si="2"/>
        <v>0.53088524647164426</v>
      </c>
    </row>
    <row r="12" spans="1:4" ht="12.75" customHeight="1">
      <c r="A12" s="78">
        <v>7.4999999999999997E-2</v>
      </c>
      <c r="B12" s="59">
        <f t="shared" si="3"/>
        <v>0.91374999999999995</v>
      </c>
      <c r="C12" s="59">
        <v>264951.6761705089</v>
      </c>
      <c r="D12" s="98">
        <f t="shared" si="2"/>
        <v>0.79632786970746405</v>
      </c>
    </row>
    <row r="13" spans="1:4" ht="12.75" customHeight="1">
      <c r="A13" s="62">
        <v>0.1</v>
      </c>
      <c r="B13" s="59">
        <f>$B$9*(1+A13)</f>
        <v>0.93500000000000005</v>
      </c>
      <c r="C13" s="59">
        <v>323679.37488807162</v>
      </c>
      <c r="D13" s="98">
        <f>(C13/$C$9)-1</f>
        <v>1.1944918045611947</v>
      </c>
    </row>
    <row r="15" spans="1:4" ht="12.75" customHeight="1">
      <c r="B15" s="84">
        <f>C9-C8</f>
        <v>39151.799145041528</v>
      </c>
    </row>
    <row r="21" spans="1:4" ht="12.75" customHeight="1">
      <c r="A21" s="128" t="s">
        <v>232</v>
      </c>
      <c r="B21" s="128"/>
      <c r="C21" s="128"/>
      <c r="D21" s="128"/>
    </row>
    <row r="22" spans="1:4" ht="12.75" customHeight="1">
      <c r="A22" s="2" t="s">
        <v>233</v>
      </c>
      <c r="B22" s="2" t="s">
        <v>110</v>
      </c>
      <c r="C22" s="2" t="s">
        <v>226</v>
      </c>
      <c r="D22" s="2" t="s">
        <v>230</v>
      </c>
    </row>
    <row r="23" spans="1:4" ht="12.75" customHeight="1">
      <c r="A23" s="62">
        <v>-0.1</v>
      </c>
      <c r="B23" s="59">
        <f>$B$27*(1+A23)</f>
        <v>0.35100000000000003</v>
      </c>
      <c r="C23" s="59">
        <v>225292.15624544711</v>
      </c>
      <c r="D23" s="98">
        <f t="shared" ref="D23:D26" si="4">(C23/$C$27)-1</f>
        <v>0.52744298484732943</v>
      </c>
    </row>
    <row r="24" spans="1:4" ht="12.75" customHeight="1">
      <c r="A24" s="78">
        <v>-7.4999999999999997E-2</v>
      </c>
      <c r="B24" s="59">
        <f>$B$27*(1+A24)</f>
        <v>0.36075000000000002</v>
      </c>
      <c r="C24" s="59">
        <v>205843.1868679311</v>
      </c>
      <c r="D24" s="98">
        <f t="shared" si="4"/>
        <v>0.39558223863549724</v>
      </c>
    </row>
    <row r="25" spans="1:4" ht="12.75" customHeight="1">
      <c r="A25" s="62">
        <v>-0.05</v>
      </c>
      <c r="B25" s="59">
        <f>$B$27*(1+A25)</f>
        <v>0.3705</v>
      </c>
      <c r="C25" s="59">
        <v>186394.21749041526</v>
      </c>
      <c r="D25" s="98">
        <f t="shared" si="4"/>
        <v>0.26372149242366616</v>
      </c>
    </row>
    <row r="26" spans="1:4" ht="12.75" customHeight="1">
      <c r="A26" s="78">
        <v>-2.5000000000000001E-2</v>
      </c>
      <c r="B26" s="59">
        <f>$B$27*(1+A26)</f>
        <v>0.38024999999999998</v>
      </c>
      <c r="C26" s="59">
        <v>166945.24811289934</v>
      </c>
      <c r="D26" s="98">
        <f t="shared" si="4"/>
        <v>0.13186074621183441</v>
      </c>
    </row>
    <row r="27" spans="1:4" ht="12.75" customHeight="1">
      <c r="A27" s="62">
        <v>0</v>
      </c>
      <c r="B27" s="59">
        <v>0.39</v>
      </c>
      <c r="C27" s="127">
        <v>147496.27873538301</v>
      </c>
      <c r="D27" s="98">
        <f>(C27/$C$27)-1</f>
        <v>0</v>
      </c>
    </row>
    <row r="28" spans="1:4" ht="12.75" customHeight="1">
      <c r="A28" s="78">
        <v>2.5000000000000001E-2</v>
      </c>
      <c r="B28" s="59">
        <f>$B$27*(1+A28)</f>
        <v>0.39974999999999999</v>
      </c>
      <c r="C28" s="59">
        <v>128047.30935786753</v>
      </c>
      <c r="D28" s="98">
        <f>(C28/$C$27)-1</f>
        <v>-0.13186074621182864</v>
      </c>
    </row>
    <row r="29" spans="1:4" ht="12.75" customHeight="1">
      <c r="A29" s="62">
        <v>0.05</v>
      </c>
      <c r="B29" s="59">
        <f>$B$27*(1+A29)</f>
        <v>0.40950000000000003</v>
      </c>
      <c r="C29" s="59">
        <v>108598.33998035181</v>
      </c>
      <c r="D29" s="98">
        <f t="shared" ref="D29:D31" si="5">(C29/$C$27)-1</f>
        <v>-0.26372149242365894</v>
      </c>
    </row>
    <row r="30" spans="1:4" ht="12.75" customHeight="1">
      <c r="A30" s="78">
        <v>7.4999999999999997E-2</v>
      </c>
      <c r="B30" s="59">
        <f>$B$27*(1+A30)</f>
        <v>0.41925000000000001</v>
      </c>
      <c r="C30" s="59">
        <v>89149.370602836076</v>
      </c>
      <c r="D30" s="98">
        <f t="shared" si="5"/>
        <v>-0.39558223863548936</v>
      </c>
    </row>
    <row r="31" spans="1:4" ht="12.75" customHeight="1">
      <c r="A31" s="62">
        <v>0.1</v>
      </c>
      <c r="B31" s="59">
        <f>$B$27*(1+A31)</f>
        <v>0.42900000000000005</v>
      </c>
      <c r="C31" s="59">
        <v>69700.401225320122</v>
      </c>
      <c r="D31" s="98">
        <f t="shared" si="5"/>
        <v>-0.52744298484732122</v>
      </c>
    </row>
    <row r="34" spans="1:4" ht="12.75" customHeight="1">
      <c r="B34" s="84">
        <f>C27-C26</f>
        <v>-19448.969377516332</v>
      </c>
    </row>
    <row r="38" spans="1:4" ht="12.75" customHeight="1">
      <c r="A38" s="129" t="s">
        <v>234</v>
      </c>
      <c r="B38" s="129"/>
      <c r="C38" s="129"/>
      <c r="D38" s="129"/>
    </row>
    <row r="39" spans="1:4" ht="12.75" customHeight="1">
      <c r="A39" s="122" t="s">
        <v>233</v>
      </c>
      <c r="B39" s="122" t="s">
        <v>235</v>
      </c>
      <c r="C39" s="122" t="s">
        <v>226</v>
      </c>
      <c r="D39" s="122" t="s">
        <v>230</v>
      </c>
    </row>
    <row r="40" spans="1:4" ht="12.75" customHeight="1">
      <c r="A40" s="123">
        <v>-0.1</v>
      </c>
      <c r="B40" s="100">
        <f t="shared" ref="B40:B42" si="6">$B$44*(1+A40)</f>
        <v>155664</v>
      </c>
      <c r="C40" s="100">
        <v>161441.13662360262</v>
      </c>
      <c r="D40" s="124">
        <f t="shared" ref="D40:D43" si="7">(C40/$C$44)-1</f>
        <v>9.454379464879592E-2</v>
      </c>
    </row>
    <row r="41" spans="1:4" ht="12.75" customHeight="1">
      <c r="A41" s="125">
        <v>-7.4999999999999997E-2</v>
      </c>
      <c r="B41" s="100">
        <f t="shared" si="6"/>
        <v>159988</v>
      </c>
      <c r="C41" s="100">
        <v>157954.9221515478</v>
      </c>
      <c r="D41" s="124">
        <f t="shared" si="7"/>
        <v>7.0907845986597495E-2</v>
      </c>
    </row>
    <row r="42" spans="1:4" ht="12.75" customHeight="1">
      <c r="A42" s="123">
        <v>-0.05</v>
      </c>
      <c r="B42" s="100">
        <f t="shared" si="6"/>
        <v>164312</v>
      </c>
      <c r="C42" s="100">
        <v>154468.70767949303</v>
      </c>
      <c r="D42" s="124">
        <f t="shared" si="7"/>
        <v>4.7271897324399514E-2</v>
      </c>
    </row>
    <row r="43" spans="1:4" ht="12.75" customHeight="1">
      <c r="A43" s="125">
        <v>-2.5000000000000001E-2</v>
      </c>
      <c r="B43" s="100">
        <f>$B$44*(1+A43)</f>
        <v>168636</v>
      </c>
      <c r="C43" s="100">
        <v>150982.49320743821</v>
      </c>
      <c r="D43" s="124">
        <f t="shared" si="7"/>
        <v>2.3635948662201089E-2</v>
      </c>
    </row>
    <row r="44" spans="1:4" ht="12.75" customHeight="1">
      <c r="A44" s="123">
        <v>0</v>
      </c>
      <c r="B44" s="100">
        <v>172960</v>
      </c>
      <c r="C44" s="100">
        <v>147496.27873538301</v>
      </c>
      <c r="D44" s="124">
        <f>(C44/$C$44)-1</f>
        <v>0</v>
      </c>
    </row>
    <row r="45" spans="1:4" ht="12.75" customHeight="1">
      <c r="A45" s="125">
        <v>2.5000000000000001E-2</v>
      </c>
      <c r="B45" s="100">
        <f>$B$44*(1+A45)</f>
        <v>177283.99999999997</v>
      </c>
      <c r="C45" s="100">
        <v>144010.06426332868</v>
      </c>
      <c r="D45" s="124">
        <f>(C45/$C$44)-1</f>
        <v>-2.3635948662195094E-2</v>
      </c>
    </row>
    <row r="46" spans="1:4" ht="12.75" customHeight="1">
      <c r="A46" s="123">
        <v>0.05</v>
      </c>
      <c r="B46" s="100">
        <f t="shared" ref="B46:B48" si="8">$B$44*(1+A46)</f>
        <v>181608</v>
      </c>
      <c r="C46" s="100">
        <v>140523.84979127382</v>
      </c>
      <c r="D46" s="124">
        <f>(C46/$C$44)-1</f>
        <v>-4.7271897324393741E-2</v>
      </c>
    </row>
    <row r="47" spans="1:4" ht="12.75" customHeight="1">
      <c r="A47" s="125">
        <v>7.4999999999999997E-2</v>
      </c>
      <c r="B47" s="100">
        <f t="shared" si="8"/>
        <v>185932</v>
      </c>
      <c r="C47" s="100">
        <v>137037.635319219</v>
      </c>
      <c r="D47" s="124">
        <f>(C47/$C$44)-1</f>
        <v>-7.0907845986592166E-2</v>
      </c>
    </row>
    <row r="48" spans="1:4" ht="12.75" customHeight="1">
      <c r="A48" s="123">
        <v>0.1</v>
      </c>
      <c r="B48" s="100">
        <f t="shared" si="8"/>
        <v>190256.00000000003</v>
      </c>
      <c r="C48" s="100">
        <v>133551.42084716415</v>
      </c>
      <c r="D48" s="124">
        <f>(C48/$C$44)-1</f>
        <v>-9.4543794648790813E-2</v>
      </c>
    </row>
    <row r="51" spans="1:4" ht="12.75" customHeight="1">
      <c r="B51" s="84">
        <f>B44-B45</f>
        <v>-4323.9999999999709</v>
      </c>
      <c r="C51" s="84">
        <f>C44-C43</f>
        <v>-3486.2144720552024</v>
      </c>
    </row>
    <row r="52" spans="1:4" ht="12.75" customHeight="1">
      <c r="C52" s="84"/>
    </row>
    <row r="56" spans="1:4" ht="12.75" customHeight="1">
      <c r="A56" s="128" t="s">
        <v>237</v>
      </c>
      <c r="B56" s="128"/>
      <c r="C56" s="128"/>
      <c r="D56" s="128"/>
    </row>
    <row r="57" spans="1:4" ht="12.75" customHeight="1">
      <c r="A57" s="2" t="s">
        <v>233</v>
      </c>
      <c r="B57" s="2" t="s">
        <v>220</v>
      </c>
      <c r="C57" s="2" t="s">
        <v>226</v>
      </c>
      <c r="D57" s="2" t="s">
        <v>230</v>
      </c>
    </row>
    <row r="58" spans="1:4" ht="12.75" customHeight="1">
      <c r="A58" s="62">
        <v>-0.1</v>
      </c>
      <c r="B58" s="181">
        <f>$B$62*(1+A58)</f>
        <v>1443346.2</v>
      </c>
      <c r="C58" s="59">
        <v>56765.698393581144</v>
      </c>
      <c r="D58" s="98">
        <f t="shared" ref="D58:D61" si="9">(C58/$C$62)-1</f>
        <v>-0.61513809785383033</v>
      </c>
    </row>
    <row r="59" spans="1:4" ht="12.75" customHeight="1">
      <c r="A59" s="78">
        <v>-7.4999999999999997E-2</v>
      </c>
      <c r="B59" s="181">
        <f>$B$62*(1+A59)</f>
        <v>1483439.1500000001</v>
      </c>
      <c r="C59" s="59">
        <v>79588.154389796298</v>
      </c>
      <c r="D59" s="98">
        <f t="shared" si="9"/>
        <v>-0.46040567889456974</v>
      </c>
    </row>
    <row r="60" spans="1:4" ht="12.75" customHeight="1">
      <c r="A60" s="62">
        <v>-0.05</v>
      </c>
      <c r="B60" s="181">
        <f>$B$62*(1+A60)</f>
        <v>1523532.0999999999</v>
      </c>
      <c r="C60" s="59">
        <v>102224.1958383255</v>
      </c>
      <c r="D60" s="98">
        <f t="shared" si="9"/>
        <v>-0.30693711926304446</v>
      </c>
    </row>
    <row r="61" spans="1:4" ht="12.75" customHeight="1">
      <c r="A61" s="78">
        <v>-2.5000000000000001E-2</v>
      </c>
      <c r="B61" s="181">
        <f>$B$62*(1+A61)</f>
        <v>1563625.05</v>
      </c>
      <c r="C61" s="59">
        <v>124860.23728685435</v>
      </c>
      <c r="D61" s="98">
        <f t="shared" si="9"/>
        <v>-0.15346855963152162</v>
      </c>
    </row>
    <row r="62" spans="1:4" ht="12.75" customHeight="1">
      <c r="A62" s="62">
        <v>0</v>
      </c>
      <c r="B62" s="181">
        <v>1603718</v>
      </c>
      <c r="C62" s="127">
        <v>147496.27873538301</v>
      </c>
      <c r="D62" s="98">
        <f>(C62/$C$62)-1</f>
        <v>0</v>
      </c>
    </row>
    <row r="63" spans="1:4" ht="12.75" customHeight="1">
      <c r="A63" s="78">
        <v>2.5000000000000001E-2</v>
      </c>
      <c r="B63" s="181">
        <f>$B$62*(1+A63)</f>
        <v>1643810.95</v>
      </c>
      <c r="C63" s="59">
        <v>170132.32018391215</v>
      </c>
      <c r="D63" s="98">
        <f t="shared" ref="D63:D66" si="10">(C63/$C$62)-1</f>
        <v>0.15346855963152484</v>
      </c>
    </row>
    <row r="64" spans="1:4" ht="12.75" customHeight="1">
      <c r="A64" s="62">
        <v>0.05</v>
      </c>
      <c r="B64" s="181">
        <f>$B$62*(1+A64)</f>
        <v>1683903.9000000001</v>
      </c>
      <c r="C64" s="59">
        <v>192768.36163244105</v>
      </c>
      <c r="D64" s="98">
        <f t="shared" si="10"/>
        <v>0.30693711926304812</v>
      </c>
    </row>
    <row r="65" spans="1:4" ht="12.75" customHeight="1">
      <c r="A65" s="78">
        <v>7.4999999999999997E-2</v>
      </c>
      <c r="B65" s="181">
        <f>$B$62*(1+A65)</f>
        <v>1723996.8499999999</v>
      </c>
      <c r="C65" s="59">
        <v>215404.40308096996</v>
      </c>
      <c r="D65" s="98">
        <f t="shared" si="10"/>
        <v>0.4604056788945714</v>
      </c>
    </row>
    <row r="66" spans="1:4" ht="12.75" customHeight="1">
      <c r="A66" s="62">
        <v>0.1</v>
      </c>
      <c r="B66" s="181">
        <f>$B$62*(1+A66)</f>
        <v>1764089.8</v>
      </c>
      <c r="C66" s="59">
        <v>238040.44452949933</v>
      </c>
      <c r="D66" s="98">
        <f t="shared" si="10"/>
        <v>0.61387423852609779</v>
      </c>
    </row>
    <row r="68" spans="1:4" ht="12.75" customHeight="1">
      <c r="B68" s="182">
        <f>B62-B61</f>
        <v>40092.949999999953</v>
      </c>
      <c r="C68" s="84">
        <f>C62-C61</f>
        <v>22636.04144852866</v>
      </c>
    </row>
    <row r="70" spans="1:4" ht="12.75" customHeight="1">
      <c r="B70" s="14">
        <f>C68/B68</f>
        <v>0.56458907235632916</v>
      </c>
    </row>
  </sheetData>
  <mergeCells count="4">
    <mergeCell ref="A3:D3"/>
    <mergeCell ref="A21:D21"/>
    <mergeCell ref="A38:D38"/>
    <mergeCell ref="A56:D5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G17"/>
  <sheetViews>
    <sheetView workbookViewId="0">
      <selection activeCell="D9" sqref="D9"/>
    </sheetView>
  </sheetViews>
  <sheetFormatPr baseColWidth="10" defaultRowHeight="15"/>
  <cols>
    <col min="1" max="1" width="17.7109375" bestFit="1" customWidth="1"/>
    <col min="2" max="2" width="8.28515625" bestFit="1" customWidth="1"/>
    <col min="3" max="3" width="5.140625" bestFit="1" customWidth="1"/>
    <col min="4" max="4" width="7.7109375" bestFit="1" customWidth="1"/>
    <col min="5" max="5" width="14" bestFit="1" customWidth="1"/>
    <col min="6" max="6" width="11" bestFit="1" customWidth="1"/>
    <col min="7" max="7" width="8.28515625" bestFit="1" customWidth="1"/>
  </cols>
  <sheetData>
    <row r="2" spans="1:7">
      <c r="A2" s="179" t="s">
        <v>156</v>
      </c>
      <c r="B2" s="65" t="s">
        <v>157</v>
      </c>
      <c r="C2" s="64" t="s">
        <v>158</v>
      </c>
      <c r="D2" s="64" t="s">
        <v>159</v>
      </c>
      <c r="E2" s="64" t="s">
        <v>160</v>
      </c>
      <c r="F2" s="64" t="s">
        <v>159</v>
      </c>
      <c r="G2" s="64" t="s">
        <v>161</v>
      </c>
    </row>
    <row r="3" spans="1:7">
      <c r="A3" s="179"/>
      <c r="B3" s="65" t="s">
        <v>162</v>
      </c>
      <c r="C3" s="64" t="s">
        <v>163</v>
      </c>
      <c r="D3" s="64" t="s">
        <v>164</v>
      </c>
      <c r="E3" s="64" t="s">
        <v>165</v>
      </c>
      <c r="F3" s="64" t="s">
        <v>166</v>
      </c>
      <c r="G3" s="64" t="s">
        <v>167</v>
      </c>
    </row>
    <row r="4" spans="1:7">
      <c r="A4" s="64" t="s">
        <v>168</v>
      </c>
      <c r="B4" s="73">
        <v>3000</v>
      </c>
      <c r="C4" s="73">
        <v>3</v>
      </c>
      <c r="D4" s="73">
        <f>B4/C4</f>
        <v>1000</v>
      </c>
      <c r="E4" s="74">
        <v>3</v>
      </c>
      <c r="F4" s="73">
        <f>D4*E4</f>
        <v>3000</v>
      </c>
      <c r="G4" s="73">
        <f>B4-F4</f>
        <v>0</v>
      </c>
    </row>
    <row r="5" spans="1:7">
      <c r="A5" s="64" t="s">
        <v>169</v>
      </c>
      <c r="B5" s="73">
        <v>3000</v>
      </c>
      <c r="C5" s="73">
        <v>10</v>
      </c>
      <c r="D5" s="73">
        <f t="shared" ref="D5:D7" si="0">B5/C5</f>
        <v>300</v>
      </c>
      <c r="E5" s="74">
        <v>5</v>
      </c>
      <c r="F5" s="73">
        <f t="shared" ref="F5:F8" si="1">D5*E5</f>
        <v>1500</v>
      </c>
      <c r="G5" s="73">
        <f t="shared" ref="G5:G8" si="2">B5-F5</f>
        <v>1500</v>
      </c>
    </row>
    <row r="6" spans="1:7">
      <c r="A6" s="64" t="s">
        <v>170</v>
      </c>
      <c r="B6" s="73">
        <v>5000</v>
      </c>
      <c r="C6" s="73">
        <v>10</v>
      </c>
      <c r="D6" s="73">
        <f t="shared" si="0"/>
        <v>500</v>
      </c>
      <c r="E6" s="74">
        <v>5</v>
      </c>
      <c r="F6" s="73">
        <f t="shared" si="1"/>
        <v>2500</v>
      </c>
      <c r="G6" s="73">
        <f t="shared" si="2"/>
        <v>2500</v>
      </c>
    </row>
    <row r="7" spans="1:7">
      <c r="A7" s="64" t="s">
        <v>171</v>
      </c>
      <c r="B7" s="73">
        <v>20000</v>
      </c>
      <c r="C7" s="73">
        <v>10</v>
      </c>
      <c r="D7" s="73">
        <f t="shared" si="0"/>
        <v>2000</v>
      </c>
      <c r="E7" s="74">
        <v>5</v>
      </c>
      <c r="F7" s="73">
        <f t="shared" si="1"/>
        <v>10000</v>
      </c>
      <c r="G7" s="73">
        <f t="shared" si="2"/>
        <v>10000</v>
      </c>
    </row>
    <row r="8" spans="1:7">
      <c r="A8" s="64" t="s">
        <v>172</v>
      </c>
      <c r="B8" s="73">
        <v>140000</v>
      </c>
      <c r="C8" s="73">
        <v>20</v>
      </c>
      <c r="D8" s="73">
        <f>B8/C8</f>
        <v>7000</v>
      </c>
      <c r="E8" s="74">
        <v>5</v>
      </c>
      <c r="F8" s="73">
        <f t="shared" si="1"/>
        <v>35000</v>
      </c>
      <c r="G8" s="73">
        <f t="shared" si="2"/>
        <v>105000</v>
      </c>
    </row>
    <row r="9" spans="1:7">
      <c r="A9" s="180" t="s">
        <v>173</v>
      </c>
      <c r="B9" s="180"/>
      <c r="C9" s="180"/>
      <c r="D9" s="75">
        <f>SUM(D4:D8)</f>
        <v>10800</v>
      </c>
      <c r="E9" s="180" t="s">
        <v>174</v>
      </c>
      <c r="F9" s="180"/>
      <c r="G9" s="75">
        <f>SUM(G4:G8)</f>
        <v>119000</v>
      </c>
    </row>
    <row r="12" spans="1:7">
      <c r="A12" s="133" t="s">
        <v>178</v>
      </c>
      <c r="B12" s="133"/>
    </row>
    <row r="13" spans="1:7">
      <c r="A13" s="9" t="s">
        <v>179</v>
      </c>
      <c r="B13" s="9" t="s">
        <v>36</v>
      </c>
    </row>
    <row r="14" spans="1:7">
      <c r="A14" s="9" t="s">
        <v>175</v>
      </c>
      <c r="B14" s="78">
        <v>2.3400000000000001E-2</v>
      </c>
    </row>
    <row r="15" spans="1:7">
      <c r="A15" s="9" t="s">
        <v>176</v>
      </c>
      <c r="B15" s="78">
        <v>0.30599999999999999</v>
      </c>
    </row>
    <row r="16" spans="1:7">
      <c r="A16" s="9" t="s">
        <v>177</v>
      </c>
      <c r="B16" s="2">
        <v>0.56999999999999995</v>
      </c>
    </row>
    <row r="17" spans="1:2">
      <c r="A17" s="9" t="s">
        <v>180</v>
      </c>
      <c r="B17" s="79">
        <f>B14+(B16*(B15-B14))</f>
        <v>0.18448200000000001</v>
      </c>
    </row>
  </sheetData>
  <mergeCells count="4">
    <mergeCell ref="A2:A3"/>
    <mergeCell ref="A9:C9"/>
    <mergeCell ref="E9:F9"/>
    <mergeCell ref="A12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72"/>
  <sheetViews>
    <sheetView topLeftCell="A4" workbookViewId="0">
      <selection activeCell="M11" sqref="M11"/>
    </sheetView>
  </sheetViews>
  <sheetFormatPr baseColWidth="10" defaultRowHeight="15"/>
  <cols>
    <col min="1" max="1" width="11.7109375" customWidth="1"/>
    <col min="2" max="2" width="6.28515625" customWidth="1"/>
    <col min="3" max="3" width="10.42578125" bestFit="1" customWidth="1"/>
    <col min="4" max="4" width="21.28515625" bestFit="1" customWidth="1"/>
    <col min="5" max="5" width="3" bestFit="1" customWidth="1"/>
    <col min="6" max="6" width="4.5703125" bestFit="1" customWidth="1"/>
    <col min="7" max="7" width="12" bestFit="1" customWidth="1"/>
    <col min="8" max="8" width="4.5703125" bestFit="1" customWidth="1"/>
    <col min="9" max="9" width="12" bestFit="1" customWidth="1"/>
    <col min="10" max="10" width="13" bestFit="1" customWidth="1"/>
    <col min="11" max="11" width="14.5703125" bestFit="1" customWidth="1"/>
    <col min="12" max="12" width="11.42578125" customWidth="1"/>
  </cols>
  <sheetData>
    <row r="1" spans="1:14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</row>
    <row r="2" spans="1:1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2"/>
    </row>
    <row r="3" spans="1:14" ht="30" customHeight="1">
      <c r="A3" s="25" t="s">
        <v>22</v>
      </c>
      <c r="B3" s="161" t="s">
        <v>212</v>
      </c>
      <c r="C3" s="161"/>
      <c r="D3" s="161"/>
      <c r="E3" s="161"/>
      <c r="F3" s="161"/>
      <c r="G3" s="162"/>
      <c r="H3" s="161" t="s">
        <v>219</v>
      </c>
      <c r="I3" s="161"/>
      <c r="J3" s="161" t="s">
        <v>227</v>
      </c>
      <c r="K3" s="161" t="s">
        <v>33</v>
      </c>
      <c r="L3" s="161"/>
    </row>
    <row r="4" spans="1:14">
      <c r="A4" s="25"/>
      <c r="B4" s="87" t="s">
        <v>36</v>
      </c>
      <c r="C4" s="87" t="s">
        <v>213</v>
      </c>
      <c r="D4" s="128" t="s">
        <v>214</v>
      </c>
      <c r="E4" s="128"/>
      <c r="F4" s="128"/>
      <c r="G4" s="93" t="s">
        <v>220</v>
      </c>
      <c r="H4" s="25" t="s">
        <v>36</v>
      </c>
      <c r="I4" s="25" t="s">
        <v>37</v>
      </c>
      <c r="J4" s="161"/>
      <c r="K4" s="25" t="s">
        <v>228</v>
      </c>
      <c r="L4" s="25" t="s">
        <v>37</v>
      </c>
    </row>
    <row r="5" spans="1:14">
      <c r="A5" s="134" t="s">
        <v>95</v>
      </c>
      <c r="B5" s="135"/>
      <c r="C5" s="135"/>
      <c r="D5" s="135"/>
      <c r="E5" s="135"/>
      <c r="F5" s="135"/>
      <c r="G5" s="136"/>
      <c r="H5" s="134" t="s">
        <v>95</v>
      </c>
      <c r="I5" s="135"/>
      <c r="J5" s="135"/>
      <c r="K5" s="135"/>
      <c r="L5" s="136"/>
    </row>
    <row r="6" spans="1:14">
      <c r="A6" s="183">
        <v>1603718</v>
      </c>
      <c r="B6" s="3">
        <v>0.1</v>
      </c>
      <c r="C6" s="4">
        <f>$A$6*B6</f>
        <v>160371.80000000002</v>
      </c>
      <c r="D6" s="2" t="s">
        <v>215</v>
      </c>
      <c r="E6" s="2">
        <v>30</v>
      </c>
      <c r="F6" s="2">
        <f>E6/6</f>
        <v>5</v>
      </c>
      <c r="G6" s="95">
        <f>C6*F6</f>
        <v>801859.00000000012</v>
      </c>
      <c r="H6" s="160">
        <v>0.52</v>
      </c>
      <c r="I6" s="156">
        <f>G10*H6</f>
        <v>1214762.9277333335</v>
      </c>
      <c r="J6" s="156">
        <f>I6*12</f>
        <v>14577155.132800002</v>
      </c>
      <c r="K6" s="157">
        <v>0.03</v>
      </c>
      <c r="L6" s="152">
        <f>J6*K6</f>
        <v>437314.65398400003</v>
      </c>
      <c r="M6" s="60"/>
      <c r="N6" s="60"/>
    </row>
    <row r="7" spans="1:14">
      <c r="A7" s="184"/>
      <c r="B7" s="3">
        <v>0.32</v>
      </c>
      <c r="C7" s="4">
        <f>$A$6*B7</f>
        <v>513189.76</v>
      </c>
      <c r="D7" s="2" t="s">
        <v>216</v>
      </c>
      <c r="E7" s="2">
        <v>12</v>
      </c>
      <c r="F7" s="2">
        <f t="shared" ref="F7:F9" si="0">E7/6</f>
        <v>2</v>
      </c>
      <c r="G7" s="96">
        <f t="shared" ref="G7:G9" si="1">C7*F7</f>
        <v>1026379.52</v>
      </c>
      <c r="H7" s="160"/>
      <c r="I7" s="156"/>
      <c r="J7" s="156"/>
      <c r="K7" s="157"/>
      <c r="L7" s="153"/>
    </row>
    <row r="8" spans="1:14">
      <c r="A8" s="184"/>
      <c r="B8" s="3">
        <v>0.44</v>
      </c>
      <c r="C8" s="4">
        <f>$A$6*B8</f>
        <v>705635.92</v>
      </c>
      <c r="D8" s="2" t="s">
        <v>217</v>
      </c>
      <c r="E8" s="2">
        <v>4</v>
      </c>
      <c r="F8" s="57">
        <f t="shared" si="0"/>
        <v>0.66666666666666663</v>
      </c>
      <c r="G8" s="96">
        <f t="shared" si="1"/>
        <v>470423.94666666666</v>
      </c>
      <c r="H8" s="160"/>
      <c r="I8" s="156"/>
      <c r="J8" s="156"/>
      <c r="K8" s="157"/>
      <c r="L8" s="153"/>
    </row>
    <row r="9" spans="1:14">
      <c r="A9" s="185"/>
      <c r="B9" s="3">
        <v>0.14000000000000001</v>
      </c>
      <c r="C9" s="4">
        <f>$A$6*B9</f>
        <v>224520.52000000002</v>
      </c>
      <c r="D9" s="2" t="s">
        <v>218</v>
      </c>
      <c r="E9" s="2">
        <v>1</v>
      </c>
      <c r="F9" s="57">
        <f t="shared" si="0"/>
        <v>0.16666666666666666</v>
      </c>
      <c r="G9" s="96">
        <f t="shared" si="1"/>
        <v>37420.08666666667</v>
      </c>
      <c r="H9" s="160"/>
      <c r="I9" s="156"/>
      <c r="J9" s="156"/>
      <c r="K9" s="157"/>
      <c r="L9" s="154"/>
      <c r="M9" s="182"/>
    </row>
    <row r="10" spans="1:14">
      <c r="A10" s="26" t="s">
        <v>5</v>
      </c>
      <c r="B10" s="62">
        <f>SUM(B6:B9)</f>
        <v>1</v>
      </c>
      <c r="C10" s="4">
        <f>SUM(C6:C9)</f>
        <v>1603718</v>
      </c>
      <c r="D10" s="2"/>
      <c r="E10" s="2"/>
      <c r="F10" s="2"/>
      <c r="G10" s="96">
        <f>SUM(G6:G9)</f>
        <v>2336082.5533333337</v>
      </c>
      <c r="H10" s="3"/>
      <c r="I10" s="3"/>
      <c r="J10" s="3"/>
      <c r="K10" s="3"/>
      <c r="L10" s="27"/>
    </row>
    <row r="11" spans="1:14">
      <c r="A11" s="134" t="s">
        <v>96</v>
      </c>
      <c r="B11" s="135"/>
      <c r="C11" s="135"/>
      <c r="D11" s="135"/>
      <c r="E11" s="135"/>
      <c r="F11" s="135"/>
      <c r="G11" s="136"/>
      <c r="H11" s="134" t="str">
        <f>A11</f>
        <v>Año 2</v>
      </c>
      <c r="I11" s="135"/>
      <c r="J11" s="135"/>
      <c r="K11" s="135"/>
      <c r="L11" s="136"/>
    </row>
    <row r="12" spans="1:14">
      <c r="A12" s="155">
        <f>A6*(1+$G$37)</f>
        <v>1643810.95</v>
      </c>
      <c r="B12" s="3">
        <v>0.1</v>
      </c>
      <c r="C12" s="4">
        <f>$A$12*B12</f>
        <v>164381.095</v>
      </c>
      <c r="D12" s="2" t="s">
        <v>215</v>
      </c>
      <c r="E12" s="2">
        <v>30</v>
      </c>
      <c r="F12" s="2">
        <f>E12/6</f>
        <v>5</v>
      </c>
      <c r="G12" s="96">
        <f>C12*F12</f>
        <v>821905.47499999998</v>
      </c>
      <c r="H12" s="159">
        <v>0.52</v>
      </c>
      <c r="I12" s="158">
        <f>G16*H12</f>
        <v>1245132.0009266667</v>
      </c>
      <c r="J12" s="158">
        <f>I12*12</f>
        <v>14941584.011119999</v>
      </c>
      <c r="K12" s="157">
        <v>0.05</v>
      </c>
      <c r="L12" s="155">
        <f>J12*K12</f>
        <v>747079.200556</v>
      </c>
      <c r="M12" s="76"/>
    </row>
    <row r="13" spans="1:14">
      <c r="A13" s="155"/>
      <c r="B13" s="3">
        <v>0.32</v>
      </c>
      <c r="C13" s="4">
        <f>$A$12*B13</f>
        <v>526019.50399999996</v>
      </c>
      <c r="D13" s="2" t="s">
        <v>216</v>
      </c>
      <c r="E13" s="2">
        <v>12</v>
      </c>
      <c r="F13" s="2">
        <f t="shared" ref="F13:F15" si="2">E13/6</f>
        <v>2</v>
      </c>
      <c r="G13" s="96">
        <f t="shared" ref="G13:G15" si="3">C13*F13</f>
        <v>1052039.0079999999</v>
      </c>
      <c r="H13" s="159"/>
      <c r="I13" s="158"/>
      <c r="J13" s="158"/>
      <c r="K13" s="157"/>
      <c r="L13" s="155"/>
    </row>
    <row r="14" spans="1:14">
      <c r="A14" s="155"/>
      <c r="B14" s="3">
        <v>0.44</v>
      </c>
      <c r="C14" s="4">
        <f>$A$12*B14</f>
        <v>723276.81799999997</v>
      </c>
      <c r="D14" s="2" t="s">
        <v>217</v>
      </c>
      <c r="E14" s="2">
        <v>4</v>
      </c>
      <c r="F14" s="57">
        <f t="shared" si="2"/>
        <v>0.66666666666666663</v>
      </c>
      <c r="G14" s="96">
        <f t="shared" si="3"/>
        <v>482184.54533333331</v>
      </c>
      <c r="H14" s="159"/>
      <c r="I14" s="158"/>
      <c r="J14" s="158"/>
      <c r="K14" s="157"/>
      <c r="L14" s="155"/>
    </row>
    <row r="15" spans="1:14">
      <c r="A15" s="155"/>
      <c r="B15" s="3">
        <v>0.14000000000000001</v>
      </c>
      <c r="C15" s="4">
        <f>$A$12*B15</f>
        <v>230133.53300000002</v>
      </c>
      <c r="D15" s="2" t="s">
        <v>218</v>
      </c>
      <c r="E15" s="2">
        <v>1</v>
      </c>
      <c r="F15" s="57">
        <f t="shared" si="2"/>
        <v>0.16666666666666666</v>
      </c>
      <c r="G15" s="96">
        <f t="shared" si="3"/>
        <v>38355.588833333335</v>
      </c>
      <c r="H15" s="159"/>
      <c r="I15" s="158"/>
      <c r="J15" s="158"/>
      <c r="K15" s="157"/>
      <c r="L15" s="155"/>
    </row>
    <row r="16" spans="1:14">
      <c r="A16" s="94"/>
      <c r="B16" s="3"/>
      <c r="C16" s="4"/>
      <c r="D16" s="2"/>
      <c r="E16" s="2"/>
      <c r="F16" s="57"/>
      <c r="G16" s="96">
        <f>SUM(G12:G15)</f>
        <v>2394484.6171666668</v>
      </c>
      <c r="H16" s="28"/>
      <c r="I16" s="28"/>
      <c r="J16" s="28"/>
      <c r="K16" s="28"/>
      <c r="L16" s="27"/>
    </row>
    <row r="17" spans="1:13">
      <c r="A17" s="134" t="s">
        <v>97</v>
      </c>
      <c r="B17" s="135"/>
      <c r="C17" s="135"/>
      <c r="D17" s="135"/>
      <c r="E17" s="135"/>
      <c r="F17" s="135"/>
      <c r="G17" s="136"/>
      <c r="H17" s="134" t="s">
        <v>97</v>
      </c>
      <c r="I17" s="135"/>
      <c r="J17" s="135"/>
      <c r="K17" s="135"/>
      <c r="L17" s="136"/>
    </row>
    <row r="18" spans="1:13">
      <c r="A18" s="155">
        <f>A12*(1+$G$37)</f>
        <v>1684906.2237499999</v>
      </c>
      <c r="B18" s="3">
        <v>0.1</v>
      </c>
      <c r="C18" s="4">
        <f>B18*$A$18</f>
        <v>168490.62237500001</v>
      </c>
      <c r="D18" s="2" t="s">
        <v>215</v>
      </c>
      <c r="E18" s="2">
        <v>30</v>
      </c>
      <c r="F18" s="2">
        <f>E18/6</f>
        <v>5</v>
      </c>
      <c r="G18" s="96">
        <f>C18*F18</f>
        <v>842453.11187500006</v>
      </c>
      <c r="H18" s="159">
        <v>0.52</v>
      </c>
      <c r="I18" s="158">
        <f>G22*H18</f>
        <v>1276260.3009498334</v>
      </c>
      <c r="J18" s="158">
        <f>I18*12</f>
        <v>15315123.611398</v>
      </c>
      <c r="K18" s="157">
        <v>0.06</v>
      </c>
      <c r="L18" s="155">
        <f>J18*K18</f>
        <v>918907.41668388003</v>
      </c>
      <c r="M18" s="76"/>
    </row>
    <row r="19" spans="1:13">
      <c r="A19" s="155"/>
      <c r="B19" s="3">
        <v>0.32</v>
      </c>
      <c r="C19" s="4">
        <f>B19*$A$18</f>
        <v>539169.99159999995</v>
      </c>
      <c r="D19" s="2" t="s">
        <v>216</v>
      </c>
      <c r="E19" s="2">
        <v>12</v>
      </c>
      <c r="F19" s="2">
        <f t="shared" ref="F19:F21" si="4">E19/6</f>
        <v>2</v>
      </c>
      <c r="G19" s="96">
        <f t="shared" ref="G19:G21" si="5">C19*F19</f>
        <v>1078339.9831999999</v>
      </c>
      <c r="H19" s="159"/>
      <c r="I19" s="158"/>
      <c r="J19" s="158"/>
      <c r="K19" s="157"/>
      <c r="L19" s="155"/>
    </row>
    <row r="20" spans="1:13">
      <c r="A20" s="155"/>
      <c r="B20" s="3">
        <v>0.44</v>
      </c>
      <c r="C20" s="4">
        <f>B20*$A$18</f>
        <v>741358.73844999995</v>
      </c>
      <c r="D20" s="2" t="s">
        <v>217</v>
      </c>
      <c r="E20" s="2">
        <v>4</v>
      </c>
      <c r="F20" s="57">
        <f t="shared" si="4"/>
        <v>0.66666666666666663</v>
      </c>
      <c r="G20" s="96">
        <f t="shared" si="5"/>
        <v>494239.15896666661</v>
      </c>
      <c r="H20" s="159"/>
      <c r="I20" s="158"/>
      <c r="J20" s="158"/>
      <c r="K20" s="157"/>
      <c r="L20" s="155"/>
    </row>
    <row r="21" spans="1:13">
      <c r="A21" s="155"/>
      <c r="B21" s="3">
        <v>0.14000000000000001</v>
      </c>
      <c r="C21" s="4">
        <f>B21*$A$18</f>
        <v>235886.87132500001</v>
      </c>
      <c r="D21" s="2" t="s">
        <v>218</v>
      </c>
      <c r="E21" s="2">
        <v>1</v>
      </c>
      <c r="F21" s="57">
        <f t="shared" si="4"/>
        <v>0.16666666666666666</v>
      </c>
      <c r="G21" s="96">
        <f t="shared" si="5"/>
        <v>39314.478554166664</v>
      </c>
      <c r="H21" s="159"/>
      <c r="I21" s="158"/>
      <c r="J21" s="158"/>
      <c r="K21" s="157"/>
      <c r="L21" s="155"/>
    </row>
    <row r="22" spans="1:13">
      <c r="A22" s="94"/>
      <c r="B22" s="3"/>
      <c r="C22" s="4"/>
      <c r="D22" s="2"/>
      <c r="E22" s="2"/>
      <c r="F22" s="57"/>
      <c r="G22" s="96">
        <f>SUM(G18:G21)</f>
        <v>2454346.7325958335</v>
      </c>
      <c r="H22" s="28"/>
      <c r="I22" s="28"/>
      <c r="J22" s="28"/>
      <c r="K22" s="28"/>
      <c r="L22" s="27"/>
    </row>
    <row r="23" spans="1:13">
      <c r="A23" s="134" t="s">
        <v>98</v>
      </c>
      <c r="B23" s="135"/>
      <c r="C23" s="135"/>
      <c r="D23" s="135"/>
      <c r="E23" s="135"/>
      <c r="F23" s="135"/>
      <c r="G23" s="136"/>
      <c r="H23" s="134" t="s">
        <v>98</v>
      </c>
      <c r="I23" s="135"/>
      <c r="J23" s="135"/>
      <c r="K23" s="135"/>
      <c r="L23" s="136"/>
    </row>
    <row r="24" spans="1:13">
      <c r="A24" s="155">
        <f>A18*(1+$G$37)</f>
        <v>1727028.8793437497</v>
      </c>
      <c r="B24" s="3">
        <v>0.1</v>
      </c>
      <c r="C24" s="4">
        <f>$A$24*B24</f>
        <v>172702.88793437497</v>
      </c>
      <c r="D24" s="2" t="s">
        <v>215</v>
      </c>
      <c r="E24" s="2">
        <v>30</v>
      </c>
      <c r="F24" s="2">
        <f>E24/6</f>
        <v>5</v>
      </c>
      <c r="G24" s="96">
        <f>C24*F24</f>
        <v>863514.43967187486</v>
      </c>
      <c r="H24" s="159">
        <v>0.52</v>
      </c>
      <c r="I24" s="158">
        <f>G28*H24</f>
        <v>1308166.8084735791</v>
      </c>
      <c r="J24" s="158">
        <f>I24*12</f>
        <v>15698001.701682949</v>
      </c>
      <c r="K24" s="157">
        <v>7.0000000000000007E-2</v>
      </c>
      <c r="L24" s="155">
        <f>J24*K24</f>
        <v>1098860.1191178067</v>
      </c>
      <c r="M24" s="76"/>
    </row>
    <row r="25" spans="1:13">
      <c r="A25" s="155"/>
      <c r="B25" s="3">
        <v>0.32</v>
      </c>
      <c r="C25" s="4">
        <f>$A$24*B25</f>
        <v>552649.24138999986</v>
      </c>
      <c r="D25" s="2" t="s">
        <v>216</v>
      </c>
      <c r="E25" s="2">
        <v>12</v>
      </c>
      <c r="F25" s="2">
        <f t="shared" ref="F25:F27" si="6">E25/6</f>
        <v>2</v>
      </c>
      <c r="G25" s="96">
        <f t="shared" ref="G25:G27" si="7">C25*F25</f>
        <v>1105298.4827799997</v>
      </c>
      <c r="H25" s="159"/>
      <c r="I25" s="158"/>
      <c r="J25" s="158"/>
      <c r="K25" s="157"/>
      <c r="L25" s="155"/>
    </row>
    <row r="26" spans="1:13">
      <c r="A26" s="155"/>
      <c r="B26" s="3">
        <v>0.44</v>
      </c>
      <c r="C26" s="4">
        <f>$A$24*B26</f>
        <v>759892.7069112499</v>
      </c>
      <c r="D26" s="2" t="s">
        <v>217</v>
      </c>
      <c r="E26" s="2">
        <v>4</v>
      </c>
      <c r="F26" s="57">
        <f t="shared" si="6"/>
        <v>0.66666666666666663</v>
      </c>
      <c r="G26" s="96">
        <f t="shared" si="7"/>
        <v>506595.13794083323</v>
      </c>
      <c r="H26" s="159"/>
      <c r="I26" s="158"/>
      <c r="J26" s="158"/>
      <c r="K26" s="157"/>
      <c r="L26" s="155"/>
    </row>
    <row r="27" spans="1:13">
      <c r="A27" s="155"/>
      <c r="B27" s="3">
        <v>0.14000000000000001</v>
      </c>
      <c r="C27" s="4">
        <f>$A$24*B27</f>
        <v>241784.04310812498</v>
      </c>
      <c r="D27" s="2" t="s">
        <v>218</v>
      </c>
      <c r="E27" s="2">
        <v>1</v>
      </c>
      <c r="F27" s="57">
        <f t="shared" si="6"/>
        <v>0.16666666666666666</v>
      </c>
      <c r="G27" s="96">
        <f t="shared" si="7"/>
        <v>40297.340518020828</v>
      </c>
      <c r="H27" s="159"/>
      <c r="I27" s="158"/>
      <c r="J27" s="158"/>
      <c r="K27" s="157"/>
      <c r="L27" s="155"/>
    </row>
    <row r="28" spans="1:13">
      <c r="A28" s="94"/>
      <c r="B28" s="3"/>
      <c r="C28" s="4"/>
      <c r="D28" s="2"/>
      <c r="E28" s="2"/>
      <c r="F28" s="57"/>
      <c r="G28" s="96">
        <f>SUM(G24:G27)</f>
        <v>2515705.4009107291</v>
      </c>
      <c r="H28" s="28"/>
      <c r="I28" s="28"/>
      <c r="J28" s="28"/>
      <c r="K28" s="28"/>
      <c r="L28" s="27"/>
    </row>
    <row r="29" spans="1:13">
      <c r="A29" s="134" t="s">
        <v>99</v>
      </c>
      <c r="B29" s="135"/>
      <c r="C29" s="135"/>
      <c r="D29" s="135"/>
      <c r="E29" s="135"/>
      <c r="F29" s="135"/>
      <c r="G29" s="136"/>
      <c r="H29" s="134" t="s">
        <v>99</v>
      </c>
      <c r="I29" s="135"/>
      <c r="J29" s="135"/>
      <c r="K29" s="135"/>
      <c r="L29" s="136"/>
    </row>
    <row r="30" spans="1:13">
      <c r="A30" s="155">
        <f>A24*(1+$G$37)</f>
        <v>1770204.6013273434</v>
      </c>
      <c r="B30" s="3">
        <v>0.1</v>
      </c>
      <c r="C30" s="4">
        <f>$A$30*B30</f>
        <v>177020.46013273436</v>
      </c>
      <c r="D30" s="2" t="s">
        <v>215</v>
      </c>
      <c r="E30" s="2">
        <v>30</v>
      </c>
      <c r="F30" s="2">
        <f>E30/6</f>
        <v>5</v>
      </c>
      <c r="G30" s="96">
        <f>C30*F30</f>
        <v>885102.30066367181</v>
      </c>
      <c r="H30" s="159">
        <v>0.52</v>
      </c>
      <c r="I30" s="158">
        <f>G34*H30</f>
        <v>1340870.9786854184</v>
      </c>
      <c r="J30" s="158">
        <f>I30*12</f>
        <v>16090451.744225021</v>
      </c>
      <c r="K30" s="157">
        <v>0.08</v>
      </c>
      <c r="L30" s="155">
        <f>J30*K30</f>
        <v>1287236.1395380017</v>
      </c>
      <c r="M30" s="76"/>
    </row>
    <row r="31" spans="1:13">
      <c r="A31" s="155"/>
      <c r="B31" s="3">
        <v>0.32</v>
      </c>
      <c r="C31" s="4">
        <f>$A$30*B31</f>
        <v>566465.47242474987</v>
      </c>
      <c r="D31" s="2" t="s">
        <v>216</v>
      </c>
      <c r="E31" s="2">
        <v>12</v>
      </c>
      <c r="F31" s="2">
        <f t="shared" ref="F31:F33" si="8">E31/6</f>
        <v>2</v>
      </c>
      <c r="G31" s="96">
        <f t="shared" ref="G31:G33" si="9">C31*F31</f>
        <v>1132930.9448494997</v>
      </c>
      <c r="H31" s="159"/>
      <c r="I31" s="158"/>
      <c r="J31" s="158"/>
      <c r="K31" s="157"/>
      <c r="L31" s="155"/>
    </row>
    <row r="32" spans="1:13">
      <c r="A32" s="155"/>
      <c r="B32" s="3">
        <v>0.44</v>
      </c>
      <c r="C32" s="4">
        <f>$A$30*B32</f>
        <v>778890.02458403108</v>
      </c>
      <c r="D32" s="2" t="s">
        <v>217</v>
      </c>
      <c r="E32" s="2">
        <v>4</v>
      </c>
      <c r="F32" s="57">
        <f t="shared" si="8"/>
        <v>0.66666666666666663</v>
      </c>
      <c r="G32" s="96">
        <f t="shared" si="9"/>
        <v>519260.01638935402</v>
      </c>
      <c r="H32" s="159"/>
      <c r="I32" s="158"/>
      <c r="J32" s="158"/>
      <c r="K32" s="157"/>
      <c r="L32" s="155"/>
    </row>
    <row r="33" spans="1:15">
      <c r="A33" s="155"/>
      <c r="B33" s="3">
        <v>0.14000000000000001</v>
      </c>
      <c r="C33" s="4">
        <f>$A$30*B33</f>
        <v>247828.6441858281</v>
      </c>
      <c r="D33" s="2" t="s">
        <v>218</v>
      </c>
      <c r="E33" s="2">
        <v>1</v>
      </c>
      <c r="F33" s="57">
        <f t="shared" si="8"/>
        <v>0.16666666666666666</v>
      </c>
      <c r="G33" s="96">
        <f t="shared" si="9"/>
        <v>41304.774030971348</v>
      </c>
      <c r="H33" s="159"/>
      <c r="I33" s="158"/>
      <c r="J33" s="158"/>
      <c r="K33" s="157"/>
      <c r="L33" s="155"/>
    </row>
    <row r="34" spans="1:15">
      <c r="A34" s="2"/>
      <c r="B34" s="2"/>
      <c r="C34" s="2"/>
      <c r="D34" s="2"/>
      <c r="E34" s="2"/>
      <c r="F34" s="2"/>
      <c r="G34" s="97">
        <f>SUM(G30:G33)</f>
        <v>2578598.0359334969</v>
      </c>
      <c r="H34" s="2"/>
      <c r="I34" s="2"/>
      <c r="J34" s="2"/>
      <c r="K34" s="2"/>
      <c r="L34" s="2"/>
    </row>
    <row r="37" spans="1:15">
      <c r="A37" t="s">
        <v>23</v>
      </c>
      <c r="G37" s="1">
        <v>2.5000000000000001E-2</v>
      </c>
    </row>
    <row r="38" spans="1:15">
      <c r="A38" t="s">
        <v>24</v>
      </c>
      <c r="G38" s="1">
        <v>0.01</v>
      </c>
    </row>
    <row r="42" spans="1:15">
      <c r="A42" s="128" t="s">
        <v>34</v>
      </c>
      <c r="B42" s="128"/>
      <c r="C42" s="128"/>
      <c r="D42" s="85"/>
      <c r="E42" s="85"/>
      <c r="F42" s="85"/>
      <c r="G42" s="85"/>
      <c r="H42" s="85"/>
      <c r="M42" s="128" t="s">
        <v>38</v>
      </c>
      <c r="N42" s="128"/>
      <c r="O42" s="128"/>
    </row>
    <row r="43" spans="1:15">
      <c r="A43" s="2" t="s">
        <v>0</v>
      </c>
      <c r="B43" s="2" t="s">
        <v>36</v>
      </c>
      <c r="C43" s="2" t="s">
        <v>37</v>
      </c>
      <c r="D43" s="31"/>
      <c r="E43" s="31"/>
      <c r="F43" s="31"/>
      <c r="G43" s="31"/>
      <c r="H43" s="31"/>
      <c r="M43" s="2" t="s">
        <v>0</v>
      </c>
      <c r="N43" s="2" t="s">
        <v>36</v>
      </c>
      <c r="O43" s="2" t="s">
        <v>37</v>
      </c>
    </row>
    <row r="44" spans="1:15">
      <c r="A44" s="2" t="s">
        <v>35</v>
      </c>
      <c r="B44" s="3">
        <v>0.02</v>
      </c>
      <c r="C44" s="4">
        <f>$L$6*B44</f>
        <v>8746.293079680001</v>
      </c>
      <c r="D44" s="86"/>
      <c r="E44" s="86"/>
      <c r="F44" s="86"/>
      <c r="G44" s="86"/>
      <c r="H44" s="86"/>
      <c r="M44" s="2" t="s">
        <v>35</v>
      </c>
      <c r="N44" s="3">
        <v>0.04</v>
      </c>
      <c r="O44" s="4">
        <f t="shared" ref="O44:O55" si="10">N44*$L$12</f>
        <v>29883.168022239999</v>
      </c>
    </row>
    <row r="45" spans="1:15">
      <c r="A45" s="2" t="s">
        <v>9</v>
      </c>
      <c r="B45" s="5">
        <v>0.04</v>
      </c>
      <c r="C45" s="4">
        <f t="shared" ref="C45:C55" si="11">$L$6*B45</f>
        <v>17492.586159360002</v>
      </c>
      <c r="D45" s="86"/>
      <c r="E45" s="86"/>
      <c r="F45" s="86"/>
      <c r="G45" s="86"/>
      <c r="H45" s="86"/>
      <c r="M45" s="2" t="s">
        <v>9</v>
      </c>
      <c r="N45" s="5">
        <v>0.08</v>
      </c>
      <c r="O45" s="4">
        <f t="shared" si="10"/>
        <v>59766.336044479998</v>
      </c>
    </row>
    <row r="46" spans="1:15">
      <c r="A46" s="2" t="s">
        <v>10</v>
      </c>
      <c r="B46" s="6">
        <v>0.05</v>
      </c>
      <c r="C46" s="4">
        <f t="shared" si="11"/>
        <v>21865.732699200002</v>
      </c>
      <c r="D46" s="86"/>
      <c r="E46" s="86"/>
      <c r="F46" s="86"/>
      <c r="G46" s="86"/>
      <c r="H46" s="86"/>
      <c r="M46" s="2" t="s">
        <v>10</v>
      </c>
      <c r="N46" s="6">
        <v>7.0000000000000007E-2</v>
      </c>
      <c r="O46" s="4">
        <f t="shared" si="10"/>
        <v>52295.544038920001</v>
      </c>
    </row>
    <row r="47" spans="1:15">
      <c r="A47" s="2" t="s">
        <v>11</v>
      </c>
      <c r="B47" s="6">
        <v>0.05</v>
      </c>
      <c r="C47" s="4">
        <f t="shared" si="11"/>
        <v>21865.732699200002</v>
      </c>
      <c r="D47" s="86"/>
      <c r="E47" s="86"/>
      <c r="F47" s="86"/>
      <c r="G47" s="86"/>
      <c r="H47" s="86"/>
      <c r="M47" s="2" t="s">
        <v>11</v>
      </c>
      <c r="N47" s="6">
        <v>7.0000000000000007E-2</v>
      </c>
      <c r="O47" s="4">
        <f t="shared" si="10"/>
        <v>52295.544038920001</v>
      </c>
    </row>
    <row r="48" spans="1:15">
      <c r="A48" s="2" t="s">
        <v>12</v>
      </c>
      <c r="B48" s="5">
        <v>0.1</v>
      </c>
      <c r="C48" s="4">
        <f t="shared" si="11"/>
        <v>43731.465398400003</v>
      </c>
      <c r="D48" s="86"/>
      <c r="E48" s="86"/>
      <c r="F48" s="86"/>
      <c r="G48" s="86"/>
      <c r="H48" s="86"/>
      <c r="M48" s="2" t="s">
        <v>12</v>
      </c>
      <c r="N48" s="5">
        <v>0.08</v>
      </c>
      <c r="O48" s="4">
        <f t="shared" si="10"/>
        <v>59766.336044479998</v>
      </c>
    </row>
    <row r="49" spans="1:19">
      <c r="A49" s="2" t="s">
        <v>13</v>
      </c>
      <c r="B49" s="7">
        <v>0.1</v>
      </c>
      <c r="C49" s="4">
        <f t="shared" si="11"/>
        <v>43731.465398400003</v>
      </c>
      <c r="D49" s="86"/>
      <c r="E49" s="86"/>
      <c r="F49" s="86"/>
      <c r="G49" s="86"/>
      <c r="H49" s="86"/>
      <c r="M49" s="2" t="s">
        <v>13</v>
      </c>
      <c r="N49" s="7">
        <v>0.09</v>
      </c>
      <c r="O49" s="4">
        <f t="shared" si="10"/>
        <v>67237.128050040003</v>
      </c>
    </row>
    <row r="50" spans="1:19">
      <c r="A50" s="2" t="s">
        <v>14</v>
      </c>
      <c r="B50" s="3">
        <v>0.1</v>
      </c>
      <c r="C50" s="4">
        <f t="shared" si="11"/>
        <v>43731.465398400003</v>
      </c>
      <c r="D50" s="86"/>
      <c r="E50" s="86"/>
      <c r="F50" s="86"/>
      <c r="G50" s="86"/>
      <c r="H50" s="86"/>
      <c r="M50" s="2" t="s">
        <v>14</v>
      </c>
      <c r="N50" s="3">
        <v>0.09</v>
      </c>
      <c r="O50" s="4">
        <f t="shared" si="10"/>
        <v>67237.128050040003</v>
      </c>
    </row>
    <row r="51" spans="1:19">
      <c r="A51" s="2" t="s">
        <v>15</v>
      </c>
      <c r="B51" s="5">
        <v>0.1</v>
      </c>
      <c r="C51" s="4">
        <f t="shared" si="11"/>
        <v>43731.465398400003</v>
      </c>
      <c r="D51" s="86"/>
      <c r="E51" s="86"/>
      <c r="F51" s="86"/>
      <c r="G51" s="86"/>
      <c r="H51" s="86"/>
      <c r="M51" s="2" t="s">
        <v>15</v>
      </c>
      <c r="N51" s="5">
        <v>0.09</v>
      </c>
      <c r="O51" s="4">
        <f t="shared" si="10"/>
        <v>67237.128050040003</v>
      </c>
    </row>
    <row r="52" spans="1:19">
      <c r="A52" s="2" t="s">
        <v>16</v>
      </c>
      <c r="B52" s="3">
        <v>0.11</v>
      </c>
      <c r="C52" s="4">
        <f t="shared" si="11"/>
        <v>48104.611938240007</v>
      </c>
      <c r="D52" s="86"/>
      <c r="E52" s="86"/>
      <c r="F52" s="86"/>
      <c r="G52" s="86"/>
      <c r="H52" s="86"/>
      <c r="M52" s="2" t="s">
        <v>16</v>
      </c>
      <c r="N52" s="3">
        <v>0.09</v>
      </c>
      <c r="O52" s="4">
        <f t="shared" si="10"/>
        <v>67237.128050040003</v>
      </c>
    </row>
    <row r="53" spans="1:19">
      <c r="A53" s="2" t="s">
        <v>17</v>
      </c>
      <c r="B53" s="6">
        <v>0.11</v>
      </c>
      <c r="C53" s="4">
        <f t="shared" si="11"/>
        <v>48104.611938240007</v>
      </c>
      <c r="D53" s="86"/>
      <c r="E53" s="86"/>
      <c r="F53" s="86"/>
      <c r="G53" s="86"/>
      <c r="H53" s="86"/>
      <c r="M53" s="2" t="s">
        <v>17</v>
      </c>
      <c r="N53" s="6">
        <v>0.1</v>
      </c>
      <c r="O53" s="4">
        <f t="shared" si="10"/>
        <v>74707.9200556</v>
      </c>
    </row>
    <row r="54" spans="1:19">
      <c r="A54" s="2" t="s">
        <v>18</v>
      </c>
      <c r="B54" s="6">
        <v>0.11</v>
      </c>
      <c r="C54" s="4">
        <f t="shared" si="11"/>
        <v>48104.611938240007</v>
      </c>
      <c r="D54" s="86"/>
      <c r="E54" s="86"/>
      <c r="F54" s="86"/>
      <c r="G54" s="86"/>
      <c r="H54" s="86"/>
      <c r="M54" s="2" t="s">
        <v>18</v>
      </c>
      <c r="N54" s="6">
        <v>0.1</v>
      </c>
      <c r="O54" s="4">
        <f t="shared" si="10"/>
        <v>74707.9200556</v>
      </c>
    </row>
    <row r="55" spans="1:19">
      <c r="A55" s="2" t="s">
        <v>19</v>
      </c>
      <c r="B55" s="6">
        <v>0.11</v>
      </c>
      <c r="C55" s="4">
        <f t="shared" si="11"/>
        <v>48104.611938240007</v>
      </c>
      <c r="D55" s="86"/>
      <c r="E55" s="86"/>
      <c r="F55" s="86"/>
      <c r="G55" s="86"/>
      <c r="H55" s="86"/>
      <c r="M55" s="2" t="s">
        <v>19</v>
      </c>
      <c r="N55" s="6">
        <v>0.1</v>
      </c>
      <c r="O55" s="4">
        <f t="shared" si="10"/>
        <v>74707.9200556</v>
      </c>
    </row>
    <row r="56" spans="1:19">
      <c r="B56" s="3">
        <f>SUM(B44:B55)</f>
        <v>0.99999999999999989</v>
      </c>
      <c r="C56" s="4">
        <f>SUM(C44:C55)</f>
        <v>437314.65398400003</v>
      </c>
      <c r="D56" s="86"/>
      <c r="E56" s="86"/>
      <c r="F56" s="86"/>
      <c r="G56" s="86"/>
      <c r="H56" s="86"/>
      <c r="N56" s="3">
        <f>SUM(N44:N55)</f>
        <v>0.99999999999999989</v>
      </c>
      <c r="O56" s="4">
        <f>SUM(O44:O55)</f>
        <v>747079.200556</v>
      </c>
    </row>
    <row r="58" spans="1:19">
      <c r="A58" s="128" t="s">
        <v>39</v>
      </c>
      <c r="B58" s="128"/>
      <c r="C58" s="128"/>
      <c r="D58" s="85"/>
      <c r="E58" s="85"/>
      <c r="F58" s="85"/>
      <c r="G58" s="85"/>
      <c r="H58" s="85"/>
      <c r="M58" s="128" t="s">
        <v>40</v>
      </c>
      <c r="N58" s="128"/>
      <c r="O58" s="128"/>
      <c r="Q58" s="128" t="s">
        <v>41</v>
      </c>
      <c r="R58" s="128"/>
      <c r="S58" s="128"/>
    </row>
    <row r="59" spans="1:19">
      <c r="A59" s="2" t="s">
        <v>0</v>
      </c>
      <c r="B59" s="2" t="s">
        <v>36</v>
      </c>
      <c r="C59" s="2" t="s">
        <v>37</v>
      </c>
      <c r="D59" s="31"/>
      <c r="E59" s="31"/>
      <c r="F59" s="31"/>
      <c r="G59" s="31"/>
      <c r="H59" s="31"/>
      <c r="M59" s="2" t="s">
        <v>0</v>
      </c>
      <c r="N59" s="2" t="s">
        <v>36</v>
      </c>
      <c r="O59" s="2" t="s">
        <v>37</v>
      </c>
      <c r="Q59" s="2" t="s">
        <v>0</v>
      </c>
      <c r="R59" s="2" t="s">
        <v>36</v>
      </c>
      <c r="S59" s="2" t="s">
        <v>37</v>
      </c>
    </row>
    <row r="60" spans="1:19">
      <c r="A60" s="2" t="s">
        <v>35</v>
      </c>
      <c r="B60" s="3">
        <v>0.04</v>
      </c>
      <c r="C60" s="4">
        <f t="shared" ref="C60:C71" si="12">B60*$L$18</f>
        <v>36756.2966673552</v>
      </c>
      <c r="D60" s="86"/>
      <c r="E60" s="86"/>
      <c r="F60" s="86"/>
      <c r="G60" s="86"/>
      <c r="H60" s="86"/>
      <c r="M60" s="2" t="s">
        <v>35</v>
      </c>
      <c r="N60" s="3">
        <v>0.04</v>
      </c>
      <c r="O60" s="4">
        <f t="shared" ref="O60:O71" si="13">N60*$L$24</f>
        <v>43954.404764712264</v>
      </c>
      <c r="Q60" s="2" t="s">
        <v>35</v>
      </c>
      <c r="R60" s="3">
        <v>0.04</v>
      </c>
      <c r="S60" s="4">
        <f t="shared" ref="S60:S71" si="14">R60*$L$30</f>
        <v>51489.445581520071</v>
      </c>
    </row>
    <row r="61" spans="1:19">
      <c r="A61" s="2" t="s">
        <v>9</v>
      </c>
      <c r="B61" s="5">
        <v>0.08</v>
      </c>
      <c r="C61" s="4">
        <f t="shared" si="12"/>
        <v>73512.5933347104</v>
      </c>
      <c r="D61" s="86"/>
      <c r="E61" s="86"/>
      <c r="F61" s="86"/>
      <c r="G61" s="86"/>
      <c r="H61" s="86"/>
      <c r="M61" s="2" t="s">
        <v>9</v>
      </c>
      <c r="N61" s="5">
        <v>0.08</v>
      </c>
      <c r="O61" s="4">
        <f t="shared" si="13"/>
        <v>87908.809529424529</v>
      </c>
      <c r="Q61" s="2" t="s">
        <v>9</v>
      </c>
      <c r="R61" s="5">
        <v>0.08</v>
      </c>
      <c r="S61" s="4">
        <f t="shared" si="14"/>
        <v>102978.89116304014</v>
      </c>
    </row>
    <row r="62" spans="1:19">
      <c r="A62" s="2" t="s">
        <v>10</v>
      </c>
      <c r="B62" s="6">
        <v>7.0000000000000007E-2</v>
      </c>
      <c r="C62" s="4">
        <f t="shared" si="12"/>
        <v>64323.519167871607</v>
      </c>
      <c r="D62" s="86"/>
      <c r="E62" s="86"/>
      <c r="F62" s="86"/>
      <c r="G62" s="86"/>
      <c r="H62" s="86"/>
      <c r="M62" s="2" t="s">
        <v>10</v>
      </c>
      <c r="N62" s="6">
        <v>7.0000000000000007E-2</v>
      </c>
      <c r="O62" s="4">
        <f t="shared" si="13"/>
        <v>76920.208338246477</v>
      </c>
      <c r="Q62" s="2" t="s">
        <v>10</v>
      </c>
      <c r="R62" s="6">
        <v>7.0000000000000007E-2</v>
      </c>
      <c r="S62" s="4">
        <f t="shared" si="14"/>
        <v>90106.529767660133</v>
      </c>
    </row>
    <row r="63" spans="1:19">
      <c r="A63" s="2" t="s">
        <v>11</v>
      </c>
      <c r="B63" s="6">
        <v>7.0000000000000007E-2</v>
      </c>
      <c r="C63" s="4">
        <f t="shared" si="12"/>
        <v>64323.519167871607</v>
      </c>
      <c r="D63" s="86"/>
      <c r="E63" s="86"/>
      <c r="F63" s="86"/>
      <c r="G63" s="86"/>
      <c r="H63" s="86"/>
      <c r="M63" s="2" t="s">
        <v>11</v>
      </c>
      <c r="N63" s="6">
        <v>7.0000000000000007E-2</v>
      </c>
      <c r="O63" s="4">
        <f t="shared" si="13"/>
        <v>76920.208338246477</v>
      </c>
      <c r="Q63" s="2" t="s">
        <v>11</v>
      </c>
      <c r="R63" s="6">
        <v>7.0000000000000007E-2</v>
      </c>
      <c r="S63" s="4">
        <f t="shared" si="14"/>
        <v>90106.529767660133</v>
      </c>
    </row>
    <row r="64" spans="1:19">
      <c r="A64" s="2" t="s">
        <v>12</v>
      </c>
      <c r="B64" s="5">
        <v>0.08</v>
      </c>
      <c r="C64" s="4">
        <f t="shared" si="12"/>
        <v>73512.5933347104</v>
      </c>
      <c r="D64" s="86"/>
      <c r="E64" s="86"/>
      <c r="F64" s="86"/>
      <c r="G64" s="86"/>
      <c r="H64" s="86"/>
      <c r="M64" s="2" t="s">
        <v>12</v>
      </c>
      <c r="N64" s="5">
        <v>0.08</v>
      </c>
      <c r="O64" s="4">
        <f t="shared" si="13"/>
        <v>87908.809529424529</v>
      </c>
      <c r="Q64" s="2" t="s">
        <v>12</v>
      </c>
      <c r="R64" s="5">
        <v>0.08</v>
      </c>
      <c r="S64" s="4">
        <f t="shared" si="14"/>
        <v>102978.89116304014</v>
      </c>
    </row>
    <row r="65" spans="1:19">
      <c r="A65" s="2" t="s">
        <v>13</v>
      </c>
      <c r="B65" s="7">
        <v>0.09</v>
      </c>
      <c r="C65" s="4">
        <f t="shared" si="12"/>
        <v>82701.667501549193</v>
      </c>
      <c r="D65" s="86"/>
      <c r="E65" s="86"/>
      <c r="F65" s="86"/>
      <c r="G65" s="86"/>
      <c r="H65" s="86"/>
      <c r="M65" s="2" t="s">
        <v>13</v>
      </c>
      <c r="N65" s="7">
        <v>0.09</v>
      </c>
      <c r="O65" s="4">
        <f t="shared" si="13"/>
        <v>98897.410720602595</v>
      </c>
      <c r="Q65" s="2" t="s">
        <v>13</v>
      </c>
      <c r="R65" s="7">
        <v>0.09</v>
      </c>
      <c r="S65" s="4">
        <f t="shared" si="14"/>
        <v>115851.25255842015</v>
      </c>
    </row>
    <row r="66" spans="1:19">
      <c r="A66" s="2" t="s">
        <v>14</v>
      </c>
      <c r="B66" s="3">
        <v>0.09</v>
      </c>
      <c r="C66" s="4">
        <f t="shared" si="12"/>
        <v>82701.667501549193</v>
      </c>
      <c r="D66" s="86"/>
      <c r="E66" s="86"/>
      <c r="F66" s="86"/>
      <c r="G66" s="86"/>
      <c r="H66" s="86"/>
      <c r="M66" s="2" t="s">
        <v>14</v>
      </c>
      <c r="N66" s="3">
        <v>0.09</v>
      </c>
      <c r="O66" s="4">
        <f t="shared" si="13"/>
        <v>98897.410720602595</v>
      </c>
      <c r="Q66" s="2" t="s">
        <v>14</v>
      </c>
      <c r="R66" s="3">
        <v>0.09</v>
      </c>
      <c r="S66" s="4">
        <f t="shared" si="14"/>
        <v>115851.25255842015</v>
      </c>
    </row>
    <row r="67" spans="1:19">
      <c r="A67" s="2" t="s">
        <v>15</v>
      </c>
      <c r="B67" s="5">
        <v>0.09</v>
      </c>
      <c r="C67" s="4">
        <f t="shared" si="12"/>
        <v>82701.667501549193</v>
      </c>
      <c r="D67" s="86"/>
      <c r="E67" s="86"/>
      <c r="F67" s="86"/>
      <c r="G67" s="86"/>
      <c r="H67" s="86"/>
      <c r="M67" s="2" t="s">
        <v>15</v>
      </c>
      <c r="N67" s="5">
        <v>0.09</v>
      </c>
      <c r="O67" s="4">
        <f t="shared" si="13"/>
        <v>98897.410720602595</v>
      </c>
      <c r="Q67" s="2" t="s">
        <v>15</v>
      </c>
      <c r="R67" s="5">
        <v>0.09</v>
      </c>
      <c r="S67" s="4">
        <f t="shared" si="14"/>
        <v>115851.25255842015</v>
      </c>
    </row>
    <row r="68" spans="1:19">
      <c r="A68" s="2" t="s">
        <v>16</v>
      </c>
      <c r="B68" s="3">
        <v>0.09</v>
      </c>
      <c r="C68" s="4">
        <f t="shared" si="12"/>
        <v>82701.667501549193</v>
      </c>
      <c r="D68" s="86"/>
      <c r="E68" s="86"/>
      <c r="F68" s="86"/>
      <c r="G68" s="86"/>
      <c r="H68" s="86"/>
      <c r="M68" s="2" t="s">
        <v>16</v>
      </c>
      <c r="N68" s="3">
        <v>0.09</v>
      </c>
      <c r="O68" s="4">
        <f t="shared" si="13"/>
        <v>98897.410720602595</v>
      </c>
      <c r="Q68" s="2" t="s">
        <v>16</v>
      </c>
      <c r="R68" s="3">
        <v>0.09</v>
      </c>
      <c r="S68" s="4">
        <f t="shared" si="14"/>
        <v>115851.25255842015</v>
      </c>
    </row>
    <row r="69" spans="1:19">
      <c r="A69" s="2" t="s">
        <v>17</v>
      </c>
      <c r="B69" s="6">
        <v>0.1</v>
      </c>
      <c r="C69" s="4">
        <f t="shared" si="12"/>
        <v>91890.741668388015</v>
      </c>
      <c r="D69" s="86"/>
      <c r="E69" s="86"/>
      <c r="F69" s="86"/>
      <c r="G69" s="86"/>
      <c r="H69" s="86"/>
      <c r="M69" s="2" t="s">
        <v>17</v>
      </c>
      <c r="N69" s="6">
        <v>0.1</v>
      </c>
      <c r="O69" s="4">
        <f t="shared" si="13"/>
        <v>109886.01191178068</v>
      </c>
      <c r="Q69" s="2" t="s">
        <v>17</v>
      </c>
      <c r="R69" s="6">
        <v>0.1</v>
      </c>
      <c r="S69" s="4">
        <f t="shared" si="14"/>
        <v>128723.61395380017</v>
      </c>
    </row>
    <row r="70" spans="1:19">
      <c r="A70" s="2" t="s">
        <v>18</v>
      </c>
      <c r="B70" s="6">
        <v>0.1</v>
      </c>
      <c r="C70" s="4">
        <f t="shared" si="12"/>
        <v>91890.741668388015</v>
      </c>
      <c r="D70" s="86"/>
      <c r="E70" s="86"/>
      <c r="F70" s="86"/>
      <c r="G70" s="86"/>
      <c r="H70" s="86"/>
      <c r="M70" s="2" t="s">
        <v>18</v>
      </c>
      <c r="N70" s="6">
        <v>0.1</v>
      </c>
      <c r="O70" s="4">
        <f t="shared" si="13"/>
        <v>109886.01191178068</v>
      </c>
      <c r="Q70" s="2" t="s">
        <v>18</v>
      </c>
      <c r="R70" s="6">
        <v>0.1</v>
      </c>
      <c r="S70" s="4">
        <f t="shared" si="14"/>
        <v>128723.61395380017</v>
      </c>
    </row>
    <row r="71" spans="1:19">
      <c r="A71" s="2" t="s">
        <v>19</v>
      </c>
      <c r="B71" s="6">
        <v>0.1</v>
      </c>
      <c r="C71" s="4">
        <f t="shared" si="12"/>
        <v>91890.741668388015</v>
      </c>
      <c r="D71" s="86"/>
      <c r="E71" s="86"/>
      <c r="F71" s="86"/>
      <c r="G71" s="86"/>
      <c r="H71" s="86"/>
      <c r="M71" s="2" t="s">
        <v>19</v>
      </c>
      <c r="N71" s="6">
        <v>0.1</v>
      </c>
      <c r="O71" s="4">
        <f t="shared" si="13"/>
        <v>109886.01191178068</v>
      </c>
      <c r="Q71" s="2" t="s">
        <v>19</v>
      </c>
      <c r="R71" s="6">
        <v>0.1</v>
      </c>
      <c r="S71" s="4">
        <f t="shared" si="14"/>
        <v>128723.61395380017</v>
      </c>
    </row>
    <row r="72" spans="1:19">
      <c r="B72" s="3">
        <f>SUM(B60:B71)</f>
        <v>0.99999999999999989</v>
      </c>
      <c r="C72" s="4">
        <f>SUM(C60:C71)</f>
        <v>918907.41668388003</v>
      </c>
      <c r="D72" s="86"/>
      <c r="E72" s="86"/>
      <c r="F72" s="86"/>
      <c r="G72" s="86"/>
      <c r="H72" s="86"/>
      <c r="N72" s="3">
        <f>SUM(N60:N71)</f>
        <v>0.99999999999999989</v>
      </c>
      <c r="O72" s="4">
        <f>SUM(O60:O71)</f>
        <v>1098860.1191178067</v>
      </c>
      <c r="R72" s="3">
        <f>SUM(R60:R71)</f>
        <v>0.99999999999999989</v>
      </c>
      <c r="S72" s="4">
        <f>SUM(S60:S71)</f>
        <v>1287236.139538002</v>
      </c>
    </row>
  </sheetData>
  <mergeCells count="50">
    <mergeCell ref="Q58:S58"/>
    <mergeCell ref="A42:C42"/>
    <mergeCell ref="M42:O42"/>
    <mergeCell ref="A58:C58"/>
    <mergeCell ref="M58:O58"/>
    <mergeCell ref="A30:A33"/>
    <mergeCell ref="A24:A27"/>
    <mergeCell ref="A18:A21"/>
    <mergeCell ref="A12:A15"/>
    <mergeCell ref="A6:A9"/>
    <mergeCell ref="A29:G29"/>
    <mergeCell ref="A11:G11"/>
    <mergeCell ref="B3:G3"/>
    <mergeCell ref="D4:F4"/>
    <mergeCell ref="H3:I3"/>
    <mergeCell ref="K3:L3"/>
    <mergeCell ref="J3:J4"/>
    <mergeCell ref="I30:I33"/>
    <mergeCell ref="H6:H9"/>
    <mergeCell ref="H12:H15"/>
    <mergeCell ref="H18:H21"/>
    <mergeCell ref="H24:H27"/>
    <mergeCell ref="L30:L33"/>
    <mergeCell ref="J30:J33"/>
    <mergeCell ref="J24:J27"/>
    <mergeCell ref="J18:J21"/>
    <mergeCell ref="J12:J15"/>
    <mergeCell ref="K12:K15"/>
    <mergeCell ref="K18:K21"/>
    <mergeCell ref="K24:K27"/>
    <mergeCell ref="K30:K33"/>
    <mergeCell ref="H17:L17"/>
    <mergeCell ref="H29:L29"/>
    <mergeCell ref="H23:L23"/>
    <mergeCell ref="H30:H33"/>
    <mergeCell ref="I12:I15"/>
    <mergeCell ref="I18:I21"/>
    <mergeCell ref="I24:I27"/>
    <mergeCell ref="A5:G5"/>
    <mergeCell ref="L6:L9"/>
    <mergeCell ref="L12:L15"/>
    <mergeCell ref="L18:L21"/>
    <mergeCell ref="L24:L27"/>
    <mergeCell ref="J6:J9"/>
    <mergeCell ref="H11:L11"/>
    <mergeCell ref="K6:K9"/>
    <mergeCell ref="I6:I9"/>
    <mergeCell ref="H5:L5"/>
    <mergeCell ref="A23:G23"/>
    <mergeCell ref="A17:G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1"/>
  <sheetViews>
    <sheetView topLeftCell="D1" workbookViewId="0">
      <selection activeCell="K28" sqref="K28"/>
    </sheetView>
  </sheetViews>
  <sheetFormatPr baseColWidth="10" defaultColWidth="9" defaultRowHeight="9.75" customHeight="1"/>
  <cols>
    <col min="2" max="3" width="9.7109375" bestFit="1" customWidth="1"/>
    <col min="4" max="4" width="10.140625" bestFit="1" customWidth="1"/>
    <col min="5" max="5" width="10.28515625" customWidth="1"/>
    <col min="10" max="10" width="12.28515625" customWidth="1"/>
    <col min="11" max="11" width="9.85546875" bestFit="1" customWidth="1"/>
    <col min="12" max="12" width="12.7109375" customWidth="1"/>
    <col min="13" max="13" width="9.28515625" bestFit="1" customWidth="1"/>
    <col min="14" max="14" width="9.5703125" bestFit="1" customWidth="1"/>
    <col min="15" max="15" width="9.85546875" bestFit="1" customWidth="1"/>
    <col min="16" max="16" width="10.42578125" bestFit="1" customWidth="1"/>
  </cols>
  <sheetData>
    <row r="1" spans="1:16" ht="9.75" customHeight="1" thickBot="1">
      <c r="A1" s="128" t="s">
        <v>181</v>
      </c>
      <c r="B1" s="128"/>
      <c r="C1" s="128"/>
      <c r="D1" s="128"/>
    </row>
    <row r="2" spans="1:16" ht="9.75" customHeight="1" thickBot="1">
      <c r="A2" s="143" t="s">
        <v>182</v>
      </c>
      <c r="B2" s="143"/>
      <c r="C2" s="143"/>
      <c r="D2" s="57">
        <f>'Inversion y Capacidad'!B9</f>
        <v>172960</v>
      </c>
      <c r="J2" s="141" t="s">
        <v>192</v>
      </c>
      <c r="K2" s="141"/>
      <c r="L2" s="141"/>
      <c r="M2" s="141"/>
      <c r="N2" s="141"/>
      <c r="O2" s="141"/>
      <c r="P2" s="141"/>
    </row>
    <row r="3" spans="1:16" ht="9.75" customHeight="1">
      <c r="A3" s="143" t="s">
        <v>183</v>
      </c>
      <c r="B3" s="143"/>
      <c r="C3" s="143"/>
      <c r="D3" s="57">
        <f>'Capital de Trabajo'!E41*-1</f>
        <v>20548.2871381312</v>
      </c>
      <c r="J3" s="101" t="s">
        <v>193</v>
      </c>
      <c r="K3" s="102">
        <v>0</v>
      </c>
      <c r="L3" s="102">
        <v>1</v>
      </c>
      <c r="M3" s="102">
        <v>2</v>
      </c>
      <c r="N3" s="103">
        <v>3</v>
      </c>
      <c r="O3" s="103">
        <v>4</v>
      </c>
      <c r="P3" s="102">
        <v>5</v>
      </c>
    </row>
    <row r="4" spans="1:16" ht="9.75" customHeight="1">
      <c r="A4" s="143" t="s">
        <v>184</v>
      </c>
      <c r="B4" s="143"/>
      <c r="C4" s="143"/>
      <c r="D4" s="57">
        <f>SUM(D2:D3)</f>
        <v>193508.28713813121</v>
      </c>
      <c r="J4" s="104" t="s">
        <v>194</v>
      </c>
      <c r="K4" s="105"/>
      <c r="L4" s="106">
        <f>'Ingresos Esperados'!D17</f>
        <v>371717.45588640001</v>
      </c>
      <c r="M4" s="106">
        <f>'Ingresos Esperados'!I17</f>
        <v>635017.32047260005</v>
      </c>
      <c r="N4" s="105">
        <f>'Ingresos Esperados'!D34</f>
        <v>781071.30418129801</v>
      </c>
      <c r="O4" s="105">
        <f>'Ingresos Esperados'!I34</f>
        <v>934031.10125013581</v>
      </c>
      <c r="P4" s="106">
        <f>'Ingresos Esperados'!D51</f>
        <v>1094150.7186073016</v>
      </c>
    </row>
    <row r="5" spans="1:16" ht="9.75" customHeight="1">
      <c r="J5" s="101" t="s">
        <v>195</v>
      </c>
      <c r="K5" s="107"/>
      <c r="L5" s="102">
        <f>'Costos Variables'!E18</f>
        <v>170552.71505376004</v>
      </c>
      <c r="M5" s="102">
        <f>'Costos Variables'!K18</f>
        <v>291360.88821684005</v>
      </c>
      <c r="N5" s="107">
        <f>'Costos Variables'!E37</f>
        <v>358373.89250671322</v>
      </c>
      <c r="O5" s="107">
        <f>'Costos Variables'!K37</f>
        <v>428555.44645594456</v>
      </c>
      <c r="P5" s="102">
        <f>'Costos Variables'!E55</f>
        <v>502022.09441982076</v>
      </c>
    </row>
    <row r="6" spans="1:16" ht="9.75" customHeight="1">
      <c r="A6" s="144" t="s">
        <v>185</v>
      </c>
      <c r="B6" s="145"/>
      <c r="C6" s="145"/>
      <c r="D6" s="145"/>
      <c r="E6" s="145"/>
      <c r="J6" s="104" t="s">
        <v>196</v>
      </c>
      <c r="K6" s="105"/>
      <c r="L6" s="106">
        <f>'Costos Fijos'!$F$16</f>
        <v>88200</v>
      </c>
      <c r="M6" s="106">
        <f>'Costos Fijos'!$F$16</f>
        <v>88200</v>
      </c>
      <c r="N6" s="106">
        <f>'Costos Fijos'!$F$16</f>
        <v>88200</v>
      </c>
      <c r="O6" s="106">
        <f>'Costos Fijos'!$F$16</f>
        <v>88200</v>
      </c>
      <c r="P6" s="106">
        <f>'Costos Fijos'!$F$16</f>
        <v>88200</v>
      </c>
    </row>
    <row r="7" spans="1:16" ht="9.75" customHeight="1">
      <c r="A7" s="81" t="s">
        <v>186</v>
      </c>
      <c r="B7" s="81" t="s">
        <v>187</v>
      </c>
      <c r="C7" s="81" t="s">
        <v>188</v>
      </c>
      <c r="D7" s="81" t="s">
        <v>189</v>
      </c>
      <c r="E7" s="81" t="s">
        <v>190</v>
      </c>
      <c r="J7" s="101" t="s">
        <v>76</v>
      </c>
      <c r="K7" s="107"/>
      <c r="L7" s="102">
        <f>'Costos Fijos'!$E$20</f>
        <v>30000</v>
      </c>
      <c r="M7" s="102">
        <f>'Costos Fijos'!$E$20</f>
        <v>30000</v>
      </c>
      <c r="N7" s="102">
        <f>'Costos Fijos'!$E$20</f>
        <v>30000</v>
      </c>
      <c r="O7" s="102">
        <f>'Costos Fijos'!$E$20</f>
        <v>30000</v>
      </c>
      <c r="P7" s="102">
        <f>'Costos Fijos'!$E$20</f>
        <v>30000</v>
      </c>
    </row>
    <row r="8" spans="1:16" ht="9.75" customHeight="1">
      <c r="A8" s="99">
        <v>0</v>
      </c>
      <c r="B8" s="99"/>
      <c r="C8" s="99"/>
      <c r="D8" s="99"/>
      <c r="E8" s="100">
        <f>D4*0.5</f>
        <v>96754.143569065607</v>
      </c>
      <c r="G8" s="80"/>
      <c r="H8" s="80"/>
      <c r="I8" s="80"/>
      <c r="J8" s="104" t="s">
        <v>77</v>
      </c>
      <c r="K8" s="105"/>
      <c r="L8" s="106">
        <f>'Costos Fijos'!$E$21</f>
        <v>3000</v>
      </c>
      <c r="M8" s="106">
        <f>'Costos Fijos'!$E$21</f>
        <v>3000</v>
      </c>
      <c r="N8" s="106">
        <f>'Costos Fijos'!$E$21</f>
        <v>3000</v>
      </c>
      <c r="O8" s="106">
        <f>'Costos Fijos'!$E$21</f>
        <v>3000</v>
      </c>
      <c r="P8" s="106">
        <f>'Costos Fijos'!$E$21</f>
        <v>3000</v>
      </c>
    </row>
    <row r="9" spans="1:16" ht="9.75" customHeight="1">
      <c r="A9" s="99">
        <v>1</v>
      </c>
      <c r="B9" s="100">
        <f>$E$8/4</f>
        <v>24188.535892266402</v>
      </c>
      <c r="C9" s="100">
        <f>E8*$C$14</f>
        <v>11610.497228287872</v>
      </c>
      <c r="D9" s="100">
        <f>B9-C9</f>
        <v>12578.03866397853</v>
      </c>
      <c r="E9" s="100">
        <f>E8-B9</f>
        <v>72565.607676799205</v>
      </c>
      <c r="G9" s="80"/>
      <c r="H9" s="80"/>
      <c r="I9" s="80"/>
      <c r="J9" s="101" t="s">
        <v>78</v>
      </c>
      <c r="K9" s="107"/>
      <c r="L9" s="102">
        <f>'Costos Fijos'!$E$22</f>
        <v>18000</v>
      </c>
      <c r="M9" s="102">
        <f>'Costos Fijos'!$E$22</f>
        <v>18000</v>
      </c>
      <c r="N9" s="102">
        <f>'Costos Fijos'!$E$22</f>
        <v>18000</v>
      </c>
      <c r="O9" s="102">
        <f>'Costos Fijos'!$E$22</f>
        <v>18000</v>
      </c>
      <c r="P9" s="102">
        <f>'Costos Fijos'!$E$22</f>
        <v>18000</v>
      </c>
    </row>
    <row r="10" spans="1:16" ht="9.75" customHeight="1">
      <c r="A10" s="99">
        <v>2</v>
      </c>
      <c r="B10" s="100">
        <f t="shared" ref="B10:B12" si="0">$E$8/4</f>
        <v>24188.535892266402</v>
      </c>
      <c r="C10" s="100">
        <f t="shared" ref="C10:C12" si="1">E9*$C$14</f>
        <v>8707.8729212159051</v>
      </c>
      <c r="D10" s="100">
        <f t="shared" ref="D10:D12" si="2">B10-C10</f>
        <v>15480.662971050497</v>
      </c>
      <c r="E10" s="100">
        <f t="shared" ref="E10:E12" si="3">E9-B10</f>
        <v>48377.071784532804</v>
      </c>
      <c r="J10" s="104" t="s">
        <v>79</v>
      </c>
      <c r="K10" s="105"/>
      <c r="L10" s="106">
        <f>'Costos Fijos'!$E$23</f>
        <v>3600</v>
      </c>
      <c r="M10" s="106">
        <f>'Costos Fijos'!$E$23</f>
        <v>3600</v>
      </c>
      <c r="N10" s="106">
        <f>'Costos Fijos'!$E$23</f>
        <v>3600</v>
      </c>
      <c r="O10" s="106">
        <f>'Costos Fijos'!$E$23</f>
        <v>3600</v>
      </c>
      <c r="P10" s="106">
        <f>'Costos Fijos'!$E$23</f>
        <v>3600</v>
      </c>
    </row>
    <row r="11" spans="1:16" ht="9.75" customHeight="1">
      <c r="A11" s="99">
        <v>3</v>
      </c>
      <c r="B11" s="100">
        <f t="shared" si="0"/>
        <v>24188.535892266402</v>
      </c>
      <c r="C11" s="100">
        <f t="shared" si="1"/>
        <v>5805.2486141439358</v>
      </c>
      <c r="D11" s="100">
        <f t="shared" si="2"/>
        <v>18383.287278122465</v>
      </c>
      <c r="E11" s="100">
        <f t="shared" si="3"/>
        <v>24188.535892266402</v>
      </c>
      <c r="J11" s="101" t="s">
        <v>80</v>
      </c>
      <c r="K11" s="107"/>
      <c r="L11" s="102">
        <f>'Costos Fijos'!$E$24</f>
        <v>2400</v>
      </c>
      <c r="M11" s="102">
        <f>'Costos Fijos'!$E$24</f>
        <v>2400</v>
      </c>
      <c r="N11" s="102">
        <f>'Costos Fijos'!$E$24</f>
        <v>2400</v>
      </c>
      <c r="O11" s="102">
        <f>'Costos Fijos'!$E$24</f>
        <v>2400</v>
      </c>
      <c r="P11" s="102">
        <f>'Costos Fijos'!$E$24</f>
        <v>2400</v>
      </c>
    </row>
    <row r="12" spans="1:16" ht="9.75" customHeight="1">
      <c r="A12" s="99">
        <v>4</v>
      </c>
      <c r="B12" s="100">
        <f t="shared" si="0"/>
        <v>24188.535892266402</v>
      </c>
      <c r="C12" s="100">
        <f t="shared" si="1"/>
        <v>2902.6243070719679</v>
      </c>
      <c r="D12" s="100">
        <f t="shared" si="2"/>
        <v>21285.911585194433</v>
      </c>
      <c r="E12" s="100">
        <f t="shared" si="3"/>
        <v>0</v>
      </c>
      <c r="J12" s="104" t="s">
        <v>81</v>
      </c>
      <c r="K12" s="105"/>
      <c r="L12" s="106">
        <f>'Costos Fijos'!$E$25</f>
        <v>8400</v>
      </c>
      <c r="M12" s="106">
        <f>'Costos Fijos'!$E$25</f>
        <v>8400</v>
      </c>
      <c r="N12" s="106">
        <f>'Costos Fijos'!$E$25</f>
        <v>8400</v>
      </c>
      <c r="O12" s="106">
        <f>'Costos Fijos'!$E$25</f>
        <v>8400</v>
      </c>
      <c r="P12" s="106">
        <f>'Costos Fijos'!$E$25</f>
        <v>8400</v>
      </c>
    </row>
    <row r="13" spans="1:16" ht="9.75" customHeight="1">
      <c r="A13" s="128"/>
      <c r="B13" s="128"/>
      <c r="C13" s="128"/>
      <c r="D13" s="128"/>
      <c r="E13" s="128"/>
      <c r="J13" s="108" t="s">
        <v>210</v>
      </c>
      <c r="K13" s="107"/>
      <c r="L13" s="102">
        <f>'Costos Fijos'!$E$26</f>
        <v>2400</v>
      </c>
      <c r="M13" s="102">
        <f>'Costos Fijos'!$E$26</f>
        <v>2400</v>
      </c>
      <c r="N13" s="102">
        <f>'Costos Fijos'!$E$26</f>
        <v>2400</v>
      </c>
      <c r="O13" s="102">
        <f>'Costos Fijos'!$E$26</f>
        <v>2400</v>
      </c>
      <c r="P13" s="102">
        <f>'Costos Fijos'!$E$26</f>
        <v>2400</v>
      </c>
    </row>
    <row r="14" spans="1:16" ht="9.75" customHeight="1">
      <c r="A14" s="142" t="s">
        <v>191</v>
      </c>
      <c r="B14" s="142"/>
      <c r="C14" s="76">
        <v>0.12</v>
      </c>
      <c r="J14" s="109" t="s">
        <v>211</v>
      </c>
      <c r="K14" s="110"/>
      <c r="L14" s="110">
        <f>'Costos Fijos'!$D$41</f>
        <v>120000</v>
      </c>
      <c r="M14" s="110">
        <f>'Costos Fijos'!$D$41</f>
        <v>120000</v>
      </c>
      <c r="N14" s="110">
        <f>'Costos Fijos'!$D$41</f>
        <v>120000</v>
      </c>
      <c r="O14" s="110">
        <f>'Costos Fijos'!$D$41</f>
        <v>120000</v>
      </c>
      <c r="P14" s="110">
        <f>'Costos Fijos'!$D$41</f>
        <v>120000</v>
      </c>
    </row>
    <row r="15" spans="1:16" ht="9.75" customHeight="1">
      <c r="A15" s="77"/>
      <c r="B15" s="77"/>
      <c r="C15" s="76"/>
      <c r="J15" s="111" t="s">
        <v>109</v>
      </c>
      <c r="K15" s="105"/>
      <c r="L15" s="106">
        <f>SUM(L5:L14)</f>
        <v>446552.71505376004</v>
      </c>
      <c r="M15" s="106">
        <f t="shared" ref="M15:P15" si="4">SUM(M5:M14)</f>
        <v>567360.8882168401</v>
      </c>
      <c r="N15" s="106">
        <f t="shared" si="4"/>
        <v>634373.89250671328</v>
      </c>
      <c r="O15" s="106">
        <f t="shared" si="4"/>
        <v>704555.44645594456</v>
      </c>
      <c r="P15" s="106">
        <f t="shared" si="4"/>
        <v>778022.0944198207</v>
      </c>
    </row>
    <row r="16" spans="1:16" ht="9.75" customHeight="1">
      <c r="A16" s="138" t="s">
        <v>221</v>
      </c>
      <c r="B16" s="138"/>
      <c r="C16" s="138"/>
      <c r="D16" s="138"/>
      <c r="E16" s="138"/>
      <c r="F16" s="138"/>
      <c r="G16" s="138"/>
      <c r="H16" s="138"/>
      <c r="J16" s="101" t="s">
        <v>197</v>
      </c>
      <c r="K16" s="107"/>
      <c r="L16" s="102">
        <f>C9</f>
        <v>11610.497228287872</v>
      </c>
      <c r="M16" s="102">
        <f>C10</f>
        <v>8707.8729212159051</v>
      </c>
      <c r="N16" s="107">
        <f>C11</f>
        <v>5805.2486141439358</v>
      </c>
      <c r="O16" s="107">
        <f>C12</f>
        <v>2902.6243070719679</v>
      </c>
      <c r="P16" s="107"/>
    </row>
    <row r="17" spans="1:16" ht="9.75" customHeight="1">
      <c r="A17" s="138" t="s">
        <v>1</v>
      </c>
      <c r="B17" s="138"/>
      <c r="C17" s="120">
        <v>0</v>
      </c>
      <c r="D17" s="120">
        <v>1</v>
      </c>
      <c r="E17" s="120">
        <v>2</v>
      </c>
      <c r="F17" s="120">
        <v>3</v>
      </c>
      <c r="G17" s="120">
        <v>4</v>
      </c>
      <c r="H17" s="120">
        <v>5</v>
      </c>
      <c r="J17" s="104" t="s">
        <v>198</v>
      </c>
      <c r="K17" s="105"/>
      <c r="L17" s="106">
        <f>'Valor de Desecho'!$D$9</f>
        <v>10800</v>
      </c>
      <c r="M17" s="106">
        <f>'Valor de Desecho'!$D$9</f>
        <v>10800</v>
      </c>
      <c r="N17" s="106">
        <f>'Valor de Desecho'!$D$9</f>
        <v>10800</v>
      </c>
      <c r="O17" s="106">
        <f>'Valor de Desecho'!$D$9</f>
        <v>10800</v>
      </c>
      <c r="P17" s="106">
        <f>'Valor de Desecho'!$D$9</f>
        <v>10800</v>
      </c>
    </row>
    <row r="18" spans="1:16" ht="9.75" customHeight="1">
      <c r="A18" s="137" t="s">
        <v>222</v>
      </c>
      <c r="B18" s="137"/>
      <c r="C18" s="121">
        <f>(E8)</f>
        <v>96754.143569065607</v>
      </c>
      <c r="D18" s="121">
        <f>L27</f>
        <v>-74712.355960714456</v>
      </c>
      <c r="E18" s="121">
        <f>M27</f>
        <v>31430.756529857532</v>
      </c>
      <c r="F18" s="121">
        <f>N27</f>
        <v>89985.835017208126</v>
      </c>
      <c r="G18" s="121">
        <f>O27</f>
        <v>151343.86128014504</v>
      </c>
      <c r="H18" s="121">
        <f>P27</f>
        <v>358796.46814061067</v>
      </c>
      <c r="J18" s="101" t="s">
        <v>199</v>
      </c>
      <c r="K18" s="107"/>
      <c r="L18" s="102">
        <f>L4-L15-L16-L17</f>
        <v>-97245.756395647899</v>
      </c>
      <c r="M18" s="102">
        <f t="shared" ref="M18:P18" si="5">M4-M15-M16-M17</f>
        <v>48148.559334544043</v>
      </c>
      <c r="N18" s="102">
        <f t="shared" si="5"/>
        <v>130092.1630604408</v>
      </c>
      <c r="O18" s="102">
        <f t="shared" si="5"/>
        <v>215773.03048711928</v>
      </c>
      <c r="P18" s="102">
        <f t="shared" si="5"/>
        <v>305328.62418748089</v>
      </c>
    </row>
    <row r="19" spans="1:16" ht="9.75" customHeight="1">
      <c r="A19" s="137" t="s">
        <v>223</v>
      </c>
      <c r="B19" s="137"/>
      <c r="C19" s="121">
        <f>E8</f>
        <v>96754.143569065607</v>
      </c>
      <c r="D19" s="121">
        <f>PV($O$28,L3,,-L27)</f>
        <v>-63075.974105739435</v>
      </c>
      <c r="E19" s="121">
        <f>PV($O$28,M3,,-M27)</f>
        <v>22402.573135818984</v>
      </c>
      <c r="F19" s="121">
        <f>PV($O$28,N3,,-N27)</f>
        <v>54148.789823350773</v>
      </c>
      <c r="G19" s="121">
        <f>PV($O$28,O3,,-O27)</f>
        <v>76886.651742254835</v>
      </c>
      <c r="H19" s="121">
        <f>PV($O$28,P3,,-P27)</f>
        <v>153888.38170876383</v>
      </c>
      <c r="J19" s="104" t="s">
        <v>200</v>
      </c>
      <c r="K19" s="105"/>
      <c r="L19" s="106">
        <f>L18*0.25</f>
        <v>-24311.439098911975</v>
      </c>
      <c r="M19" s="106">
        <f t="shared" ref="M19:P19" si="6">M18*0.25</f>
        <v>12037.139833636011</v>
      </c>
      <c r="N19" s="106">
        <f t="shared" si="6"/>
        <v>32523.0407651102</v>
      </c>
      <c r="O19" s="106">
        <f t="shared" si="6"/>
        <v>53943.25762177982</v>
      </c>
      <c r="P19" s="106">
        <f t="shared" si="6"/>
        <v>76332.156046870223</v>
      </c>
    </row>
    <row r="20" spans="1:16" ht="9.75" customHeight="1">
      <c r="A20" s="139"/>
      <c r="B20" s="140"/>
      <c r="C20" s="121">
        <f>E8</f>
        <v>96754.143569065607</v>
      </c>
      <c r="D20" s="121">
        <f>C20</f>
        <v>96754.143569065607</v>
      </c>
      <c r="E20" s="121">
        <f>D20-E19</f>
        <v>74351.570433246627</v>
      </c>
      <c r="F20" s="121">
        <f>E20-F19</f>
        <v>20202.780609895854</v>
      </c>
      <c r="G20" s="121">
        <v>0</v>
      </c>
      <c r="H20" s="121">
        <v>0</v>
      </c>
      <c r="J20" s="101" t="s">
        <v>201</v>
      </c>
      <c r="K20" s="107"/>
      <c r="L20" s="102">
        <f>L18-L19</f>
        <v>-72934.317296735928</v>
      </c>
      <c r="M20" s="102">
        <f t="shared" ref="M20:P20" si="7">M18-M19</f>
        <v>36111.419500908029</v>
      </c>
      <c r="N20" s="102">
        <f t="shared" si="7"/>
        <v>97569.122295330599</v>
      </c>
      <c r="O20" s="102">
        <f t="shared" si="7"/>
        <v>161829.77286533947</v>
      </c>
      <c r="P20" s="102">
        <f t="shared" si="7"/>
        <v>228996.46814061067</v>
      </c>
    </row>
    <row r="21" spans="1:16" ht="9.75" customHeight="1">
      <c r="J21" s="104" t="s">
        <v>202</v>
      </c>
      <c r="K21" s="105"/>
      <c r="L21" s="106">
        <f>'Valor de Desecho'!$D$9</f>
        <v>10800</v>
      </c>
      <c r="M21" s="106">
        <f>'Valor de Desecho'!$D$9</f>
        <v>10800</v>
      </c>
      <c r="N21" s="106">
        <f>'Valor de Desecho'!$D$9</f>
        <v>10800</v>
      </c>
      <c r="O21" s="106">
        <f>'Valor de Desecho'!$D$9</f>
        <v>10800</v>
      </c>
      <c r="P21" s="106">
        <f>'Valor de Desecho'!$D$9</f>
        <v>10800</v>
      </c>
    </row>
    <row r="22" spans="1:16" ht="9.75" customHeight="1">
      <c r="A22" t="s">
        <v>224</v>
      </c>
      <c r="E22" s="84"/>
      <c r="J22" s="101" t="s">
        <v>203</v>
      </c>
      <c r="K22" s="107"/>
      <c r="L22" s="102">
        <f>D9</f>
        <v>12578.03866397853</v>
      </c>
      <c r="M22" s="102">
        <f>D10</f>
        <v>15480.662971050497</v>
      </c>
      <c r="N22" s="107">
        <f>D11</f>
        <v>18383.287278122465</v>
      </c>
      <c r="O22" s="107">
        <f>D12</f>
        <v>21285.911585194433</v>
      </c>
      <c r="P22" s="102">
        <v>0</v>
      </c>
    </row>
    <row r="23" spans="1:16" ht="9.75" customHeight="1">
      <c r="J23" s="104" t="s">
        <v>204</v>
      </c>
      <c r="K23" s="106">
        <f>-'Inversion y Capacidad'!B9</f>
        <v>-172960</v>
      </c>
      <c r="L23" s="105"/>
      <c r="M23" s="105"/>
      <c r="N23" s="105"/>
      <c r="O23" s="105"/>
      <c r="P23" s="105"/>
    </row>
    <row r="24" spans="1:16" ht="9.75" customHeight="1">
      <c r="J24" s="101" t="s">
        <v>155</v>
      </c>
      <c r="K24" s="102">
        <f>'Capital de Trabajo'!E41</f>
        <v>-20548.2871381312</v>
      </c>
      <c r="L24" s="107"/>
      <c r="M24" s="107"/>
      <c r="N24" s="107"/>
      <c r="O24" s="107"/>
      <c r="P24" s="102">
        <v>0</v>
      </c>
    </row>
    <row r="25" spans="1:16" ht="9.75" customHeight="1">
      <c r="J25" s="104" t="s">
        <v>205</v>
      </c>
      <c r="K25" s="106">
        <f>E8</f>
        <v>96754.143569065607</v>
      </c>
      <c r="L25" s="105"/>
      <c r="M25" s="105"/>
      <c r="N25" s="105"/>
      <c r="O25" s="105"/>
      <c r="P25" s="105"/>
    </row>
    <row r="26" spans="1:16" ht="9.75" customHeight="1">
      <c r="J26" s="101" t="s">
        <v>206</v>
      </c>
      <c r="K26" s="107"/>
      <c r="L26" s="107"/>
      <c r="M26" s="107"/>
      <c r="N26" s="107"/>
      <c r="O26" s="107"/>
      <c r="P26" s="107">
        <f>'Valor de Desecho'!G9</f>
        <v>119000</v>
      </c>
    </row>
    <row r="27" spans="1:16" ht="9.75" customHeight="1">
      <c r="J27" s="112" t="s">
        <v>192</v>
      </c>
      <c r="K27" s="113">
        <f>SUM(K23:K25)</f>
        <v>-96754.143569065607</v>
      </c>
      <c r="L27" s="113">
        <f>L20+L21-L22</f>
        <v>-74712.355960714456</v>
      </c>
      <c r="M27" s="113">
        <f>M20+M21-M22</f>
        <v>31430.756529857532</v>
      </c>
      <c r="N27" s="113">
        <f t="shared" ref="N27:O27" si="8">N20+N21-N22</f>
        <v>89985.835017208126</v>
      </c>
      <c r="O27" s="113">
        <f t="shared" si="8"/>
        <v>151343.86128014504</v>
      </c>
      <c r="P27" s="113">
        <f>P20+P21-P22+P26</f>
        <v>358796.46814061067</v>
      </c>
    </row>
    <row r="28" spans="1:16" ht="9.75" customHeight="1">
      <c r="J28" s="114" t="s">
        <v>207</v>
      </c>
      <c r="K28" s="115">
        <f>NPV(O28,L27:P27)+K27</f>
        <v>147496.27873538338</v>
      </c>
      <c r="L28" s="116" t="s">
        <v>208</v>
      </c>
      <c r="M28" s="116"/>
      <c r="N28" s="116"/>
      <c r="O28" s="117">
        <f>'Valor de Desecho'!B17</f>
        <v>0.18448200000000001</v>
      </c>
      <c r="P28" s="117"/>
    </row>
    <row r="29" spans="1:16" ht="9.75" customHeight="1" thickBot="1">
      <c r="J29" s="118" t="s">
        <v>209</v>
      </c>
      <c r="K29" s="126">
        <f>IRR(K27:P27)</f>
        <v>0.41216060520044695</v>
      </c>
      <c r="L29" s="119"/>
      <c r="M29" s="119"/>
      <c r="N29" s="119"/>
      <c r="O29" s="119"/>
      <c r="P29" s="119"/>
    </row>
    <row r="31" spans="1:16" ht="9.75" customHeight="1">
      <c r="M31" s="84"/>
    </row>
  </sheetData>
  <mergeCells count="13">
    <mergeCell ref="J2:P2"/>
    <mergeCell ref="A14:B14"/>
    <mergeCell ref="A1:D1"/>
    <mergeCell ref="A2:C2"/>
    <mergeCell ref="A3:C3"/>
    <mergeCell ref="A4:C4"/>
    <mergeCell ref="A6:E6"/>
    <mergeCell ref="A13:E13"/>
    <mergeCell ref="A19:B19"/>
    <mergeCell ref="A18:B18"/>
    <mergeCell ref="A16:H16"/>
    <mergeCell ref="A17:B17"/>
    <mergeCell ref="A20:B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Q55"/>
  <sheetViews>
    <sheetView workbookViewId="0">
      <selection activeCell="D6" sqref="D6"/>
    </sheetView>
  </sheetViews>
  <sheetFormatPr baseColWidth="10" defaultRowHeight="15"/>
  <cols>
    <col min="2" max="2" width="12.5703125" customWidth="1"/>
    <col min="3" max="3" width="12" customWidth="1"/>
    <col min="4" max="4" width="8.42578125" bestFit="1" customWidth="1"/>
    <col min="5" max="5" width="10.85546875" customWidth="1"/>
    <col min="10" max="10" width="8.42578125" bestFit="1" customWidth="1"/>
  </cols>
  <sheetData>
    <row r="3" spans="1:11">
      <c r="A3" s="130" t="s">
        <v>28</v>
      </c>
      <c r="B3" s="131"/>
      <c r="C3" s="131"/>
      <c r="D3" s="131"/>
      <c r="E3" s="132"/>
      <c r="G3" s="133" t="s">
        <v>29</v>
      </c>
      <c r="H3" s="133"/>
      <c r="I3" s="133"/>
      <c r="J3" s="133"/>
      <c r="K3" s="133"/>
    </row>
    <row r="4" spans="1:11" ht="30">
      <c r="A4" s="9" t="s">
        <v>0</v>
      </c>
      <c r="B4" s="10" t="s">
        <v>21</v>
      </c>
      <c r="C4" s="10" t="s">
        <v>51</v>
      </c>
      <c r="D4" s="11" t="s">
        <v>26</v>
      </c>
      <c r="E4" s="11" t="s">
        <v>27</v>
      </c>
      <c r="G4" s="9" t="s">
        <v>0</v>
      </c>
      <c r="H4" s="10" t="s">
        <v>21</v>
      </c>
      <c r="I4" s="10" t="s">
        <v>25</v>
      </c>
      <c r="J4" s="11" t="s">
        <v>26</v>
      </c>
      <c r="K4" s="11" t="s">
        <v>27</v>
      </c>
    </row>
    <row r="5" spans="1:11">
      <c r="A5" s="9" t="s">
        <v>8</v>
      </c>
      <c r="B5" s="3">
        <f>'Demanada Esperada '!B44</f>
        <v>0.02</v>
      </c>
      <c r="C5" s="4">
        <f>'Demanada Esperada '!C44</f>
        <v>8746.293079680001</v>
      </c>
      <c r="D5" s="2">
        <v>0.39</v>
      </c>
      <c r="E5" s="8">
        <f t="shared" ref="E5:E16" si="0">D5*C5</f>
        <v>3411.0543010752003</v>
      </c>
      <c r="G5" s="9" t="s">
        <v>8</v>
      </c>
      <c r="H5" s="3">
        <f>'Demanada Esperada '!N44</f>
        <v>0.04</v>
      </c>
      <c r="I5" s="4">
        <f>H5*'Demanada Esperada '!$L$12</f>
        <v>29883.168022239999</v>
      </c>
      <c r="J5" s="2">
        <f t="shared" ref="J5:J16" si="1">$D$5</f>
        <v>0.39</v>
      </c>
      <c r="K5" s="8">
        <f>J5*I5</f>
        <v>11654.435528673601</v>
      </c>
    </row>
    <row r="6" spans="1:11">
      <c r="A6" s="9" t="s">
        <v>9</v>
      </c>
      <c r="B6" s="3">
        <f>'Demanada Esperada '!B45</f>
        <v>0.04</v>
      </c>
      <c r="C6" s="4">
        <f>'Demanada Esperada '!C45</f>
        <v>17492.586159360002</v>
      </c>
      <c r="D6" s="2">
        <f>$D$5</f>
        <v>0.39</v>
      </c>
      <c r="E6" s="8">
        <f t="shared" si="0"/>
        <v>6822.1086021504007</v>
      </c>
      <c r="G6" s="9" t="s">
        <v>9</v>
      </c>
      <c r="H6" s="3">
        <f>'Demanada Esperada '!N45</f>
        <v>0.08</v>
      </c>
      <c r="I6" s="4">
        <f>H6*'Demanada Esperada '!$L$12</f>
        <v>59766.336044479998</v>
      </c>
      <c r="J6" s="2">
        <f t="shared" si="1"/>
        <v>0.39</v>
      </c>
      <c r="K6" s="8">
        <f t="shared" ref="K6:K16" si="2">J6*I6</f>
        <v>23308.871057347202</v>
      </c>
    </row>
    <row r="7" spans="1:11">
      <c r="A7" s="9" t="s">
        <v>10</v>
      </c>
      <c r="B7" s="3">
        <f>'Demanada Esperada '!B46</f>
        <v>0.05</v>
      </c>
      <c r="C7" s="4">
        <f>'Demanada Esperada '!C46</f>
        <v>21865.732699200002</v>
      </c>
      <c r="D7" s="2">
        <f t="shared" ref="D7:D16" si="3">$D$5</f>
        <v>0.39</v>
      </c>
      <c r="E7" s="8">
        <f t="shared" si="0"/>
        <v>8527.6357526880001</v>
      </c>
      <c r="G7" s="9" t="s">
        <v>10</v>
      </c>
      <c r="H7" s="3">
        <f>'Demanada Esperada '!N46</f>
        <v>7.0000000000000007E-2</v>
      </c>
      <c r="I7" s="4">
        <f>H7*'Demanada Esperada '!$L$12</f>
        <v>52295.544038920001</v>
      </c>
      <c r="J7" s="2">
        <f t="shared" si="1"/>
        <v>0.39</v>
      </c>
      <c r="K7" s="8">
        <f t="shared" si="2"/>
        <v>20395.262175178803</v>
      </c>
    </row>
    <row r="8" spans="1:11">
      <c r="A8" s="9" t="s">
        <v>11</v>
      </c>
      <c r="B8" s="3">
        <f>'Demanada Esperada '!B47</f>
        <v>0.05</v>
      </c>
      <c r="C8" s="4">
        <f>'Demanada Esperada '!C47</f>
        <v>21865.732699200002</v>
      </c>
      <c r="D8" s="2">
        <f t="shared" si="3"/>
        <v>0.39</v>
      </c>
      <c r="E8" s="8">
        <f t="shared" si="0"/>
        <v>8527.6357526880001</v>
      </c>
      <c r="G8" s="9" t="s">
        <v>11</v>
      </c>
      <c r="H8" s="3">
        <f>'Demanada Esperada '!N47</f>
        <v>7.0000000000000007E-2</v>
      </c>
      <c r="I8" s="4">
        <f>H8*'Demanada Esperada '!$L$12</f>
        <v>52295.544038920001</v>
      </c>
      <c r="J8" s="2">
        <f t="shared" si="1"/>
        <v>0.39</v>
      </c>
      <c r="K8" s="8">
        <f t="shared" si="2"/>
        <v>20395.262175178803</v>
      </c>
    </row>
    <row r="9" spans="1:11">
      <c r="A9" s="9" t="s">
        <v>12</v>
      </c>
      <c r="B9" s="3">
        <f>'Demanada Esperada '!B48</f>
        <v>0.1</v>
      </c>
      <c r="C9" s="4">
        <f>'Demanada Esperada '!C48</f>
        <v>43731.465398400003</v>
      </c>
      <c r="D9" s="2">
        <f t="shared" si="3"/>
        <v>0.39</v>
      </c>
      <c r="E9" s="8">
        <f t="shared" si="0"/>
        <v>17055.271505376</v>
      </c>
      <c r="G9" s="9" t="s">
        <v>12</v>
      </c>
      <c r="H9" s="3">
        <f>'Demanada Esperada '!N48</f>
        <v>0.08</v>
      </c>
      <c r="I9" s="4">
        <f>H9*'Demanada Esperada '!$L$12</f>
        <v>59766.336044479998</v>
      </c>
      <c r="J9" s="2">
        <f t="shared" si="1"/>
        <v>0.39</v>
      </c>
      <c r="K9" s="8">
        <f t="shared" si="2"/>
        <v>23308.871057347202</v>
      </c>
    </row>
    <row r="10" spans="1:11">
      <c r="A10" s="9" t="s">
        <v>13</v>
      </c>
      <c r="B10" s="3">
        <f>'Demanada Esperada '!B49</f>
        <v>0.1</v>
      </c>
      <c r="C10" s="4">
        <f>'Demanada Esperada '!C49</f>
        <v>43731.465398400003</v>
      </c>
      <c r="D10" s="2">
        <f t="shared" si="3"/>
        <v>0.39</v>
      </c>
      <c r="E10" s="8">
        <f t="shared" si="0"/>
        <v>17055.271505376</v>
      </c>
      <c r="G10" s="9" t="s">
        <v>13</v>
      </c>
      <c r="H10" s="3">
        <f>'Demanada Esperada '!N49</f>
        <v>0.09</v>
      </c>
      <c r="I10" s="4">
        <f>H10*'Demanada Esperada '!$L$12</f>
        <v>67237.128050040003</v>
      </c>
      <c r="J10" s="2">
        <f t="shared" si="1"/>
        <v>0.39</v>
      </c>
      <c r="K10" s="8">
        <f t="shared" si="2"/>
        <v>26222.479939515601</v>
      </c>
    </row>
    <row r="11" spans="1:11">
      <c r="A11" s="9" t="s">
        <v>14</v>
      </c>
      <c r="B11" s="3">
        <f>'Demanada Esperada '!B50</f>
        <v>0.1</v>
      </c>
      <c r="C11" s="4">
        <f>'Demanada Esperada '!C50</f>
        <v>43731.465398400003</v>
      </c>
      <c r="D11" s="2">
        <f t="shared" si="3"/>
        <v>0.39</v>
      </c>
      <c r="E11" s="8">
        <f t="shared" si="0"/>
        <v>17055.271505376</v>
      </c>
      <c r="G11" s="9" t="s">
        <v>14</v>
      </c>
      <c r="H11" s="3">
        <f>'Demanada Esperada '!N50</f>
        <v>0.09</v>
      </c>
      <c r="I11" s="4">
        <f>H11*'Demanada Esperada '!$L$12</f>
        <v>67237.128050040003</v>
      </c>
      <c r="J11" s="2">
        <f t="shared" si="1"/>
        <v>0.39</v>
      </c>
      <c r="K11" s="8">
        <f t="shared" si="2"/>
        <v>26222.479939515601</v>
      </c>
    </row>
    <row r="12" spans="1:11">
      <c r="A12" s="9" t="s">
        <v>15</v>
      </c>
      <c r="B12" s="3">
        <f>'Demanada Esperada '!B51</f>
        <v>0.1</v>
      </c>
      <c r="C12" s="4">
        <f>'Demanada Esperada '!C51</f>
        <v>43731.465398400003</v>
      </c>
      <c r="D12" s="2">
        <f t="shared" si="3"/>
        <v>0.39</v>
      </c>
      <c r="E12" s="8">
        <f t="shared" si="0"/>
        <v>17055.271505376</v>
      </c>
      <c r="G12" s="9" t="s">
        <v>15</v>
      </c>
      <c r="H12" s="3">
        <f>'Demanada Esperada '!N51</f>
        <v>0.09</v>
      </c>
      <c r="I12" s="4">
        <f>H12*'Demanada Esperada '!$L$12</f>
        <v>67237.128050040003</v>
      </c>
      <c r="J12" s="2">
        <f t="shared" si="1"/>
        <v>0.39</v>
      </c>
      <c r="K12" s="8">
        <f t="shared" si="2"/>
        <v>26222.479939515601</v>
      </c>
    </row>
    <row r="13" spans="1:11">
      <c r="A13" s="9" t="s">
        <v>16</v>
      </c>
      <c r="B13" s="3">
        <f>'Demanada Esperada '!B52</f>
        <v>0.11</v>
      </c>
      <c r="C13" s="4">
        <f>'Demanada Esperada '!C52</f>
        <v>48104.611938240007</v>
      </c>
      <c r="D13" s="2">
        <f t="shared" si="3"/>
        <v>0.39</v>
      </c>
      <c r="E13" s="8">
        <f t="shared" si="0"/>
        <v>18760.798655913604</v>
      </c>
      <c r="G13" s="9" t="s">
        <v>16</v>
      </c>
      <c r="H13" s="3">
        <f>'Demanada Esperada '!N52</f>
        <v>0.09</v>
      </c>
      <c r="I13" s="4">
        <f>H13*'Demanada Esperada '!$L$12</f>
        <v>67237.128050040003</v>
      </c>
      <c r="J13" s="2">
        <f t="shared" si="1"/>
        <v>0.39</v>
      </c>
      <c r="K13" s="8">
        <f t="shared" si="2"/>
        <v>26222.479939515601</v>
      </c>
    </row>
    <row r="14" spans="1:11">
      <c r="A14" s="9" t="s">
        <v>17</v>
      </c>
      <c r="B14" s="3">
        <f>'Demanada Esperada '!B53</f>
        <v>0.11</v>
      </c>
      <c r="C14" s="4">
        <f>'Demanada Esperada '!C53</f>
        <v>48104.611938240007</v>
      </c>
      <c r="D14" s="2">
        <f t="shared" si="3"/>
        <v>0.39</v>
      </c>
      <c r="E14" s="8">
        <f t="shared" si="0"/>
        <v>18760.798655913604</v>
      </c>
      <c r="G14" s="9" t="s">
        <v>17</v>
      </c>
      <c r="H14" s="3">
        <f>'Demanada Esperada '!N53</f>
        <v>0.1</v>
      </c>
      <c r="I14" s="4">
        <f>H14*'Demanada Esperada '!$L$12</f>
        <v>74707.9200556</v>
      </c>
      <c r="J14" s="2">
        <f t="shared" si="1"/>
        <v>0.39</v>
      </c>
      <c r="K14" s="8">
        <f t="shared" si="2"/>
        <v>29136.088821683999</v>
      </c>
    </row>
    <row r="15" spans="1:11">
      <c r="A15" s="9" t="s">
        <v>18</v>
      </c>
      <c r="B15" s="3">
        <f>'Demanada Esperada '!B54</f>
        <v>0.11</v>
      </c>
      <c r="C15" s="4">
        <f>'Demanada Esperada '!C54</f>
        <v>48104.611938240007</v>
      </c>
      <c r="D15" s="2">
        <f t="shared" si="3"/>
        <v>0.39</v>
      </c>
      <c r="E15" s="8">
        <f t="shared" si="0"/>
        <v>18760.798655913604</v>
      </c>
      <c r="G15" s="9" t="s">
        <v>18</v>
      </c>
      <c r="H15" s="3">
        <f>'Demanada Esperada '!N54</f>
        <v>0.1</v>
      </c>
      <c r="I15" s="4">
        <f>H15*'Demanada Esperada '!$L$12</f>
        <v>74707.9200556</v>
      </c>
      <c r="J15" s="2">
        <f t="shared" si="1"/>
        <v>0.39</v>
      </c>
      <c r="K15" s="8">
        <f t="shared" si="2"/>
        <v>29136.088821683999</v>
      </c>
    </row>
    <row r="16" spans="1:11">
      <c r="A16" s="9" t="s">
        <v>19</v>
      </c>
      <c r="B16" s="3">
        <f>'Demanada Esperada '!B55</f>
        <v>0.11</v>
      </c>
      <c r="C16" s="4">
        <f>'Demanada Esperada '!C55</f>
        <v>48104.611938240007</v>
      </c>
      <c r="D16" s="2">
        <f t="shared" si="3"/>
        <v>0.39</v>
      </c>
      <c r="E16" s="8">
        <f t="shared" si="0"/>
        <v>18760.798655913604</v>
      </c>
      <c r="G16" s="9" t="s">
        <v>19</v>
      </c>
      <c r="H16" s="3">
        <f>'Demanada Esperada '!N55</f>
        <v>0.1</v>
      </c>
      <c r="I16" s="4">
        <f>H16*'Demanada Esperada '!$L$12</f>
        <v>74707.9200556</v>
      </c>
      <c r="J16" s="2">
        <f t="shared" si="1"/>
        <v>0.39</v>
      </c>
      <c r="K16" s="8">
        <f t="shared" si="2"/>
        <v>29136.088821683999</v>
      </c>
    </row>
    <row r="17" spans="1:17">
      <c r="A17" s="134"/>
      <c r="B17" s="135"/>
      <c r="C17" s="135"/>
      <c r="D17" s="135"/>
      <c r="E17" s="136"/>
      <c r="G17" s="130"/>
      <c r="H17" s="131"/>
      <c r="I17" s="131"/>
      <c r="J17" s="131"/>
      <c r="K17" s="132"/>
    </row>
    <row r="18" spans="1:17">
      <c r="A18" s="9" t="s">
        <v>20</v>
      </c>
      <c r="B18" s="13">
        <f>SUM(B5:B16)</f>
        <v>0.99999999999999989</v>
      </c>
      <c r="C18" s="12">
        <f>SUM(C5:C16)</f>
        <v>437314.65398400003</v>
      </c>
      <c r="D18" s="2"/>
      <c r="E18" s="8">
        <f>SUM(E5:E17)</f>
        <v>170552.71505376004</v>
      </c>
      <c r="G18" s="9" t="s">
        <v>20</v>
      </c>
      <c r="H18" s="13">
        <f>SUM(H5:H16)</f>
        <v>0.99999999999999989</v>
      </c>
      <c r="I18" s="12">
        <f>SUM(I5:I17)</f>
        <v>747079.200556</v>
      </c>
      <c r="J18" s="9"/>
      <c r="K18" s="8">
        <f>SUM(K5:K17)</f>
        <v>291360.88821684005</v>
      </c>
    </row>
    <row r="19" spans="1:17" ht="15" customHeight="1"/>
    <row r="22" spans="1:17">
      <c r="A22" s="133" t="s">
        <v>30</v>
      </c>
      <c r="B22" s="133"/>
      <c r="C22" s="133"/>
      <c r="D22" s="133"/>
      <c r="E22" s="133"/>
      <c r="G22" s="133" t="s">
        <v>31</v>
      </c>
      <c r="H22" s="133"/>
      <c r="I22" s="133"/>
      <c r="J22" s="133"/>
      <c r="K22" s="133"/>
    </row>
    <row r="23" spans="1:17" ht="30">
      <c r="A23" s="9" t="s">
        <v>0</v>
      </c>
      <c r="B23" s="10" t="s">
        <v>21</v>
      </c>
      <c r="C23" s="10" t="s">
        <v>25</v>
      </c>
      <c r="D23" s="11" t="s">
        <v>26</v>
      </c>
      <c r="E23" s="11" t="s">
        <v>27</v>
      </c>
      <c r="G23" s="9" t="s">
        <v>0</v>
      </c>
      <c r="H23" s="10" t="s">
        <v>21</v>
      </c>
      <c r="I23" s="10" t="s">
        <v>25</v>
      </c>
      <c r="J23" s="11" t="s">
        <v>26</v>
      </c>
      <c r="K23" s="11" t="s">
        <v>27</v>
      </c>
    </row>
    <row r="24" spans="1:17">
      <c r="A24" s="9" t="s">
        <v>8</v>
      </c>
      <c r="B24" s="3">
        <f>'Demanada Esperada '!B60</f>
        <v>0.04</v>
      </c>
      <c r="C24" s="4">
        <f>B24*'Demanada Esperada '!$L$18</f>
        <v>36756.2966673552</v>
      </c>
      <c r="D24" s="2">
        <f t="shared" ref="D24:D35" si="4">$D$5</f>
        <v>0.39</v>
      </c>
      <c r="E24" s="8">
        <f>D24*C24</f>
        <v>14334.955700268529</v>
      </c>
      <c r="G24" s="9" t="s">
        <v>8</v>
      </c>
      <c r="H24" s="3">
        <f>'Demanada Esperada '!N60</f>
        <v>0.04</v>
      </c>
      <c r="I24" s="4">
        <f>H24*'Demanada Esperada '!$L$24</f>
        <v>43954.404764712264</v>
      </c>
      <c r="J24" s="2">
        <f t="shared" ref="J24:J35" si="5">$D$5</f>
        <v>0.39</v>
      </c>
      <c r="K24" s="8">
        <f>J24*I24</f>
        <v>17142.217858237782</v>
      </c>
    </row>
    <row r="25" spans="1:17">
      <c r="A25" s="9" t="s">
        <v>9</v>
      </c>
      <c r="B25" s="3">
        <f>'Demanada Esperada '!B61</f>
        <v>0.08</v>
      </c>
      <c r="C25" s="4">
        <f>B25*'Demanada Esperada '!$L$18</f>
        <v>73512.5933347104</v>
      </c>
      <c r="D25" s="2">
        <f t="shared" si="4"/>
        <v>0.39</v>
      </c>
      <c r="E25" s="8">
        <f t="shared" ref="E25:E35" si="6">D25*C25</f>
        <v>28669.911400537057</v>
      </c>
      <c r="G25" s="9" t="s">
        <v>9</v>
      </c>
      <c r="H25" s="3">
        <f>'Demanada Esperada '!N61</f>
        <v>0.08</v>
      </c>
      <c r="I25" s="4">
        <f>H25*'Demanada Esperada '!$L$24</f>
        <v>87908.809529424529</v>
      </c>
      <c r="J25" s="2">
        <f t="shared" si="5"/>
        <v>0.39</v>
      </c>
      <c r="K25" s="8">
        <f t="shared" ref="K25:K35" si="7">J25*I25</f>
        <v>34284.435716475564</v>
      </c>
    </row>
    <row r="26" spans="1:17">
      <c r="A26" s="9" t="s">
        <v>10</v>
      </c>
      <c r="B26" s="3">
        <f>'Demanada Esperada '!B62</f>
        <v>7.0000000000000007E-2</v>
      </c>
      <c r="C26" s="4">
        <f>B26*'Demanada Esperada '!$L$18</f>
        <v>64323.519167871607</v>
      </c>
      <c r="D26" s="2">
        <f t="shared" si="4"/>
        <v>0.39</v>
      </c>
      <c r="E26" s="8">
        <f t="shared" si="6"/>
        <v>25086.172475469928</v>
      </c>
      <c r="G26" s="9" t="s">
        <v>10</v>
      </c>
      <c r="H26" s="3">
        <f>'Demanada Esperada '!N62</f>
        <v>7.0000000000000007E-2</v>
      </c>
      <c r="I26" s="4">
        <f>H26*'Demanada Esperada '!$L$24</f>
        <v>76920.208338246477</v>
      </c>
      <c r="J26" s="2">
        <f t="shared" si="5"/>
        <v>0.39</v>
      </c>
      <c r="K26" s="8">
        <f t="shared" si="7"/>
        <v>29998.881251916126</v>
      </c>
    </row>
    <row r="27" spans="1:17">
      <c r="A27" s="9" t="s">
        <v>11</v>
      </c>
      <c r="B27" s="3">
        <f>'Demanada Esperada '!B63</f>
        <v>7.0000000000000007E-2</v>
      </c>
      <c r="C27" s="4">
        <f>B27*'Demanada Esperada '!$L$18</f>
        <v>64323.519167871607</v>
      </c>
      <c r="D27" s="2">
        <f t="shared" si="4"/>
        <v>0.39</v>
      </c>
      <c r="E27" s="8">
        <f t="shared" si="6"/>
        <v>25086.172475469928</v>
      </c>
      <c r="G27" s="9" t="s">
        <v>11</v>
      </c>
      <c r="H27" s="3">
        <f>'Demanada Esperada '!N63</f>
        <v>7.0000000000000007E-2</v>
      </c>
      <c r="I27" s="4">
        <f>H27*'Demanada Esperada '!$L$24</f>
        <v>76920.208338246477</v>
      </c>
      <c r="J27" s="2">
        <f t="shared" si="5"/>
        <v>0.39</v>
      </c>
      <c r="K27" s="8">
        <f t="shared" si="7"/>
        <v>29998.881251916126</v>
      </c>
    </row>
    <row r="28" spans="1:17">
      <c r="A28" s="9" t="s">
        <v>12</v>
      </c>
      <c r="B28" s="3">
        <f>'Demanada Esperada '!B64</f>
        <v>0.08</v>
      </c>
      <c r="C28" s="4">
        <f>B28*'Demanada Esperada '!$L$18</f>
        <v>73512.5933347104</v>
      </c>
      <c r="D28" s="2">
        <f t="shared" si="4"/>
        <v>0.39</v>
      </c>
      <c r="E28" s="8">
        <f t="shared" si="6"/>
        <v>28669.911400537057</v>
      </c>
      <c r="G28" s="9" t="s">
        <v>12</v>
      </c>
      <c r="H28" s="3">
        <f>'Demanada Esperada '!N64</f>
        <v>0.08</v>
      </c>
      <c r="I28" s="4">
        <f>H28*'Demanada Esperada '!$L$24</f>
        <v>87908.809529424529</v>
      </c>
      <c r="J28" s="2">
        <f t="shared" si="5"/>
        <v>0.39</v>
      </c>
      <c r="K28" s="8">
        <f t="shared" si="7"/>
        <v>34284.435716475564</v>
      </c>
    </row>
    <row r="29" spans="1:17">
      <c r="A29" s="9" t="s">
        <v>13</v>
      </c>
      <c r="B29" s="3">
        <f>'Demanada Esperada '!B65</f>
        <v>0.09</v>
      </c>
      <c r="C29" s="4">
        <f>B29*'Demanada Esperada '!$L$18</f>
        <v>82701.667501549193</v>
      </c>
      <c r="D29" s="2">
        <f t="shared" si="4"/>
        <v>0.39</v>
      </c>
      <c r="E29" s="8">
        <f t="shared" si="6"/>
        <v>32253.650325604187</v>
      </c>
      <c r="G29" s="9" t="s">
        <v>13</v>
      </c>
      <c r="H29" s="3">
        <f>'Demanada Esperada '!N65</f>
        <v>0.09</v>
      </c>
      <c r="I29" s="4">
        <f>H29*'Demanada Esperada '!$L$24</f>
        <v>98897.410720602595</v>
      </c>
      <c r="J29" s="2">
        <f t="shared" si="5"/>
        <v>0.39</v>
      </c>
      <c r="K29" s="8">
        <f t="shared" si="7"/>
        <v>38569.990181035013</v>
      </c>
      <c r="Q29" s="2"/>
    </row>
    <row r="30" spans="1:17">
      <c r="A30" s="9" t="s">
        <v>14</v>
      </c>
      <c r="B30" s="3">
        <f>'Demanada Esperada '!B66</f>
        <v>0.09</v>
      </c>
      <c r="C30" s="4">
        <f>B30*'Demanada Esperada '!$L$18</f>
        <v>82701.667501549193</v>
      </c>
      <c r="D30" s="2">
        <f t="shared" si="4"/>
        <v>0.39</v>
      </c>
      <c r="E30" s="8">
        <f t="shared" si="6"/>
        <v>32253.650325604187</v>
      </c>
      <c r="G30" s="9" t="s">
        <v>14</v>
      </c>
      <c r="H30" s="3">
        <f>'Demanada Esperada '!N66</f>
        <v>0.09</v>
      </c>
      <c r="I30" s="4">
        <f>H30*'Demanada Esperada '!$L$24</f>
        <v>98897.410720602595</v>
      </c>
      <c r="J30" s="2">
        <f t="shared" si="5"/>
        <v>0.39</v>
      </c>
      <c r="K30" s="8">
        <f t="shared" si="7"/>
        <v>38569.990181035013</v>
      </c>
    </row>
    <row r="31" spans="1:17">
      <c r="A31" s="9" t="s">
        <v>15</v>
      </c>
      <c r="B31" s="3">
        <f>'Demanada Esperada '!B67</f>
        <v>0.09</v>
      </c>
      <c r="C31" s="4">
        <f>B31*'Demanada Esperada '!$L$18</f>
        <v>82701.667501549193</v>
      </c>
      <c r="D31" s="2">
        <f t="shared" si="4"/>
        <v>0.39</v>
      </c>
      <c r="E31" s="8">
        <f t="shared" si="6"/>
        <v>32253.650325604187</v>
      </c>
      <c r="G31" s="9" t="s">
        <v>15</v>
      </c>
      <c r="H31" s="3">
        <f>'Demanada Esperada '!N67</f>
        <v>0.09</v>
      </c>
      <c r="I31" s="4">
        <f>H31*'Demanada Esperada '!$L$24</f>
        <v>98897.410720602595</v>
      </c>
      <c r="J31" s="2">
        <f t="shared" si="5"/>
        <v>0.39</v>
      </c>
      <c r="K31" s="8">
        <f t="shared" si="7"/>
        <v>38569.990181035013</v>
      </c>
    </row>
    <row r="32" spans="1:17">
      <c r="A32" s="9" t="s">
        <v>16</v>
      </c>
      <c r="B32" s="3">
        <f>'Demanada Esperada '!B68</f>
        <v>0.09</v>
      </c>
      <c r="C32" s="4">
        <f>B32*'Demanada Esperada '!$L$18</f>
        <v>82701.667501549193</v>
      </c>
      <c r="D32" s="2">
        <f t="shared" si="4"/>
        <v>0.39</v>
      </c>
      <c r="E32" s="8">
        <f t="shared" si="6"/>
        <v>32253.650325604187</v>
      </c>
      <c r="G32" s="9" t="s">
        <v>16</v>
      </c>
      <c r="H32" s="3">
        <f>'Demanada Esperada '!N68</f>
        <v>0.09</v>
      </c>
      <c r="I32" s="4">
        <f>H32*'Demanada Esperada '!$L$24</f>
        <v>98897.410720602595</v>
      </c>
      <c r="J32" s="2">
        <f t="shared" si="5"/>
        <v>0.39</v>
      </c>
      <c r="K32" s="8">
        <f t="shared" si="7"/>
        <v>38569.990181035013</v>
      </c>
    </row>
    <row r="33" spans="1:11">
      <c r="A33" s="9" t="s">
        <v>17</v>
      </c>
      <c r="B33" s="3">
        <f>'Demanada Esperada '!B69</f>
        <v>0.1</v>
      </c>
      <c r="C33" s="4">
        <f>B33*'Demanada Esperada '!$L$18</f>
        <v>91890.741668388015</v>
      </c>
      <c r="D33" s="2">
        <f t="shared" si="4"/>
        <v>0.39</v>
      </c>
      <c r="E33" s="8">
        <f t="shared" si="6"/>
        <v>35837.389250671324</v>
      </c>
      <c r="G33" s="9" t="s">
        <v>17</v>
      </c>
      <c r="H33" s="3">
        <f>'Demanada Esperada '!N69</f>
        <v>0.1</v>
      </c>
      <c r="I33" s="4">
        <f>H33*'Demanada Esperada '!$L$24</f>
        <v>109886.01191178068</v>
      </c>
      <c r="J33" s="2">
        <f t="shared" si="5"/>
        <v>0.39</v>
      </c>
      <c r="K33" s="8">
        <f t="shared" si="7"/>
        <v>42855.544645594462</v>
      </c>
    </row>
    <row r="34" spans="1:11">
      <c r="A34" s="9" t="s">
        <v>18</v>
      </c>
      <c r="B34" s="3">
        <f>'Demanada Esperada '!B70</f>
        <v>0.1</v>
      </c>
      <c r="C34" s="4">
        <f>B34*'Demanada Esperada '!$L$18</f>
        <v>91890.741668388015</v>
      </c>
      <c r="D34" s="2">
        <f t="shared" si="4"/>
        <v>0.39</v>
      </c>
      <c r="E34" s="8">
        <f t="shared" si="6"/>
        <v>35837.389250671324</v>
      </c>
      <c r="G34" s="9" t="s">
        <v>18</v>
      </c>
      <c r="H34" s="3">
        <f>'Demanada Esperada '!N70</f>
        <v>0.1</v>
      </c>
      <c r="I34" s="4">
        <f>H34*'Demanada Esperada '!$L$24</f>
        <v>109886.01191178068</v>
      </c>
      <c r="J34" s="2">
        <f t="shared" si="5"/>
        <v>0.39</v>
      </c>
      <c r="K34" s="8">
        <f t="shared" si="7"/>
        <v>42855.544645594462</v>
      </c>
    </row>
    <row r="35" spans="1:11">
      <c r="A35" s="9" t="s">
        <v>19</v>
      </c>
      <c r="B35" s="3">
        <f>'Demanada Esperada '!B71</f>
        <v>0.1</v>
      </c>
      <c r="C35" s="4">
        <f>B35*'Demanada Esperada '!$L$18</f>
        <v>91890.741668388015</v>
      </c>
      <c r="D35" s="2">
        <f t="shared" si="4"/>
        <v>0.39</v>
      </c>
      <c r="E35" s="8">
        <f t="shared" si="6"/>
        <v>35837.389250671324</v>
      </c>
      <c r="G35" s="9" t="s">
        <v>19</v>
      </c>
      <c r="H35" s="3">
        <f>'Demanada Esperada '!N71</f>
        <v>0.1</v>
      </c>
      <c r="I35" s="4">
        <f>H35*'Demanada Esperada '!$L$24</f>
        <v>109886.01191178068</v>
      </c>
      <c r="J35" s="2">
        <f t="shared" si="5"/>
        <v>0.39</v>
      </c>
      <c r="K35" s="8">
        <f t="shared" si="7"/>
        <v>42855.544645594462</v>
      </c>
    </row>
    <row r="36" spans="1:11">
      <c r="A36" s="130"/>
      <c r="B36" s="131"/>
      <c r="C36" s="131"/>
      <c r="D36" s="131"/>
      <c r="E36" s="132"/>
      <c r="G36" s="130"/>
      <c r="H36" s="131"/>
      <c r="I36" s="131"/>
      <c r="J36" s="131"/>
      <c r="K36" s="132"/>
    </row>
    <row r="37" spans="1:11">
      <c r="A37" s="9" t="s">
        <v>20</v>
      </c>
      <c r="B37" s="13">
        <f>SUM(B24:B35)</f>
        <v>0.99999999999999989</v>
      </c>
      <c r="C37" s="12">
        <f>SUM(C24:C35)</f>
        <v>918907.41668388003</v>
      </c>
      <c r="D37" s="9"/>
      <c r="E37" s="8">
        <f>SUM(E24:E36)</f>
        <v>358373.89250671322</v>
      </c>
      <c r="G37" s="9" t="s">
        <v>20</v>
      </c>
      <c r="H37" s="13">
        <f>SUM(H24:H35)</f>
        <v>0.99999999999999989</v>
      </c>
      <c r="I37" s="12">
        <f>SUM(I24:I35)</f>
        <v>1098860.1191178067</v>
      </c>
      <c r="J37" s="9"/>
      <c r="K37" s="8">
        <f>SUM(K24:K36)</f>
        <v>428555.44645594456</v>
      </c>
    </row>
    <row r="40" spans="1:11">
      <c r="A40" s="133" t="s">
        <v>32</v>
      </c>
      <c r="B40" s="133"/>
      <c r="C40" s="133"/>
      <c r="D40" s="133"/>
      <c r="E40" s="133"/>
    </row>
    <row r="41" spans="1:11" ht="30">
      <c r="A41" s="9" t="s">
        <v>0</v>
      </c>
      <c r="B41" s="10" t="s">
        <v>21</v>
      </c>
      <c r="C41" s="10" t="s">
        <v>25</v>
      </c>
      <c r="D41" s="11" t="s">
        <v>26</v>
      </c>
      <c r="E41" s="11" t="s">
        <v>27</v>
      </c>
    </row>
    <row r="42" spans="1:11">
      <c r="A42" s="9" t="s">
        <v>8</v>
      </c>
      <c r="B42" s="3">
        <f>'Demanada Esperada '!R60</f>
        <v>0.04</v>
      </c>
      <c r="C42" s="4">
        <f>B42*'Demanada Esperada '!$L$30</f>
        <v>51489.445581520071</v>
      </c>
      <c r="D42" s="2">
        <f t="shared" ref="D42:D53" si="8">$D$5</f>
        <v>0.39</v>
      </c>
      <c r="E42" s="8">
        <f>D42*C42</f>
        <v>20080.883776792827</v>
      </c>
    </row>
    <row r="43" spans="1:11">
      <c r="A43" s="9" t="s">
        <v>9</v>
      </c>
      <c r="B43" s="3">
        <f>'Demanada Esperada '!R61</f>
        <v>0.08</v>
      </c>
      <c r="C43" s="4">
        <f>B43*'Demanada Esperada '!$L$30</f>
        <v>102978.89116304014</v>
      </c>
      <c r="D43" s="2">
        <f t="shared" si="8"/>
        <v>0.39</v>
      </c>
      <c r="E43" s="8">
        <f t="shared" ref="E43:E53" si="9">D43*C43</f>
        <v>40161.767553585654</v>
      </c>
    </row>
    <row r="44" spans="1:11">
      <c r="A44" s="9" t="s">
        <v>10</v>
      </c>
      <c r="B44" s="3">
        <f>'Demanada Esperada '!R62</f>
        <v>7.0000000000000007E-2</v>
      </c>
      <c r="C44" s="4">
        <f>B44*'Demanada Esperada '!$L$30</f>
        <v>90106.529767660133</v>
      </c>
      <c r="D44" s="2">
        <f t="shared" si="8"/>
        <v>0.39</v>
      </c>
      <c r="E44" s="8">
        <f t="shared" si="9"/>
        <v>35141.546609387457</v>
      </c>
    </row>
    <row r="45" spans="1:11">
      <c r="A45" s="9" t="s">
        <v>11</v>
      </c>
      <c r="B45" s="3">
        <f>'Demanada Esperada '!R63</f>
        <v>7.0000000000000007E-2</v>
      </c>
      <c r="C45" s="4">
        <f>B45*'Demanada Esperada '!$L$30</f>
        <v>90106.529767660133</v>
      </c>
      <c r="D45" s="2">
        <f t="shared" si="8"/>
        <v>0.39</v>
      </c>
      <c r="E45" s="8">
        <f t="shared" si="9"/>
        <v>35141.546609387457</v>
      </c>
    </row>
    <row r="46" spans="1:11">
      <c r="A46" s="9" t="s">
        <v>12</v>
      </c>
      <c r="B46" s="3">
        <f>'Demanada Esperada '!R64</f>
        <v>0.08</v>
      </c>
      <c r="C46" s="4">
        <f>B46*'Demanada Esperada '!$L$30</f>
        <v>102978.89116304014</v>
      </c>
      <c r="D46" s="2">
        <f t="shared" si="8"/>
        <v>0.39</v>
      </c>
      <c r="E46" s="8">
        <f t="shared" si="9"/>
        <v>40161.767553585654</v>
      </c>
    </row>
    <row r="47" spans="1:11">
      <c r="A47" s="9" t="s">
        <v>13</v>
      </c>
      <c r="B47" s="3">
        <f>'Demanada Esperada '!R65</f>
        <v>0.09</v>
      </c>
      <c r="C47" s="4">
        <f>B47*'Demanada Esperada '!$L$30</f>
        <v>115851.25255842015</v>
      </c>
      <c r="D47" s="2">
        <f t="shared" si="8"/>
        <v>0.39</v>
      </c>
      <c r="E47" s="8">
        <f t="shared" si="9"/>
        <v>45181.988497783859</v>
      </c>
    </row>
    <row r="48" spans="1:11">
      <c r="A48" s="9" t="s">
        <v>14</v>
      </c>
      <c r="B48" s="3">
        <f>'Demanada Esperada '!R66</f>
        <v>0.09</v>
      </c>
      <c r="C48" s="4">
        <f>B48*'Demanada Esperada '!$L$30</f>
        <v>115851.25255842015</v>
      </c>
      <c r="D48" s="2">
        <f t="shared" si="8"/>
        <v>0.39</v>
      </c>
      <c r="E48" s="8">
        <f t="shared" si="9"/>
        <v>45181.988497783859</v>
      </c>
    </row>
    <row r="49" spans="1:5">
      <c r="A49" s="9" t="s">
        <v>15</v>
      </c>
      <c r="B49" s="3">
        <f>'Demanada Esperada '!R67</f>
        <v>0.09</v>
      </c>
      <c r="C49" s="4">
        <f>B49*'Demanada Esperada '!$L$30</f>
        <v>115851.25255842015</v>
      </c>
      <c r="D49" s="2">
        <f t="shared" si="8"/>
        <v>0.39</v>
      </c>
      <c r="E49" s="8">
        <f t="shared" si="9"/>
        <v>45181.988497783859</v>
      </c>
    </row>
    <row r="50" spans="1:5">
      <c r="A50" s="9" t="s">
        <v>16</v>
      </c>
      <c r="B50" s="3">
        <f>'Demanada Esperada '!R68</f>
        <v>0.09</v>
      </c>
      <c r="C50" s="4">
        <f>B50*'Demanada Esperada '!$L$30</f>
        <v>115851.25255842015</v>
      </c>
      <c r="D50" s="2">
        <f t="shared" si="8"/>
        <v>0.39</v>
      </c>
      <c r="E50" s="8">
        <f t="shared" si="9"/>
        <v>45181.988497783859</v>
      </c>
    </row>
    <row r="51" spans="1:5">
      <c r="A51" s="9" t="s">
        <v>17</v>
      </c>
      <c r="B51" s="3">
        <f>'Demanada Esperada '!R69</f>
        <v>0.1</v>
      </c>
      <c r="C51" s="4">
        <f>B51*'Demanada Esperada '!$L$30</f>
        <v>128723.61395380017</v>
      </c>
      <c r="D51" s="2">
        <f t="shared" si="8"/>
        <v>0.39</v>
      </c>
      <c r="E51" s="8">
        <f t="shared" si="9"/>
        <v>50202.209441982071</v>
      </c>
    </row>
    <row r="52" spans="1:5">
      <c r="A52" s="9" t="s">
        <v>18</v>
      </c>
      <c r="B52" s="3">
        <f>'Demanada Esperada '!R70</f>
        <v>0.1</v>
      </c>
      <c r="C52" s="4">
        <f>B52*'Demanada Esperada '!$L$30</f>
        <v>128723.61395380017</v>
      </c>
      <c r="D52" s="2">
        <f t="shared" si="8"/>
        <v>0.39</v>
      </c>
      <c r="E52" s="8">
        <f t="shared" si="9"/>
        <v>50202.209441982071</v>
      </c>
    </row>
    <row r="53" spans="1:5">
      <c r="A53" s="9" t="s">
        <v>19</v>
      </c>
      <c r="B53" s="3">
        <f>'Demanada Esperada '!R71</f>
        <v>0.1</v>
      </c>
      <c r="C53" s="4">
        <f>B53*'Demanada Esperada '!$L$30</f>
        <v>128723.61395380017</v>
      </c>
      <c r="D53" s="2">
        <f t="shared" si="8"/>
        <v>0.39</v>
      </c>
      <c r="E53" s="8">
        <f t="shared" si="9"/>
        <v>50202.209441982071</v>
      </c>
    </row>
    <row r="54" spans="1:5">
      <c r="A54" s="9"/>
      <c r="B54" s="4"/>
      <c r="C54" s="2"/>
      <c r="D54" s="2"/>
      <c r="E54" s="9"/>
    </row>
    <row r="55" spans="1:5">
      <c r="A55" s="9" t="s">
        <v>20</v>
      </c>
      <c r="B55" s="13">
        <f>SUM(B42:B53)</f>
        <v>0.99999999999999989</v>
      </c>
      <c r="C55" s="12">
        <f>SUM(C42:C53)</f>
        <v>1287236.139538002</v>
      </c>
      <c r="D55" s="9"/>
      <c r="E55" s="8">
        <f>SUM(E42:E54)</f>
        <v>502022.09441982076</v>
      </c>
    </row>
  </sheetData>
  <mergeCells count="9">
    <mergeCell ref="A3:E3"/>
    <mergeCell ref="G3:K3"/>
    <mergeCell ref="A22:E22"/>
    <mergeCell ref="G22:K22"/>
    <mergeCell ref="A40:E40"/>
    <mergeCell ref="A17:E17"/>
    <mergeCell ref="G17:K17"/>
    <mergeCell ref="A36:E36"/>
    <mergeCell ref="G36:K3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22"/>
  <sheetViews>
    <sheetView workbookViewId="0">
      <selection activeCell="B10" sqref="B10"/>
    </sheetView>
  </sheetViews>
  <sheetFormatPr baseColWidth="10" defaultRowHeight="15"/>
  <cols>
    <col min="1" max="1" width="21.28515625" customWidth="1"/>
    <col min="2" max="2" width="12.7109375" bestFit="1" customWidth="1"/>
  </cols>
  <sheetData>
    <row r="2" spans="1:5">
      <c r="A2" s="128" t="s">
        <v>116</v>
      </c>
      <c r="B2" s="128"/>
      <c r="C2" s="128"/>
    </row>
    <row r="3" spans="1:5">
      <c r="A3" s="2"/>
      <c r="B3" s="15" t="s">
        <v>6</v>
      </c>
      <c r="C3" s="15" t="s">
        <v>7</v>
      </c>
    </row>
    <row r="4" spans="1:5">
      <c r="A4" s="2" t="s">
        <v>2</v>
      </c>
      <c r="B4" s="58">
        <v>140000</v>
      </c>
      <c r="C4" s="3">
        <f>B4/$B$9</f>
        <v>0.80943570767807582</v>
      </c>
    </row>
    <row r="5" spans="1:5">
      <c r="A5" s="25" t="s">
        <v>3</v>
      </c>
      <c r="B5" s="58">
        <v>28365</v>
      </c>
      <c r="C5" s="3">
        <f>B5/$B$9</f>
        <v>0.16399745605920443</v>
      </c>
    </row>
    <row r="6" spans="1:5">
      <c r="A6" s="2" t="s">
        <v>4</v>
      </c>
      <c r="B6" s="58">
        <v>3595</v>
      </c>
      <c r="C6" s="3">
        <f>B6/$B$9</f>
        <v>2.0785152636447733E-2</v>
      </c>
    </row>
    <row r="7" spans="1:5">
      <c r="A7" s="2" t="s">
        <v>236</v>
      </c>
      <c r="B7" s="58">
        <v>1000</v>
      </c>
      <c r="C7" s="3">
        <f>B7/B9</f>
        <v>5.7816836262719702E-3</v>
      </c>
    </row>
    <row r="8" spans="1:5">
      <c r="A8" s="134"/>
      <c r="B8" s="135"/>
      <c r="C8" s="136"/>
    </row>
    <row r="9" spans="1:5">
      <c r="A9" s="2" t="s">
        <v>5</v>
      </c>
      <c r="B9" s="57">
        <f>SUM(B4:B7)</f>
        <v>172960</v>
      </c>
      <c r="C9" s="3">
        <f>SUM(C4:C7)</f>
        <v>1</v>
      </c>
    </row>
    <row r="11" spans="1:5" ht="15.75" thickBot="1"/>
    <row r="12" spans="1:5" ht="16.5" thickBot="1">
      <c r="A12" s="146" t="s">
        <v>42</v>
      </c>
      <c r="B12" s="147"/>
      <c r="C12" s="147"/>
      <c r="D12" s="147"/>
      <c r="E12" s="148"/>
    </row>
    <row r="13" spans="1:5" ht="17.25" thickTop="1" thickBot="1">
      <c r="A13" s="16"/>
      <c r="B13" s="17" t="s">
        <v>43</v>
      </c>
      <c r="C13" s="17" t="s">
        <v>44</v>
      </c>
      <c r="D13" s="17" t="s">
        <v>0</v>
      </c>
      <c r="E13" s="17" t="s">
        <v>1</v>
      </c>
    </row>
    <row r="14" spans="1:5" ht="16.5" thickBot="1">
      <c r="A14" s="149" t="s">
        <v>45</v>
      </c>
      <c r="B14" s="150"/>
      <c r="C14" s="150"/>
      <c r="D14" s="150"/>
      <c r="E14" s="151"/>
    </row>
    <row r="15" spans="1:5" ht="16.5" thickBot="1">
      <c r="A15" s="18" t="s">
        <v>46</v>
      </c>
      <c r="B15" s="19">
        <v>900</v>
      </c>
      <c r="C15" s="19">
        <f>B15*8</f>
        <v>7200</v>
      </c>
      <c r="D15" s="19">
        <f>C15*30</f>
        <v>216000</v>
      </c>
      <c r="E15" s="19">
        <f>D15*12</f>
        <v>2592000</v>
      </c>
    </row>
    <row r="16" spans="1:5" ht="32.25" thickBot="1">
      <c r="A16" s="20" t="s">
        <v>47</v>
      </c>
      <c r="B16" s="21">
        <v>150</v>
      </c>
      <c r="C16" s="19">
        <f>B16*8</f>
        <v>1200</v>
      </c>
      <c r="D16" s="19">
        <f>C16*30</f>
        <v>36000</v>
      </c>
      <c r="E16" s="19">
        <f>D16*12</f>
        <v>432000</v>
      </c>
    </row>
    <row r="17" spans="1:5" ht="16.5" thickBot="1">
      <c r="A17" s="149" t="s">
        <v>48</v>
      </c>
      <c r="B17" s="150"/>
      <c r="C17" s="150"/>
      <c r="D17" s="150"/>
      <c r="E17" s="151"/>
    </row>
    <row r="18" spans="1:5" ht="16.5" thickBot="1">
      <c r="A18" s="18" t="s">
        <v>46</v>
      </c>
      <c r="B18" s="22">
        <v>900</v>
      </c>
      <c r="C18" s="22">
        <f>B18*16</f>
        <v>14400</v>
      </c>
      <c r="D18" s="22">
        <f>C18*30</f>
        <v>432000</v>
      </c>
      <c r="E18" s="22">
        <f>D18*12</f>
        <v>5184000</v>
      </c>
    </row>
    <row r="19" spans="1:5" ht="32.25" thickBot="1">
      <c r="A19" s="20" t="s">
        <v>49</v>
      </c>
      <c r="B19" s="23">
        <v>150</v>
      </c>
      <c r="C19" s="22">
        <f>B19*16</f>
        <v>2400</v>
      </c>
      <c r="D19" s="22">
        <f>C19*30</f>
        <v>72000</v>
      </c>
      <c r="E19" s="22">
        <f>D19*12</f>
        <v>864000</v>
      </c>
    </row>
    <row r="20" spans="1:5" ht="16.5" thickBot="1">
      <c r="A20" s="149" t="s">
        <v>50</v>
      </c>
      <c r="B20" s="150"/>
      <c r="C20" s="150"/>
      <c r="D20" s="150"/>
      <c r="E20" s="151"/>
    </row>
    <row r="21" spans="1:5" ht="16.5" thickBot="1">
      <c r="A21" s="18" t="s">
        <v>46</v>
      </c>
      <c r="B21" s="19">
        <v>900</v>
      </c>
      <c r="C21" s="19">
        <f>B21*24</f>
        <v>21600</v>
      </c>
      <c r="D21" s="19">
        <f>C21*30</f>
        <v>648000</v>
      </c>
      <c r="E21" s="19">
        <f>D21*12</f>
        <v>7776000</v>
      </c>
    </row>
    <row r="22" spans="1:5" ht="32.25" thickBot="1">
      <c r="A22" s="24" t="s">
        <v>49</v>
      </c>
      <c r="B22" s="21">
        <v>150</v>
      </c>
      <c r="C22" s="19">
        <f>B22*24</f>
        <v>3600</v>
      </c>
      <c r="D22" s="19">
        <f>C22*30</f>
        <v>108000</v>
      </c>
      <c r="E22" s="19">
        <f>D22*12</f>
        <v>1296000</v>
      </c>
    </row>
  </sheetData>
  <mergeCells count="6">
    <mergeCell ref="A12:E12"/>
    <mergeCell ref="A14:E14"/>
    <mergeCell ref="A17:E17"/>
    <mergeCell ref="A20:E20"/>
    <mergeCell ref="A2:C2"/>
    <mergeCell ref="A8:C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I51"/>
  <sheetViews>
    <sheetView workbookViewId="0">
      <selection activeCell="E23" sqref="E23"/>
    </sheetView>
  </sheetViews>
  <sheetFormatPr baseColWidth="10" defaultRowHeight="15"/>
  <cols>
    <col min="3" max="3" width="18" bestFit="1" customWidth="1"/>
    <col min="8" max="8" width="18" bestFit="1" customWidth="1"/>
  </cols>
  <sheetData>
    <row r="3" spans="1:9">
      <c r="A3" s="133" t="s">
        <v>121</v>
      </c>
      <c r="B3" s="133"/>
      <c r="C3" s="133"/>
      <c r="D3" s="133"/>
      <c r="F3" s="133" t="s">
        <v>122</v>
      </c>
      <c r="G3" s="133"/>
      <c r="H3" s="133"/>
      <c r="I3" s="133"/>
    </row>
    <row r="4" spans="1:9">
      <c r="A4" s="9" t="s">
        <v>0</v>
      </c>
      <c r="B4" s="9" t="s">
        <v>117</v>
      </c>
      <c r="C4" s="9" t="s">
        <v>33</v>
      </c>
      <c r="D4" s="9" t="s">
        <v>119</v>
      </c>
      <c r="F4" s="9" t="s">
        <v>0</v>
      </c>
      <c r="G4" s="9" t="s">
        <v>117</v>
      </c>
      <c r="H4" s="9" t="s">
        <v>33</v>
      </c>
      <c r="I4" s="9" t="s">
        <v>119</v>
      </c>
    </row>
    <row r="5" spans="1:9">
      <c r="A5" s="2" t="s">
        <v>35</v>
      </c>
      <c r="B5" s="2">
        <v>0.85</v>
      </c>
      <c r="C5" s="4">
        <f>'Demanada Esperada '!C44</f>
        <v>8746.293079680001</v>
      </c>
      <c r="D5" s="57">
        <f>C5*B5</f>
        <v>7434.3491177280002</v>
      </c>
      <c r="F5" s="2" t="s">
        <v>35</v>
      </c>
      <c r="G5" s="2">
        <f>B16</f>
        <v>0.85</v>
      </c>
      <c r="H5" s="4">
        <f>'Demanada Esperada '!O44</f>
        <v>29883.168022239999</v>
      </c>
      <c r="I5" s="57">
        <f>H5*G5</f>
        <v>25400.692818903997</v>
      </c>
    </row>
    <row r="6" spans="1:9">
      <c r="A6" s="2" t="s">
        <v>9</v>
      </c>
      <c r="B6" s="2">
        <f>B5</f>
        <v>0.85</v>
      </c>
      <c r="C6" s="4">
        <f>'Demanada Esperada '!C45</f>
        <v>17492.586159360002</v>
      </c>
      <c r="D6" s="57">
        <f t="shared" ref="D6:D16" si="0">C6*B6</f>
        <v>14868.698235456</v>
      </c>
      <c r="F6" s="2" t="s">
        <v>9</v>
      </c>
      <c r="G6" s="2">
        <f>G5</f>
        <v>0.85</v>
      </c>
      <c r="H6" s="4">
        <f>'Demanada Esperada '!O45</f>
        <v>59766.336044479998</v>
      </c>
      <c r="I6" s="57">
        <f t="shared" ref="I6:I16" si="1">H6*G6</f>
        <v>50801.385637807994</v>
      </c>
    </row>
    <row r="7" spans="1:9">
      <c r="A7" s="2" t="s">
        <v>10</v>
      </c>
      <c r="B7" s="2">
        <f t="shared" ref="B7:B16" si="2">B6</f>
        <v>0.85</v>
      </c>
      <c r="C7" s="4">
        <f>'Demanada Esperada '!C46</f>
        <v>21865.732699200002</v>
      </c>
      <c r="D7" s="57">
        <f t="shared" si="0"/>
        <v>18585.872794319999</v>
      </c>
      <c r="F7" s="2" t="s">
        <v>10</v>
      </c>
      <c r="G7" s="2">
        <f t="shared" ref="G7:G16" si="3">G6</f>
        <v>0.85</v>
      </c>
      <c r="H7" s="4">
        <f>'Demanada Esperada '!O46</f>
        <v>52295.544038920001</v>
      </c>
      <c r="I7" s="57">
        <f t="shared" si="1"/>
        <v>44451.212433082001</v>
      </c>
    </row>
    <row r="8" spans="1:9">
      <c r="A8" s="2" t="s">
        <v>11</v>
      </c>
      <c r="B8" s="2">
        <f t="shared" si="2"/>
        <v>0.85</v>
      </c>
      <c r="C8" s="4">
        <f>'Demanada Esperada '!C47</f>
        <v>21865.732699200002</v>
      </c>
      <c r="D8" s="57">
        <f t="shared" si="0"/>
        <v>18585.872794319999</v>
      </c>
      <c r="F8" s="2" t="s">
        <v>11</v>
      </c>
      <c r="G8" s="2">
        <f t="shared" si="3"/>
        <v>0.85</v>
      </c>
      <c r="H8" s="4">
        <f>'Demanada Esperada '!O47</f>
        <v>52295.544038920001</v>
      </c>
      <c r="I8" s="57">
        <f t="shared" si="1"/>
        <v>44451.212433082001</v>
      </c>
    </row>
    <row r="9" spans="1:9">
      <c r="A9" s="2" t="s">
        <v>12</v>
      </c>
      <c r="B9" s="2">
        <f t="shared" si="2"/>
        <v>0.85</v>
      </c>
      <c r="C9" s="4">
        <f>'Demanada Esperada '!C48</f>
        <v>43731.465398400003</v>
      </c>
      <c r="D9" s="57">
        <f t="shared" si="0"/>
        <v>37171.745588639998</v>
      </c>
      <c r="F9" s="2" t="s">
        <v>12</v>
      </c>
      <c r="G9" s="2">
        <f t="shared" si="3"/>
        <v>0.85</v>
      </c>
      <c r="H9" s="4">
        <f>'Demanada Esperada '!O48</f>
        <v>59766.336044479998</v>
      </c>
      <c r="I9" s="57">
        <f t="shared" si="1"/>
        <v>50801.385637807994</v>
      </c>
    </row>
    <row r="10" spans="1:9">
      <c r="A10" s="2" t="s">
        <v>13</v>
      </c>
      <c r="B10" s="2">
        <f t="shared" si="2"/>
        <v>0.85</v>
      </c>
      <c r="C10" s="4">
        <f>'Demanada Esperada '!C49</f>
        <v>43731.465398400003</v>
      </c>
      <c r="D10" s="57">
        <f t="shared" si="0"/>
        <v>37171.745588639998</v>
      </c>
      <c r="F10" s="2" t="s">
        <v>13</v>
      </c>
      <c r="G10" s="2">
        <f t="shared" si="3"/>
        <v>0.85</v>
      </c>
      <c r="H10" s="4">
        <f>'Demanada Esperada '!O49</f>
        <v>67237.128050040003</v>
      </c>
      <c r="I10" s="57">
        <f t="shared" si="1"/>
        <v>57151.558842534003</v>
      </c>
    </row>
    <row r="11" spans="1:9">
      <c r="A11" s="2" t="s">
        <v>14</v>
      </c>
      <c r="B11" s="2">
        <f t="shared" si="2"/>
        <v>0.85</v>
      </c>
      <c r="C11" s="4">
        <f>'Demanada Esperada '!C50</f>
        <v>43731.465398400003</v>
      </c>
      <c r="D11" s="57">
        <f t="shared" si="0"/>
        <v>37171.745588639998</v>
      </c>
      <c r="F11" s="2" t="s">
        <v>14</v>
      </c>
      <c r="G11" s="2">
        <f t="shared" si="3"/>
        <v>0.85</v>
      </c>
      <c r="H11" s="4">
        <f>'Demanada Esperada '!O50</f>
        <v>67237.128050040003</v>
      </c>
      <c r="I11" s="57">
        <f t="shared" si="1"/>
        <v>57151.558842534003</v>
      </c>
    </row>
    <row r="12" spans="1:9">
      <c r="A12" s="2" t="s">
        <v>15</v>
      </c>
      <c r="B12" s="2">
        <f t="shared" si="2"/>
        <v>0.85</v>
      </c>
      <c r="C12" s="4">
        <f>'Demanada Esperada '!C51</f>
        <v>43731.465398400003</v>
      </c>
      <c r="D12" s="57">
        <f t="shared" si="0"/>
        <v>37171.745588639998</v>
      </c>
      <c r="F12" s="2" t="s">
        <v>15</v>
      </c>
      <c r="G12" s="2">
        <f t="shared" si="3"/>
        <v>0.85</v>
      </c>
      <c r="H12" s="4">
        <f>'Demanada Esperada '!O51</f>
        <v>67237.128050040003</v>
      </c>
      <c r="I12" s="57">
        <f t="shared" si="1"/>
        <v>57151.558842534003</v>
      </c>
    </row>
    <row r="13" spans="1:9">
      <c r="A13" s="2" t="s">
        <v>16</v>
      </c>
      <c r="B13" s="2">
        <f t="shared" si="2"/>
        <v>0.85</v>
      </c>
      <c r="C13" s="4">
        <f>'Demanada Esperada '!C52</f>
        <v>48104.611938240007</v>
      </c>
      <c r="D13" s="57">
        <f t="shared" si="0"/>
        <v>40888.920147504003</v>
      </c>
      <c r="F13" s="2" t="s">
        <v>16</v>
      </c>
      <c r="G13" s="2">
        <f t="shared" si="3"/>
        <v>0.85</v>
      </c>
      <c r="H13" s="4">
        <f>'Demanada Esperada '!O52</f>
        <v>67237.128050040003</v>
      </c>
      <c r="I13" s="57">
        <f t="shared" si="1"/>
        <v>57151.558842534003</v>
      </c>
    </row>
    <row r="14" spans="1:9">
      <c r="A14" s="2" t="s">
        <v>17</v>
      </c>
      <c r="B14" s="2">
        <f t="shared" si="2"/>
        <v>0.85</v>
      </c>
      <c r="C14" s="4">
        <f>'Demanada Esperada '!C53</f>
        <v>48104.611938240007</v>
      </c>
      <c r="D14" s="57">
        <f t="shared" si="0"/>
        <v>40888.920147504003</v>
      </c>
      <c r="F14" s="2" t="s">
        <v>17</v>
      </c>
      <c r="G14" s="2">
        <f t="shared" si="3"/>
        <v>0.85</v>
      </c>
      <c r="H14" s="4">
        <f>'Demanada Esperada '!O53</f>
        <v>74707.9200556</v>
      </c>
      <c r="I14" s="57">
        <f t="shared" si="1"/>
        <v>63501.732047259997</v>
      </c>
    </row>
    <row r="15" spans="1:9">
      <c r="A15" s="2" t="s">
        <v>18</v>
      </c>
      <c r="B15" s="2">
        <f t="shared" si="2"/>
        <v>0.85</v>
      </c>
      <c r="C15" s="4">
        <f>'Demanada Esperada '!C54</f>
        <v>48104.611938240007</v>
      </c>
      <c r="D15" s="57">
        <f t="shared" si="0"/>
        <v>40888.920147504003</v>
      </c>
      <c r="F15" s="2" t="s">
        <v>18</v>
      </c>
      <c r="G15" s="2">
        <f t="shared" si="3"/>
        <v>0.85</v>
      </c>
      <c r="H15" s="4">
        <f>'Demanada Esperada '!O54</f>
        <v>74707.9200556</v>
      </c>
      <c r="I15" s="57">
        <f t="shared" si="1"/>
        <v>63501.732047259997</v>
      </c>
    </row>
    <row r="16" spans="1:9">
      <c r="A16" s="2" t="s">
        <v>19</v>
      </c>
      <c r="B16" s="2">
        <f t="shared" si="2"/>
        <v>0.85</v>
      </c>
      <c r="C16" s="4">
        <f>'Demanada Esperada '!C55</f>
        <v>48104.611938240007</v>
      </c>
      <c r="D16" s="57">
        <f t="shared" si="0"/>
        <v>40888.920147504003</v>
      </c>
      <c r="F16" s="2" t="s">
        <v>19</v>
      </c>
      <c r="G16" s="2">
        <f t="shared" si="3"/>
        <v>0.85</v>
      </c>
      <c r="H16" s="4">
        <f>'Demanada Esperada '!O55</f>
        <v>74707.9200556</v>
      </c>
      <c r="I16" s="57">
        <f t="shared" si="1"/>
        <v>63501.732047259997</v>
      </c>
    </row>
    <row r="17" spans="1:9">
      <c r="A17" s="133" t="s">
        <v>120</v>
      </c>
      <c r="B17" s="133"/>
      <c r="C17" s="12">
        <f>SUM(C5:C16)</f>
        <v>437314.65398400003</v>
      </c>
      <c r="D17" s="12">
        <f>SUM(D5:D16)</f>
        <v>371717.45588640001</v>
      </c>
      <c r="F17" s="133" t="s">
        <v>120</v>
      </c>
      <c r="G17" s="133"/>
      <c r="H17" s="12">
        <f>SUM(H5:H16)</f>
        <v>747079.200556</v>
      </c>
      <c r="I17" s="12">
        <f>SUM(I5:I16)</f>
        <v>635017.32047260005</v>
      </c>
    </row>
    <row r="20" spans="1:9">
      <c r="A20" s="133" t="s">
        <v>123</v>
      </c>
      <c r="B20" s="133"/>
      <c r="C20" s="133"/>
      <c r="D20" s="133"/>
      <c r="F20" s="133" t="s">
        <v>124</v>
      </c>
      <c r="G20" s="133"/>
      <c r="H20" s="133"/>
      <c r="I20" s="133"/>
    </row>
    <row r="21" spans="1:9">
      <c r="A21" s="9" t="s">
        <v>0</v>
      </c>
      <c r="B21" s="9" t="s">
        <v>117</v>
      </c>
      <c r="C21" s="9" t="s">
        <v>33</v>
      </c>
      <c r="D21" s="9" t="s">
        <v>119</v>
      </c>
      <c r="F21" s="9" t="s">
        <v>0</v>
      </c>
      <c r="G21" s="9" t="s">
        <v>117</v>
      </c>
      <c r="H21" s="9" t="s">
        <v>33</v>
      </c>
      <c r="I21" s="9" t="s">
        <v>119</v>
      </c>
    </row>
    <row r="22" spans="1:9">
      <c r="A22" s="2" t="s">
        <v>35</v>
      </c>
      <c r="B22" s="2">
        <f>G16</f>
        <v>0.85</v>
      </c>
      <c r="C22" s="4">
        <f>'Demanada Esperada '!C60</f>
        <v>36756.2966673552</v>
      </c>
      <c r="D22" s="57">
        <f>C22*B22</f>
        <v>31242.85216725192</v>
      </c>
      <c r="F22" s="2" t="s">
        <v>35</v>
      </c>
      <c r="G22" s="2">
        <f>B33</f>
        <v>0.85</v>
      </c>
      <c r="H22" s="4">
        <f>'Demanada Esperada '!O60</f>
        <v>43954.404764712264</v>
      </c>
      <c r="I22" s="57">
        <f>H22*G22</f>
        <v>37361.244050005422</v>
      </c>
    </row>
    <row r="23" spans="1:9">
      <c r="A23" s="2" t="s">
        <v>9</v>
      </c>
      <c r="B23" s="2">
        <f>B22</f>
        <v>0.85</v>
      </c>
      <c r="C23" s="4">
        <f>'Demanada Esperada '!C61</f>
        <v>73512.5933347104</v>
      </c>
      <c r="D23" s="57">
        <f t="shared" ref="D23:D33" si="4">C23*B23</f>
        <v>62485.70433450384</v>
      </c>
      <c r="F23" s="2" t="s">
        <v>9</v>
      </c>
      <c r="G23" s="2">
        <f>G22</f>
        <v>0.85</v>
      </c>
      <c r="H23" s="4">
        <f>'Demanada Esperada '!O61</f>
        <v>87908.809529424529</v>
      </c>
      <c r="I23" s="57">
        <f t="shared" ref="I23:I33" si="5">H23*G23</f>
        <v>74722.488100010843</v>
      </c>
    </row>
    <row r="24" spans="1:9">
      <c r="A24" s="2" t="s">
        <v>10</v>
      </c>
      <c r="B24" s="2">
        <f t="shared" ref="B24:B33" si="6">B23</f>
        <v>0.85</v>
      </c>
      <c r="C24" s="4">
        <f>'Demanada Esperada '!C62</f>
        <v>64323.519167871607</v>
      </c>
      <c r="D24" s="57">
        <f t="shared" si="4"/>
        <v>54674.991292690866</v>
      </c>
      <c r="F24" s="2" t="s">
        <v>10</v>
      </c>
      <c r="G24" s="2">
        <f t="shared" ref="G24:G33" si="7">G23</f>
        <v>0.85</v>
      </c>
      <c r="H24" s="4">
        <f>'Demanada Esperada '!O62</f>
        <v>76920.208338246477</v>
      </c>
      <c r="I24" s="57">
        <f t="shared" si="5"/>
        <v>65382.177087509503</v>
      </c>
    </row>
    <row r="25" spans="1:9">
      <c r="A25" s="2" t="s">
        <v>11</v>
      </c>
      <c r="B25" s="2">
        <f t="shared" si="6"/>
        <v>0.85</v>
      </c>
      <c r="C25" s="4">
        <f>'Demanada Esperada '!C63</f>
        <v>64323.519167871607</v>
      </c>
      <c r="D25" s="57">
        <f t="shared" si="4"/>
        <v>54674.991292690866</v>
      </c>
      <c r="F25" s="2" t="s">
        <v>11</v>
      </c>
      <c r="G25" s="2">
        <f t="shared" si="7"/>
        <v>0.85</v>
      </c>
      <c r="H25" s="4">
        <f>'Demanada Esperada '!O63</f>
        <v>76920.208338246477</v>
      </c>
      <c r="I25" s="57">
        <f t="shared" si="5"/>
        <v>65382.177087509503</v>
      </c>
    </row>
    <row r="26" spans="1:9">
      <c r="A26" s="2" t="s">
        <v>12</v>
      </c>
      <c r="B26" s="2">
        <f t="shared" si="6"/>
        <v>0.85</v>
      </c>
      <c r="C26" s="4">
        <f>'Demanada Esperada '!C64</f>
        <v>73512.5933347104</v>
      </c>
      <c r="D26" s="57">
        <f t="shared" si="4"/>
        <v>62485.70433450384</v>
      </c>
      <c r="F26" s="2" t="s">
        <v>12</v>
      </c>
      <c r="G26" s="2">
        <f t="shared" si="7"/>
        <v>0.85</v>
      </c>
      <c r="H26" s="4">
        <f>'Demanada Esperada '!O64</f>
        <v>87908.809529424529</v>
      </c>
      <c r="I26" s="57">
        <f t="shared" si="5"/>
        <v>74722.488100010843</v>
      </c>
    </row>
    <row r="27" spans="1:9">
      <c r="A27" s="2" t="s">
        <v>13</v>
      </c>
      <c r="B27" s="2">
        <f t="shared" si="6"/>
        <v>0.85</v>
      </c>
      <c r="C27" s="4">
        <f>'Demanada Esperada '!C65</f>
        <v>82701.667501549193</v>
      </c>
      <c r="D27" s="57">
        <f t="shared" si="4"/>
        <v>70296.417376316807</v>
      </c>
      <c r="F27" s="2" t="s">
        <v>13</v>
      </c>
      <c r="G27" s="2">
        <f t="shared" si="7"/>
        <v>0.85</v>
      </c>
      <c r="H27" s="4">
        <f>'Demanada Esperada '!O65</f>
        <v>98897.410720602595</v>
      </c>
      <c r="I27" s="57">
        <f t="shared" si="5"/>
        <v>84062.799112512206</v>
      </c>
    </row>
    <row r="28" spans="1:9">
      <c r="A28" s="2" t="s">
        <v>14</v>
      </c>
      <c r="B28" s="2">
        <f t="shared" si="6"/>
        <v>0.85</v>
      </c>
      <c r="C28" s="4">
        <f>'Demanada Esperada '!C66</f>
        <v>82701.667501549193</v>
      </c>
      <c r="D28" s="57">
        <f t="shared" si="4"/>
        <v>70296.417376316807</v>
      </c>
      <c r="F28" s="2" t="s">
        <v>14</v>
      </c>
      <c r="G28" s="2">
        <f t="shared" si="7"/>
        <v>0.85</v>
      </c>
      <c r="H28" s="4">
        <f>'Demanada Esperada '!O66</f>
        <v>98897.410720602595</v>
      </c>
      <c r="I28" s="57">
        <f t="shared" si="5"/>
        <v>84062.799112512206</v>
      </c>
    </row>
    <row r="29" spans="1:9">
      <c r="A29" s="2" t="s">
        <v>15</v>
      </c>
      <c r="B29" s="2">
        <f t="shared" si="6"/>
        <v>0.85</v>
      </c>
      <c r="C29" s="4">
        <f>'Demanada Esperada '!C67</f>
        <v>82701.667501549193</v>
      </c>
      <c r="D29" s="57">
        <f t="shared" si="4"/>
        <v>70296.417376316807</v>
      </c>
      <c r="F29" s="2" t="s">
        <v>15</v>
      </c>
      <c r="G29" s="2">
        <f t="shared" si="7"/>
        <v>0.85</v>
      </c>
      <c r="H29" s="4">
        <f>'Demanada Esperada '!O67</f>
        <v>98897.410720602595</v>
      </c>
      <c r="I29" s="57">
        <f t="shared" si="5"/>
        <v>84062.799112512206</v>
      </c>
    </row>
    <row r="30" spans="1:9">
      <c r="A30" s="2" t="s">
        <v>16</v>
      </c>
      <c r="B30" s="2">
        <f t="shared" si="6"/>
        <v>0.85</v>
      </c>
      <c r="C30" s="4">
        <f>'Demanada Esperada '!C68</f>
        <v>82701.667501549193</v>
      </c>
      <c r="D30" s="57">
        <f t="shared" si="4"/>
        <v>70296.417376316807</v>
      </c>
      <c r="F30" s="2" t="s">
        <v>16</v>
      </c>
      <c r="G30" s="2">
        <f t="shared" si="7"/>
        <v>0.85</v>
      </c>
      <c r="H30" s="4">
        <f>'Demanada Esperada '!O68</f>
        <v>98897.410720602595</v>
      </c>
      <c r="I30" s="57">
        <f t="shared" si="5"/>
        <v>84062.799112512206</v>
      </c>
    </row>
    <row r="31" spans="1:9">
      <c r="A31" s="2" t="s">
        <v>17</v>
      </c>
      <c r="B31" s="2">
        <f t="shared" si="6"/>
        <v>0.85</v>
      </c>
      <c r="C31" s="4">
        <f>'Demanada Esperada '!C69</f>
        <v>91890.741668388015</v>
      </c>
      <c r="D31" s="57">
        <f t="shared" si="4"/>
        <v>78107.130418129804</v>
      </c>
      <c r="F31" s="2" t="s">
        <v>17</v>
      </c>
      <c r="G31" s="2">
        <f t="shared" si="7"/>
        <v>0.85</v>
      </c>
      <c r="H31" s="4">
        <f>'Demanada Esperada '!O69</f>
        <v>109886.01191178068</v>
      </c>
      <c r="I31" s="57">
        <f t="shared" si="5"/>
        <v>93403.110125013569</v>
      </c>
    </row>
    <row r="32" spans="1:9">
      <c r="A32" s="2" t="s">
        <v>18</v>
      </c>
      <c r="B32" s="2">
        <f t="shared" si="6"/>
        <v>0.85</v>
      </c>
      <c r="C32" s="4">
        <f>'Demanada Esperada '!C70</f>
        <v>91890.741668388015</v>
      </c>
      <c r="D32" s="57">
        <f t="shared" si="4"/>
        <v>78107.130418129804</v>
      </c>
      <c r="F32" s="2" t="s">
        <v>18</v>
      </c>
      <c r="G32" s="2">
        <f t="shared" si="7"/>
        <v>0.85</v>
      </c>
      <c r="H32" s="4">
        <f>'Demanada Esperada '!O70</f>
        <v>109886.01191178068</v>
      </c>
      <c r="I32" s="57">
        <f t="shared" si="5"/>
        <v>93403.110125013569</v>
      </c>
    </row>
    <row r="33" spans="1:9">
      <c r="A33" s="2" t="s">
        <v>19</v>
      </c>
      <c r="B33" s="2">
        <f t="shared" si="6"/>
        <v>0.85</v>
      </c>
      <c r="C33" s="4">
        <f>'Demanada Esperada '!C71</f>
        <v>91890.741668388015</v>
      </c>
      <c r="D33" s="57">
        <f t="shared" si="4"/>
        <v>78107.130418129804</v>
      </c>
      <c r="F33" s="2" t="s">
        <v>19</v>
      </c>
      <c r="G33" s="2">
        <f t="shared" si="7"/>
        <v>0.85</v>
      </c>
      <c r="H33" s="4">
        <f>'Demanada Esperada '!O71</f>
        <v>109886.01191178068</v>
      </c>
      <c r="I33" s="57">
        <f t="shared" si="5"/>
        <v>93403.110125013569</v>
      </c>
    </row>
    <row r="34" spans="1:9">
      <c r="A34" s="133" t="s">
        <v>120</v>
      </c>
      <c r="B34" s="133"/>
      <c r="C34" s="12">
        <f>SUM(C22:C33)</f>
        <v>918907.41668388003</v>
      </c>
      <c r="D34" s="12">
        <f>SUM(D22:D33)</f>
        <v>781071.30418129801</v>
      </c>
      <c r="F34" s="133" t="s">
        <v>120</v>
      </c>
      <c r="G34" s="133"/>
      <c r="H34" s="12">
        <f>SUM(H22:H33)</f>
        <v>1098860.1191178067</v>
      </c>
      <c r="I34" s="12">
        <f>SUM(I22:I33)</f>
        <v>934031.10125013581</v>
      </c>
    </row>
    <row r="37" spans="1:9">
      <c r="A37" s="133" t="s">
        <v>125</v>
      </c>
      <c r="B37" s="133"/>
      <c r="C37" s="133"/>
      <c r="D37" s="133"/>
    </row>
    <row r="38" spans="1:9">
      <c r="A38" s="9" t="s">
        <v>0</v>
      </c>
      <c r="B38" s="9" t="s">
        <v>117</v>
      </c>
      <c r="C38" s="9" t="s">
        <v>33</v>
      </c>
      <c r="D38" s="9" t="s">
        <v>119</v>
      </c>
    </row>
    <row r="39" spans="1:9">
      <c r="A39" s="2" t="s">
        <v>35</v>
      </c>
      <c r="B39" s="2">
        <f>G33</f>
        <v>0.85</v>
      </c>
      <c r="C39" s="4">
        <f>'Demanada Esperada '!S60</f>
        <v>51489.445581520071</v>
      </c>
      <c r="D39" s="57">
        <f>C39*B39</f>
        <v>43766.02874429206</v>
      </c>
    </row>
    <row r="40" spans="1:9">
      <c r="A40" s="2" t="s">
        <v>9</v>
      </c>
      <c r="B40" s="2">
        <f>B39</f>
        <v>0.85</v>
      </c>
      <c r="C40" s="4">
        <f>'Demanada Esperada '!S61</f>
        <v>102978.89116304014</v>
      </c>
      <c r="D40" s="57">
        <f t="shared" ref="D40:D50" si="8">C40*B40</f>
        <v>87532.05748858412</v>
      </c>
    </row>
    <row r="41" spans="1:9">
      <c r="A41" s="2" t="s">
        <v>10</v>
      </c>
      <c r="B41" s="2">
        <f t="shared" ref="B41:B50" si="9">B40</f>
        <v>0.85</v>
      </c>
      <c r="C41" s="4">
        <f>'Demanada Esperada '!S62</f>
        <v>90106.529767660133</v>
      </c>
      <c r="D41" s="57">
        <f t="shared" si="8"/>
        <v>76590.55030251111</v>
      </c>
    </row>
    <row r="42" spans="1:9">
      <c r="A42" s="2" t="s">
        <v>11</v>
      </c>
      <c r="B42" s="2">
        <f t="shared" si="9"/>
        <v>0.85</v>
      </c>
      <c r="C42" s="4">
        <f>'Demanada Esperada '!S63</f>
        <v>90106.529767660133</v>
      </c>
      <c r="D42" s="57">
        <f t="shared" si="8"/>
        <v>76590.55030251111</v>
      </c>
    </row>
    <row r="43" spans="1:9">
      <c r="A43" s="2" t="s">
        <v>12</v>
      </c>
      <c r="B43" s="2">
        <f t="shared" si="9"/>
        <v>0.85</v>
      </c>
      <c r="C43" s="4">
        <f>'Demanada Esperada '!S64</f>
        <v>102978.89116304014</v>
      </c>
      <c r="D43" s="57">
        <f t="shared" si="8"/>
        <v>87532.05748858412</v>
      </c>
    </row>
    <row r="44" spans="1:9">
      <c r="A44" s="2" t="s">
        <v>13</v>
      </c>
      <c r="B44" s="2">
        <f t="shared" si="9"/>
        <v>0.85</v>
      </c>
      <c r="C44" s="4">
        <f>'Demanada Esperada '!S65</f>
        <v>115851.25255842015</v>
      </c>
      <c r="D44" s="57">
        <f t="shared" si="8"/>
        <v>98473.564674657129</v>
      </c>
    </row>
    <row r="45" spans="1:9">
      <c r="A45" s="2" t="s">
        <v>14</v>
      </c>
      <c r="B45" s="2">
        <f t="shared" si="9"/>
        <v>0.85</v>
      </c>
      <c r="C45" s="4">
        <f>'Demanada Esperada '!S66</f>
        <v>115851.25255842015</v>
      </c>
      <c r="D45" s="57">
        <f t="shared" si="8"/>
        <v>98473.564674657129</v>
      </c>
    </row>
    <row r="46" spans="1:9">
      <c r="A46" s="2" t="s">
        <v>15</v>
      </c>
      <c r="B46" s="2">
        <f t="shared" si="9"/>
        <v>0.85</v>
      </c>
      <c r="C46" s="4">
        <f>'Demanada Esperada '!S67</f>
        <v>115851.25255842015</v>
      </c>
      <c r="D46" s="57">
        <f t="shared" si="8"/>
        <v>98473.564674657129</v>
      </c>
    </row>
    <row r="47" spans="1:9">
      <c r="A47" s="2" t="s">
        <v>16</v>
      </c>
      <c r="B47" s="2">
        <f t="shared" si="9"/>
        <v>0.85</v>
      </c>
      <c r="C47" s="4">
        <f>'Demanada Esperada '!S68</f>
        <v>115851.25255842015</v>
      </c>
      <c r="D47" s="57">
        <f t="shared" si="8"/>
        <v>98473.564674657129</v>
      </c>
    </row>
    <row r="48" spans="1:9">
      <c r="A48" s="2" t="s">
        <v>17</v>
      </c>
      <c r="B48" s="2">
        <f t="shared" si="9"/>
        <v>0.85</v>
      </c>
      <c r="C48" s="4">
        <f>'Demanada Esperada '!S69</f>
        <v>128723.61395380017</v>
      </c>
      <c r="D48" s="57">
        <f t="shared" si="8"/>
        <v>109415.07186073014</v>
      </c>
    </row>
    <row r="49" spans="1:4">
      <c r="A49" s="2" t="s">
        <v>18</v>
      </c>
      <c r="B49" s="2">
        <f t="shared" si="9"/>
        <v>0.85</v>
      </c>
      <c r="C49" s="4">
        <f>'Demanada Esperada '!S70</f>
        <v>128723.61395380017</v>
      </c>
      <c r="D49" s="57">
        <f t="shared" si="8"/>
        <v>109415.07186073014</v>
      </c>
    </row>
    <row r="50" spans="1:4">
      <c r="A50" s="2" t="s">
        <v>19</v>
      </c>
      <c r="B50" s="2">
        <f t="shared" si="9"/>
        <v>0.85</v>
      </c>
      <c r="C50" s="4">
        <f>'Demanada Esperada '!S71</f>
        <v>128723.61395380017</v>
      </c>
      <c r="D50" s="57">
        <f t="shared" si="8"/>
        <v>109415.07186073014</v>
      </c>
    </row>
    <row r="51" spans="1:4">
      <c r="A51" s="133" t="s">
        <v>120</v>
      </c>
      <c r="B51" s="133"/>
      <c r="C51" s="12">
        <f>SUM(C39:C50)</f>
        <v>1287236.139538002</v>
      </c>
      <c r="D51" s="12">
        <f>SUM(D39:D50)</f>
        <v>1094150.7186073016</v>
      </c>
    </row>
  </sheetData>
  <mergeCells count="10">
    <mergeCell ref="A37:D37"/>
    <mergeCell ref="A51:B51"/>
    <mergeCell ref="A3:D3"/>
    <mergeCell ref="A17:B17"/>
    <mergeCell ref="F3:I3"/>
    <mergeCell ref="F17:G17"/>
    <mergeCell ref="A20:D20"/>
    <mergeCell ref="A34:B34"/>
    <mergeCell ref="F20:I20"/>
    <mergeCell ref="F34:G3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51"/>
  <sheetViews>
    <sheetView topLeftCell="A8" workbookViewId="0">
      <selection activeCell="G41" sqref="G41"/>
    </sheetView>
  </sheetViews>
  <sheetFormatPr baseColWidth="10" defaultRowHeight="15"/>
  <cols>
    <col min="1" max="1" width="35.5703125" customWidth="1"/>
    <col min="2" max="2" width="23.5703125" hidden="1" customWidth="1"/>
    <col min="3" max="3" width="12" customWidth="1"/>
  </cols>
  <sheetData>
    <row r="1" spans="1:8" ht="15.75">
      <c r="A1" s="39"/>
      <c r="B1" s="39"/>
      <c r="C1" s="39"/>
      <c r="D1" s="39"/>
      <c r="E1" s="39"/>
      <c r="F1" s="39"/>
      <c r="G1" s="39"/>
      <c r="H1" s="39"/>
    </row>
    <row r="2" spans="1:8" ht="15.75">
      <c r="A2" s="171" t="s">
        <v>52</v>
      </c>
      <c r="B2" s="171"/>
      <c r="C2" s="171"/>
      <c r="D2" s="171"/>
      <c r="E2" s="171"/>
      <c r="F2" s="171"/>
      <c r="G2" s="43"/>
      <c r="H2" s="43"/>
    </row>
    <row r="3" spans="1:8" ht="15.75">
      <c r="A3" s="171" t="s">
        <v>53</v>
      </c>
      <c r="B3" s="171"/>
      <c r="C3" s="171"/>
      <c r="D3" s="171"/>
      <c r="E3" s="171"/>
      <c r="F3" s="171"/>
      <c r="G3" s="43"/>
      <c r="H3" s="43"/>
    </row>
    <row r="4" spans="1:8" ht="15.75">
      <c r="A4" s="171" t="s">
        <v>54</v>
      </c>
      <c r="B4" s="171"/>
      <c r="C4" s="44" t="s">
        <v>55</v>
      </c>
      <c r="D4" s="45" t="s">
        <v>56</v>
      </c>
      <c r="E4" s="45" t="s">
        <v>57</v>
      </c>
      <c r="F4" s="44" t="s">
        <v>57</v>
      </c>
      <c r="G4" s="40"/>
      <c r="H4" s="40"/>
    </row>
    <row r="5" spans="1:8" ht="15.75">
      <c r="A5" s="171"/>
      <c r="B5" s="171"/>
      <c r="C5" s="44" t="s">
        <v>58</v>
      </c>
      <c r="D5" s="45" t="s">
        <v>59</v>
      </c>
      <c r="E5" s="45" t="s">
        <v>58</v>
      </c>
      <c r="F5" s="44" t="s">
        <v>60</v>
      </c>
      <c r="G5" s="40"/>
      <c r="H5" s="40"/>
    </row>
    <row r="6" spans="1:8" ht="15.75">
      <c r="A6" s="171"/>
      <c r="B6" s="171"/>
      <c r="C6" s="44" t="s">
        <v>61</v>
      </c>
      <c r="D6" s="45"/>
      <c r="E6" s="45" t="s">
        <v>61</v>
      </c>
      <c r="F6" s="44" t="s">
        <v>61</v>
      </c>
      <c r="G6" s="40"/>
      <c r="H6" s="40"/>
    </row>
    <row r="7" spans="1:8" ht="15.75">
      <c r="A7" s="172" t="s">
        <v>62</v>
      </c>
      <c r="B7" s="172"/>
      <c r="C7" s="46">
        <v>1000</v>
      </c>
      <c r="D7" s="47">
        <v>1</v>
      </c>
      <c r="E7" s="47">
        <f>D7*C7</f>
        <v>1000</v>
      </c>
      <c r="F7" s="46">
        <f>E7*12</f>
        <v>12000</v>
      </c>
      <c r="G7" s="40"/>
      <c r="H7" s="40"/>
    </row>
    <row r="8" spans="1:8" ht="15.75">
      <c r="A8" s="172" t="s">
        <v>63</v>
      </c>
      <c r="B8" s="172"/>
      <c r="C8" s="46">
        <v>800</v>
      </c>
      <c r="D8" s="47">
        <v>1</v>
      </c>
      <c r="E8" s="47">
        <f t="shared" ref="E8:E14" si="0">D8*C8</f>
        <v>800</v>
      </c>
      <c r="F8" s="46">
        <f t="shared" ref="F8:F14" si="1">E8*12</f>
        <v>9600</v>
      </c>
      <c r="G8" s="40"/>
      <c r="H8" s="40"/>
    </row>
    <row r="9" spans="1:8" ht="15.75">
      <c r="A9" s="172" t="s">
        <v>64</v>
      </c>
      <c r="B9" s="172"/>
      <c r="C9" s="46">
        <v>600</v>
      </c>
      <c r="D9" s="47">
        <v>1</v>
      </c>
      <c r="E9" s="47">
        <f t="shared" si="0"/>
        <v>600</v>
      </c>
      <c r="F9" s="46">
        <f t="shared" si="1"/>
        <v>7200</v>
      </c>
      <c r="G9" s="40"/>
      <c r="H9" s="40"/>
    </row>
    <row r="10" spans="1:8" ht="15.75">
      <c r="A10" s="172" t="s">
        <v>65</v>
      </c>
      <c r="B10" s="172"/>
      <c r="C10" s="46">
        <v>600</v>
      </c>
      <c r="D10" s="47">
        <v>1</v>
      </c>
      <c r="E10" s="47">
        <f t="shared" si="0"/>
        <v>600</v>
      </c>
      <c r="F10" s="46">
        <f t="shared" si="1"/>
        <v>7200</v>
      </c>
      <c r="G10" s="40"/>
      <c r="H10" s="40"/>
    </row>
    <row r="11" spans="1:8" ht="15.75">
      <c r="A11" s="172" t="s">
        <v>66</v>
      </c>
      <c r="B11" s="172"/>
      <c r="C11" s="46">
        <v>350</v>
      </c>
      <c r="D11" s="47">
        <v>1</v>
      </c>
      <c r="E11" s="47">
        <f t="shared" si="0"/>
        <v>350</v>
      </c>
      <c r="F11" s="46">
        <f t="shared" si="1"/>
        <v>4200</v>
      </c>
      <c r="G11" s="40"/>
      <c r="H11" s="40"/>
    </row>
    <row r="12" spans="1:8" ht="15.75">
      <c r="A12" s="172" t="s">
        <v>67</v>
      </c>
      <c r="B12" s="172"/>
      <c r="C12" s="46">
        <v>800</v>
      </c>
      <c r="D12" s="47">
        <v>1</v>
      </c>
      <c r="E12" s="47">
        <f t="shared" si="0"/>
        <v>800</v>
      </c>
      <c r="F12" s="46">
        <f t="shared" si="1"/>
        <v>9600</v>
      </c>
      <c r="G12" s="40"/>
      <c r="H12" s="40"/>
    </row>
    <row r="13" spans="1:8" ht="15.75">
      <c r="A13" s="172" t="s">
        <v>68</v>
      </c>
      <c r="B13" s="172"/>
      <c r="C13" s="46">
        <v>350</v>
      </c>
      <c r="D13" s="47">
        <v>1</v>
      </c>
      <c r="E13" s="47">
        <f t="shared" si="0"/>
        <v>350</v>
      </c>
      <c r="F13" s="46">
        <f t="shared" si="1"/>
        <v>4200</v>
      </c>
      <c r="G13" s="40"/>
      <c r="H13" s="40"/>
    </row>
    <row r="14" spans="1:8" ht="15.75">
      <c r="A14" s="172" t="s">
        <v>69</v>
      </c>
      <c r="B14" s="172"/>
      <c r="C14" s="46">
        <v>350</v>
      </c>
      <c r="D14" s="47">
        <v>1</v>
      </c>
      <c r="E14" s="47">
        <f t="shared" si="0"/>
        <v>350</v>
      </c>
      <c r="F14" s="46">
        <f t="shared" si="1"/>
        <v>4200</v>
      </c>
      <c r="G14" s="40"/>
      <c r="H14" s="40"/>
    </row>
    <row r="15" spans="1:8" ht="15.75">
      <c r="A15" s="172" t="s">
        <v>70</v>
      </c>
      <c r="B15" s="172"/>
      <c r="C15" s="46">
        <v>250</v>
      </c>
      <c r="D15" s="47">
        <v>10</v>
      </c>
      <c r="E15" s="47">
        <f>D15*C15</f>
        <v>2500</v>
      </c>
      <c r="F15" s="46">
        <f>E15*12</f>
        <v>30000</v>
      </c>
      <c r="G15" s="40"/>
      <c r="H15" s="40"/>
    </row>
    <row r="16" spans="1:8" ht="15.75">
      <c r="A16" s="171" t="s">
        <v>71</v>
      </c>
      <c r="B16" s="171"/>
      <c r="C16" s="171"/>
      <c r="D16" s="45">
        <v>18</v>
      </c>
      <c r="E16" s="45">
        <f>SUM(E7:E15)</f>
        <v>7350</v>
      </c>
      <c r="F16" s="48">
        <f>SUM(F7:F15)</f>
        <v>88200</v>
      </c>
      <c r="G16" s="40"/>
      <c r="H16" s="40"/>
    </row>
    <row r="17" spans="1:8" ht="15.75">
      <c r="A17" s="175"/>
      <c r="B17" s="175"/>
      <c r="C17" s="175"/>
      <c r="D17" s="175"/>
      <c r="E17" s="175"/>
      <c r="F17" s="175"/>
      <c r="G17" s="43"/>
      <c r="H17" s="43"/>
    </row>
    <row r="18" spans="1:8" ht="15.75">
      <c r="A18" s="171" t="s">
        <v>72</v>
      </c>
      <c r="B18" s="171"/>
      <c r="C18" s="171"/>
      <c r="D18" s="171"/>
      <c r="E18" s="171"/>
      <c r="F18" s="171"/>
      <c r="G18" s="41"/>
      <c r="H18" s="41"/>
    </row>
    <row r="19" spans="1:8" ht="15.75">
      <c r="A19" s="44" t="s">
        <v>73</v>
      </c>
      <c r="B19" s="171" t="s">
        <v>74</v>
      </c>
      <c r="C19" s="171"/>
      <c r="D19" s="171"/>
      <c r="E19" s="171" t="s">
        <v>75</v>
      </c>
      <c r="F19" s="171"/>
      <c r="G19" s="41"/>
      <c r="H19" s="42"/>
    </row>
    <row r="20" spans="1:8" ht="15.75">
      <c r="A20" s="49" t="s">
        <v>76</v>
      </c>
      <c r="B20" s="163">
        <v>2500</v>
      </c>
      <c r="C20" s="163"/>
      <c r="D20" s="163"/>
      <c r="E20" s="173">
        <f t="shared" ref="E20:E21" si="2">B20*12</f>
        <v>30000</v>
      </c>
      <c r="F20" s="174"/>
      <c r="G20" s="41"/>
      <c r="H20" s="42"/>
    </row>
    <row r="21" spans="1:8" ht="15.75">
      <c r="A21" s="49" t="s">
        <v>77</v>
      </c>
      <c r="B21" s="163">
        <v>250</v>
      </c>
      <c r="C21" s="163"/>
      <c r="D21" s="163"/>
      <c r="E21" s="163">
        <f t="shared" si="2"/>
        <v>3000</v>
      </c>
      <c r="F21" s="163"/>
      <c r="G21" s="39"/>
      <c r="H21" s="42"/>
    </row>
    <row r="22" spans="1:8" ht="15.75">
      <c r="A22" s="49" t="s">
        <v>78</v>
      </c>
      <c r="B22" s="163">
        <v>1500</v>
      </c>
      <c r="C22" s="163"/>
      <c r="D22" s="163"/>
      <c r="E22" s="163">
        <f>B22*12</f>
        <v>18000</v>
      </c>
      <c r="F22" s="163"/>
      <c r="G22" s="39"/>
      <c r="H22" s="42"/>
    </row>
    <row r="23" spans="1:8" ht="15.75">
      <c r="A23" s="49" t="s">
        <v>79</v>
      </c>
      <c r="B23" s="163">
        <v>300</v>
      </c>
      <c r="C23" s="163"/>
      <c r="D23" s="163"/>
      <c r="E23" s="163">
        <f>B23*12</f>
        <v>3600</v>
      </c>
      <c r="F23" s="163"/>
      <c r="G23" s="39"/>
      <c r="H23" s="42"/>
    </row>
    <row r="24" spans="1:8" ht="15.75">
      <c r="A24" s="49" t="s">
        <v>80</v>
      </c>
      <c r="B24" s="163">
        <v>200</v>
      </c>
      <c r="C24" s="163"/>
      <c r="D24" s="163"/>
      <c r="E24" s="163">
        <f t="shared" ref="E24:E26" si="3">B24*12</f>
        <v>2400</v>
      </c>
      <c r="F24" s="163"/>
      <c r="G24" s="39"/>
      <c r="H24" s="42"/>
    </row>
    <row r="25" spans="1:8" ht="15.75">
      <c r="A25" s="49" t="s">
        <v>81</v>
      </c>
      <c r="B25" s="163">
        <v>700</v>
      </c>
      <c r="C25" s="163"/>
      <c r="D25" s="163"/>
      <c r="E25" s="163">
        <f t="shared" si="3"/>
        <v>8400</v>
      </c>
      <c r="F25" s="163"/>
      <c r="G25" s="39"/>
      <c r="H25" s="42"/>
    </row>
    <row r="26" spans="1:8" ht="15.75">
      <c r="A26" s="49" t="s">
        <v>82</v>
      </c>
      <c r="B26" s="163">
        <v>200</v>
      </c>
      <c r="C26" s="163"/>
      <c r="D26" s="163"/>
      <c r="E26" s="163">
        <f t="shared" si="3"/>
        <v>2400</v>
      </c>
      <c r="F26" s="163"/>
      <c r="G26" s="39"/>
      <c r="H26" s="42"/>
    </row>
    <row r="27" spans="1:8" ht="15.75">
      <c r="A27" s="50" t="s">
        <v>83</v>
      </c>
      <c r="B27" s="167">
        <f>SUM(B20:D26)</f>
        <v>5650</v>
      </c>
      <c r="C27" s="167"/>
      <c r="D27" s="167"/>
      <c r="E27" s="167">
        <f>SUM(E20:F26)</f>
        <v>67800</v>
      </c>
      <c r="F27" s="167"/>
      <c r="G27" s="39"/>
      <c r="H27" s="42"/>
    </row>
    <row r="28" spans="1:8" ht="15.75">
      <c r="A28" s="165"/>
      <c r="B28" s="166"/>
      <c r="C28" s="166"/>
      <c r="D28" s="166"/>
      <c r="E28" s="166"/>
      <c r="F28" s="166"/>
      <c r="G28" s="53"/>
      <c r="H28" s="53"/>
    </row>
    <row r="29" spans="1:8" ht="15.75">
      <c r="A29" s="168" t="s">
        <v>100</v>
      </c>
      <c r="B29" s="169"/>
      <c r="C29" s="170"/>
    </row>
    <row r="30" spans="1:8" ht="15.75">
      <c r="A30" s="56" t="s">
        <v>101</v>
      </c>
      <c r="B30" s="9"/>
      <c r="C30" s="9" t="s">
        <v>102</v>
      </c>
    </row>
    <row r="31" spans="1:8" ht="15.75">
      <c r="A31" s="55" t="s">
        <v>103</v>
      </c>
      <c r="B31" s="2"/>
      <c r="C31" s="2">
        <v>5000</v>
      </c>
    </row>
    <row r="32" spans="1:8" ht="15.75">
      <c r="A32" s="55" t="s">
        <v>104</v>
      </c>
      <c r="B32" s="2"/>
      <c r="C32" s="2">
        <v>2500</v>
      </c>
    </row>
    <row r="33" spans="1:5" ht="15.75">
      <c r="A33" s="55" t="s">
        <v>105</v>
      </c>
      <c r="B33" s="2"/>
      <c r="C33" s="2">
        <v>2500</v>
      </c>
      <c r="E33" s="29"/>
    </row>
    <row r="34" spans="1:5" ht="15.75">
      <c r="A34" s="55" t="s">
        <v>106</v>
      </c>
      <c r="B34" s="2"/>
      <c r="C34" s="2">
        <v>10000</v>
      </c>
      <c r="E34" s="31"/>
    </row>
    <row r="35" spans="1:5" ht="15.75">
      <c r="A35" s="56" t="s">
        <v>5</v>
      </c>
      <c r="B35" s="2"/>
      <c r="C35" s="2">
        <f>SUM(C31:C34)</f>
        <v>20000</v>
      </c>
      <c r="E35" s="31"/>
    </row>
    <row r="36" spans="1:5">
      <c r="E36" s="31"/>
    </row>
    <row r="37" spans="1:5">
      <c r="A37" s="164" t="s">
        <v>89</v>
      </c>
      <c r="B37" s="164"/>
      <c r="C37" s="164"/>
      <c r="D37" s="164"/>
      <c r="E37" s="31"/>
    </row>
    <row r="38" spans="1:5">
      <c r="A38" s="9" t="s">
        <v>90</v>
      </c>
      <c r="B38" s="9"/>
      <c r="C38" s="9" t="s">
        <v>87</v>
      </c>
      <c r="D38" s="9" t="s">
        <v>88</v>
      </c>
      <c r="E38" s="31"/>
    </row>
    <row r="39" spans="1:5">
      <c r="A39" s="37" t="s">
        <v>85</v>
      </c>
      <c r="B39" s="36"/>
      <c r="C39" s="36">
        <f>E16</f>
        <v>7350</v>
      </c>
      <c r="D39" s="36">
        <f>F16</f>
        <v>88200</v>
      </c>
      <c r="E39" s="31"/>
    </row>
    <row r="40" spans="1:5" ht="30">
      <c r="A40" s="38" t="s">
        <v>86</v>
      </c>
      <c r="B40" s="36"/>
      <c r="C40" s="36">
        <f>B27</f>
        <v>5650</v>
      </c>
      <c r="D40" s="36">
        <f>E27</f>
        <v>67800</v>
      </c>
      <c r="E40" s="31"/>
    </row>
    <row r="41" spans="1:5">
      <c r="A41" s="2" t="s">
        <v>100</v>
      </c>
      <c r="B41" s="2"/>
      <c r="C41" s="2">
        <f>C35</f>
        <v>20000</v>
      </c>
      <c r="D41" s="2">
        <f>C41*6</f>
        <v>120000</v>
      </c>
      <c r="E41" s="31"/>
    </row>
    <row r="42" spans="1:5">
      <c r="A42" s="9" t="s">
        <v>84</v>
      </c>
      <c r="B42" s="36"/>
      <c r="C42" s="9">
        <f>SUM(C39:C40)</f>
        <v>13000</v>
      </c>
      <c r="D42" s="9">
        <f>SUM(D39:D41)</f>
        <v>276000</v>
      </c>
      <c r="E42" s="31"/>
    </row>
    <row r="43" spans="1:5">
      <c r="E43" s="31"/>
    </row>
    <row r="44" spans="1:5">
      <c r="E44" s="31"/>
    </row>
    <row r="45" spans="1:5">
      <c r="E45" s="31"/>
    </row>
    <row r="46" spans="1:5">
      <c r="E46" s="31"/>
    </row>
    <row r="47" spans="1:5">
      <c r="E47" s="33"/>
    </row>
    <row r="50" spans="1:4">
      <c r="A50" s="33"/>
      <c r="B50" s="33"/>
      <c r="C50" s="33"/>
      <c r="D50" s="33"/>
    </row>
    <row r="51" spans="1:4">
      <c r="A51" s="30"/>
      <c r="B51" s="35"/>
      <c r="C51" s="34"/>
      <c r="D51" s="32"/>
    </row>
  </sheetData>
  <mergeCells count="36">
    <mergeCell ref="A13:B13"/>
    <mergeCell ref="A14:B14"/>
    <mergeCell ref="B20:D20"/>
    <mergeCell ref="E20:F20"/>
    <mergeCell ref="B21:D21"/>
    <mergeCell ref="E21:F21"/>
    <mergeCell ref="A18:F18"/>
    <mergeCell ref="B19:D19"/>
    <mergeCell ref="E19:F19"/>
    <mergeCell ref="A17:F17"/>
    <mergeCell ref="A15:B15"/>
    <mergeCell ref="A16:C16"/>
    <mergeCell ref="A2:F2"/>
    <mergeCell ref="A3:F3"/>
    <mergeCell ref="A4:B6"/>
    <mergeCell ref="A11:B11"/>
    <mergeCell ref="A12:B12"/>
    <mergeCell ref="A9:B9"/>
    <mergeCell ref="A10:B10"/>
    <mergeCell ref="A7:B7"/>
    <mergeCell ref="A8:B8"/>
    <mergeCell ref="A37:D37"/>
    <mergeCell ref="A28:F28"/>
    <mergeCell ref="B26:D26"/>
    <mergeCell ref="E26:F26"/>
    <mergeCell ref="B27:D27"/>
    <mergeCell ref="E27:F27"/>
    <mergeCell ref="A29:C29"/>
    <mergeCell ref="B24:D24"/>
    <mergeCell ref="E24:F24"/>
    <mergeCell ref="B25:D25"/>
    <mergeCell ref="E25:F25"/>
    <mergeCell ref="B22:D22"/>
    <mergeCell ref="E22:F22"/>
    <mergeCell ref="B23:D23"/>
    <mergeCell ref="E23:F2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J90"/>
  <sheetViews>
    <sheetView topLeftCell="A34" workbookViewId="0">
      <selection activeCell="H23" sqref="H23"/>
    </sheetView>
  </sheetViews>
  <sheetFormatPr baseColWidth="10" defaultRowHeight="15"/>
  <cols>
    <col min="1" max="1" width="15.5703125" customWidth="1"/>
    <col min="2" max="2" width="15.5703125" bestFit="1" customWidth="1"/>
    <col min="3" max="3" width="12.7109375" bestFit="1" customWidth="1"/>
    <col min="4" max="4" width="13.7109375" bestFit="1" customWidth="1"/>
    <col min="5" max="6" width="12.7109375" bestFit="1" customWidth="1"/>
    <col min="7" max="7" width="5.7109375" bestFit="1" customWidth="1"/>
    <col min="8" max="8" width="10.5703125" bestFit="1" customWidth="1"/>
    <col min="9" max="9" width="9.5703125" bestFit="1" customWidth="1"/>
    <col min="11" max="11" width="13.5703125" customWidth="1"/>
    <col min="12" max="12" width="11" bestFit="1" customWidth="1"/>
    <col min="13" max="13" width="10.140625" bestFit="1" customWidth="1"/>
  </cols>
  <sheetData>
    <row r="3" spans="1:10">
      <c r="A3" s="133" t="s">
        <v>107</v>
      </c>
      <c r="B3" s="133"/>
      <c r="C3" s="133"/>
      <c r="D3" s="133"/>
      <c r="E3" s="133"/>
      <c r="F3" s="133"/>
      <c r="H3" s="14"/>
      <c r="I3" s="14"/>
      <c r="J3" s="14"/>
    </row>
    <row r="4" spans="1:10">
      <c r="A4" s="9" t="s">
        <v>91</v>
      </c>
      <c r="B4" s="9" t="s">
        <v>95</v>
      </c>
      <c r="C4" s="9" t="s">
        <v>96</v>
      </c>
      <c r="D4" s="9" t="s">
        <v>97</v>
      </c>
      <c r="E4" s="9" t="s">
        <v>98</v>
      </c>
      <c r="F4" s="9" t="s">
        <v>99</v>
      </c>
      <c r="H4" s="14"/>
      <c r="I4" s="14"/>
      <c r="J4" s="14"/>
    </row>
    <row r="5" spans="1:10">
      <c r="A5" s="9" t="s">
        <v>92</v>
      </c>
      <c r="B5" s="51">
        <f>'Costos Variables'!E18</f>
        <v>170552.71505376004</v>
      </c>
      <c r="C5" s="51">
        <f>'Costos Variables'!K18</f>
        <v>291360.88821684005</v>
      </c>
      <c r="D5" s="51">
        <f>'Costos Variables'!E37</f>
        <v>358373.89250671322</v>
      </c>
      <c r="E5" s="51">
        <f>'Costos Variables'!K37</f>
        <v>428555.44645594456</v>
      </c>
      <c r="F5" s="51">
        <f>'Costos Variables'!E55</f>
        <v>502022.09441982076</v>
      </c>
      <c r="H5" s="14"/>
      <c r="I5" s="14"/>
      <c r="J5" s="14"/>
    </row>
    <row r="6" spans="1:10">
      <c r="A6" s="9" t="s">
        <v>93</v>
      </c>
      <c r="B6" s="51">
        <f>'Costos Fijos'!D42</f>
        <v>276000</v>
      </c>
      <c r="C6" s="51">
        <f>'Costos Fijos'!$D$42</f>
        <v>276000</v>
      </c>
      <c r="D6" s="51">
        <f>'Costos Fijos'!$D$42</f>
        <v>276000</v>
      </c>
      <c r="E6" s="51">
        <f>'Costos Fijos'!$D$42</f>
        <v>276000</v>
      </c>
      <c r="F6" s="51">
        <f>'Costos Fijos'!$D$42</f>
        <v>276000</v>
      </c>
      <c r="H6" s="14"/>
      <c r="I6" s="14"/>
      <c r="J6" s="14"/>
    </row>
    <row r="7" spans="1:10">
      <c r="A7" s="9" t="s">
        <v>94</v>
      </c>
      <c r="B7" s="52">
        <f>SUM(B5:B6)</f>
        <v>446552.71505376004</v>
      </c>
      <c r="C7" s="52">
        <f>SUM(C5:C6)</f>
        <v>567360.8882168401</v>
      </c>
      <c r="D7" s="52">
        <f>SUM(D5:D6)</f>
        <v>634373.89250671328</v>
      </c>
      <c r="E7" s="52">
        <f t="shared" ref="E7:F7" si="0">SUM(E5:E6)</f>
        <v>704555.44645594456</v>
      </c>
      <c r="F7" s="52">
        <f t="shared" si="0"/>
        <v>778022.0944198207</v>
      </c>
      <c r="H7" s="14"/>
      <c r="I7" s="14"/>
      <c r="J7" s="14"/>
    </row>
    <row r="8" spans="1:10">
      <c r="B8" s="14"/>
      <c r="D8" s="14"/>
      <c r="H8" s="14"/>
      <c r="I8" s="14"/>
      <c r="J8" s="14"/>
    </row>
    <row r="9" spans="1:10">
      <c r="B9" s="14"/>
      <c r="C9" s="14"/>
      <c r="D9" s="14"/>
      <c r="H9" s="60"/>
      <c r="I9" s="14"/>
      <c r="J9" s="14"/>
    </row>
    <row r="10" spans="1:10">
      <c r="E10" s="14"/>
      <c r="H10" s="60"/>
      <c r="I10" s="14"/>
      <c r="J10" s="14"/>
    </row>
    <row r="11" spans="1:10">
      <c r="E11" s="14"/>
      <c r="H11" s="14"/>
      <c r="I11" s="14"/>
      <c r="J11" s="14"/>
    </row>
    <row r="12" spans="1:10">
      <c r="A12" s="133" t="s">
        <v>111</v>
      </c>
      <c r="B12" s="133"/>
      <c r="C12" s="133"/>
      <c r="D12" s="133"/>
      <c r="E12" s="14"/>
      <c r="H12" s="60"/>
      <c r="I12" s="14"/>
      <c r="J12" s="14"/>
    </row>
    <row r="13" spans="1:10">
      <c r="A13" s="9" t="s">
        <v>0</v>
      </c>
      <c r="B13" s="8" t="s">
        <v>110</v>
      </c>
      <c r="C13" s="8" t="s">
        <v>108</v>
      </c>
      <c r="D13" s="8" t="s">
        <v>109</v>
      </c>
      <c r="E13" s="14"/>
    </row>
    <row r="14" spans="1:10">
      <c r="A14" s="9" t="s">
        <v>35</v>
      </c>
      <c r="B14" s="57">
        <f>'Costos Variables'!E5</f>
        <v>3411.0543010752003</v>
      </c>
      <c r="C14" s="51">
        <f>$B$6/12</f>
        <v>23000</v>
      </c>
      <c r="D14" s="57">
        <f>SUM(B14:C14)</f>
        <v>26411.054301075201</v>
      </c>
      <c r="E14" s="14"/>
    </row>
    <row r="15" spans="1:10">
      <c r="A15" s="9" t="s">
        <v>9</v>
      </c>
      <c r="B15" s="57">
        <f>'Costos Variables'!E6</f>
        <v>6822.1086021504007</v>
      </c>
      <c r="C15" s="51">
        <f t="shared" ref="C15:C25" si="1">$B$6/12</f>
        <v>23000</v>
      </c>
      <c r="D15" s="57">
        <f t="shared" ref="D15:D25" si="2">SUM(B15:C15)</f>
        <v>29822.108602150402</v>
      </c>
      <c r="E15" s="14"/>
    </row>
    <row r="16" spans="1:10">
      <c r="A16" s="9" t="s">
        <v>10</v>
      </c>
      <c r="B16" s="57">
        <f>'Costos Variables'!E7</f>
        <v>8527.6357526880001</v>
      </c>
      <c r="C16" s="51">
        <f t="shared" si="1"/>
        <v>23000</v>
      </c>
      <c r="D16" s="57">
        <f t="shared" si="2"/>
        <v>31527.635752688002</v>
      </c>
      <c r="E16" s="14"/>
    </row>
    <row r="17" spans="1:5">
      <c r="A17" s="9" t="s">
        <v>11</v>
      </c>
      <c r="B17" s="57">
        <f>'Costos Variables'!E8</f>
        <v>8527.6357526880001</v>
      </c>
      <c r="C17" s="51">
        <f t="shared" si="1"/>
        <v>23000</v>
      </c>
      <c r="D17" s="57">
        <f t="shared" si="2"/>
        <v>31527.635752688002</v>
      </c>
      <c r="E17" s="14"/>
    </row>
    <row r="18" spans="1:5">
      <c r="A18" s="9" t="s">
        <v>12</v>
      </c>
      <c r="B18" s="57">
        <f>'Costos Variables'!E9</f>
        <v>17055.271505376</v>
      </c>
      <c r="C18" s="51">
        <f t="shared" si="1"/>
        <v>23000</v>
      </c>
      <c r="D18" s="57">
        <f t="shared" si="2"/>
        <v>40055.271505376004</v>
      </c>
    </row>
    <row r="19" spans="1:5">
      <c r="A19" s="9" t="s">
        <v>13</v>
      </c>
      <c r="B19" s="57">
        <f>'Costos Variables'!E10</f>
        <v>17055.271505376</v>
      </c>
      <c r="C19" s="51">
        <f t="shared" si="1"/>
        <v>23000</v>
      </c>
      <c r="D19" s="57">
        <f t="shared" si="2"/>
        <v>40055.271505376004</v>
      </c>
    </row>
    <row r="20" spans="1:5">
      <c r="A20" s="9" t="s">
        <v>14</v>
      </c>
      <c r="B20" s="57">
        <f>'Costos Variables'!E11</f>
        <v>17055.271505376</v>
      </c>
      <c r="C20" s="51">
        <f t="shared" si="1"/>
        <v>23000</v>
      </c>
      <c r="D20" s="57">
        <f t="shared" si="2"/>
        <v>40055.271505376004</v>
      </c>
    </row>
    <row r="21" spans="1:5">
      <c r="A21" s="9" t="s">
        <v>15</v>
      </c>
      <c r="B21" s="57">
        <f>'Costos Variables'!E12</f>
        <v>17055.271505376</v>
      </c>
      <c r="C21" s="51">
        <f t="shared" si="1"/>
        <v>23000</v>
      </c>
      <c r="D21" s="57">
        <f t="shared" si="2"/>
        <v>40055.271505376004</v>
      </c>
    </row>
    <row r="22" spans="1:5">
      <c r="A22" s="9" t="s">
        <v>16</v>
      </c>
      <c r="B22" s="57">
        <f>'Costos Variables'!E13</f>
        <v>18760.798655913604</v>
      </c>
      <c r="C22" s="51">
        <f t="shared" si="1"/>
        <v>23000</v>
      </c>
      <c r="D22" s="57">
        <f t="shared" si="2"/>
        <v>41760.798655913604</v>
      </c>
    </row>
    <row r="23" spans="1:5">
      <c r="A23" s="9" t="s">
        <v>17</v>
      </c>
      <c r="B23" s="57">
        <f>'Costos Variables'!E14</f>
        <v>18760.798655913604</v>
      </c>
      <c r="C23" s="51">
        <f t="shared" si="1"/>
        <v>23000</v>
      </c>
      <c r="D23" s="57">
        <f t="shared" si="2"/>
        <v>41760.798655913604</v>
      </c>
    </row>
    <row r="24" spans="1:5">
      <c r="A24" s="9" t="s">
        <v>18</v>
      </c>
      <c r="B24" s="57">
        <f>'Costos Variables'!E15</f>
        <v>18760.798655913604</v>
      </c>
      <c r="C24" s="51">
        <f t="shared" si="1"/>
        <v>23000</v>
      </c>
      <c r="D24" s="57">
        <f t="shared" si="2"/>
        <v>41760.798655913604</v>
      </c>
    </row>
    <row r="25" spans="1:5">
      <c r="A25" s="9" t="s">
        <v>19</v>
      </c>
      <c r="B25" s="57">
        <f>'Costos Variables'!E16</f>
        <v>18760.798655913604</v>
      </c>
      <c r="C25" s="51">
        <f t="shared" si="1"/>
        <v>23000</v>
      </c>
      <c r="D25" s="57">
        <f t="shared" si="2"/>
        <v>41760.798655913604</v>
      </c>
    </row>
    <row r="26" spans="1:5">
      <c r="A26" s="9" t="s">
        <v>5</v>
      </c>
      <c r="B26" s="8">
        <f t="shared" ref="B26:C26" si="3">SUM(B14:B25)</f>
        <v>170552.71505376004</v>
      </c>
      <c r="C26" s="8">
        <f t="shared" si="3"/>
        <v>276000</v>
      </c>
      <c r="D26" s="8">
        <f>SUM(D14:D25)</f>
        <v>446552.7150537601</v>
      </c>
    </row>
    <row r="28" spans="1:5">
      <c r="A28" s="133" t="s">
        <v>112</v>
      </c>
      <c r="B28" s="133"/>
      <c r="C28" s="133"/>
      <c r="D28" s="133"/>
    </row>
    <row r="29" spans="1:5">
      <c r="A29" s="9" t="s">
        <v>0</v>
      </c>
      <c r="B29" s="8" t="s">
        <v>110</v>
      </c>
      <c r="C29" s="8" t="s">
        <v>108</v>
      </c>
      <c r="D29" s="8" t="s">
        <v>109</v>
      </c>
    </row>
    <row r="30" spans="1:5">
      <c r="A30" s="9" t="s">
        <v>35</v>
      </c>
      <c r="B30" s="57">
        <f>'Costos Variables'!K5</f>
        <v>11654.435528673601</v>
      </c>
      <c r="C30" s="51">
        <f>$C$6/12</f>
        <v>23000</v>
      </c>
      <c r="D30" s="57">
        <f>SUM(B30:C30)</f>
        <v>34654.435528673603</v>
      </c>
    </row>
    <row r="31" spans="1:5">
      <c r="A31" s="9" t="s">
        <v>9</v>
      </c>
      <c r="B31" s="57">
        <f>'Costos Variables'!K6</f>
        <v>23308.871057347202</v>
      </c>
      <c r="C31" s="51">
        <f t="shared" ref="C31:C41" si="4">$C$6/12</f>
        <v>23000</v>
      </c>
      <c r="D31" s="57">
        <f t="shared" ref="D31:D41" si="5">SUM(B31:C31)</f>
        <v>46308.871057347205</v>
      </c>
    </row>
    <row r="32" spans="1:5">
      <c r="A32" s="9" t="s">
        <v>10</v>
      </c>
      <c r="B32" s="57">
        <f>'Costos Variables'!K7</f>
        <v>20395.262175178803</v>
      </c>
      <c r="C32" s="51">
        <f t="shared" si="4"/>
        <v>23000</v>
      </c>
      <c r="D32" s="57">
        <f t="shared" si="5"/>
        <v>43395.262175178803</v>
      </c>
    </row>
    <row r="33" spans="1:4">
      <c r="A33" s="9" t="s">
        <v>11</v>
      </c>
      <c r="B33" s="57">
        <f>'Costos Variables'!K8</f>
        <v>20395.262175178803</v>
      </c>
      <c r="C33" s="51">
        <f t="shared" si="4"/>
        <v>23000</v>
      </c>
      <c r="D33" s="57">
        <f t="shared" si="5"/>
        <v>43395.262175178803</v>
      </c>
    </row>
    <row r="34" spans="1:4">
      <c r="A34" s="9" t="s">
        <v>12</v>
      </c>
      <c r="B34" s="57">
        <f>'Costos Variables'!K9</f>
        <v>23308.871057347202</v>
      </c>
      <c r="C34" s="51">
        <f t="shared" si="4"/>
        <v>23000</v>
      </c>
      <c r="D34" s="57">
        <f t="shared" si="5"/>
        <v>46308.871057347205</v>
      </c>
    </row>
    <row r="35" spans="1:4">
      <c r="A35" s="9" t="s">
        <v>13</v>
      </c>
      <c r="B35" s="57">
        <f>'Costos Variables'!K10</f>
        <v>26222.479939515601</v>
      </c>
      <c r="C35" s="51">
        <f t="shared" si="4"/>
        <v>23000</v>
      </c>
      <c r="D35" s="57">
        <f t="shared" si="5"/>
        <v>49222.479939515601</v>
      </c>
    </row>
    <row r="36" spans="1:4">
      <c r="A36" s="9" t="s">
        <v>14</v>
      </c>
      <c r="B36" s="57">
        <f>'Costos Variables'!K11</f>
        <v>26222.479939515601</v>
      </c>
      <c r="C36" s="51">
        <f t="shared" si="4"/>
        <v>23000</v>
      </c>
      <c r="D36" s="57">
        <f t="shared" si="5"/>
        <v>49222.479939515601</v>
      </c>
    </row>
    <row r="37" spans="1:4">
      <c r="A37" s="9" t="s">
        <v>15</v>
      </c>
      <c r="B37" s="57">
        <f>'Costos Variables'!K12</f>
        <v>26222.479939515601</v>
      </c>
      <c r="C37" s="51">
        <f t="shared" si="4"/>
        <v>23000</v>
      </c>
      <c r="D37" s="57">
        <f t="shared" si="5"/>
        <v>49222.479939515601</v>
      </c>
    </row>
    <row r="38" spans="1:4">
      <c r="A38" s="9" t="s">
        <v>16</v>
      </c>
      <c r="B38" s="57">
        <f>'Costos Variables'!K13</f>
        <v>26222.479939515601</v>
      </c>
      <c r="C38" s="51">
        <f t="shared" si="4"/>
        <v>23000</v>
      </c>
      <c r="D38" s="57">
        <f t="shared" si="5"/>
        <v>49222.479939515601</v>
      </c>
    </row>
    <row r="39" spans="1:4">
      <c r="A39" s="9" t="s">
        <v>17</v>
      </c>
      <c r="B39" s="57">
        <f>'Costos Variables'!K14</f>
        <v>29136.088821683999</v>
      </c>
      <c r="C39" s="51">
        <f t="shared" si="4"/>
        <v>23000</v>
      </c>
      <c r="D39" s="57">
        <f t="shared" si="5"/>
        <v>52136.088821683996</v>
      </c>
    </row>
    <row r="40" spans="1:4">
      <c r="A40" s="9" t="s">
        <v>18</v>
      </c>
      <c r="B40" s="57">
        <f>'Costos Variables'!K15</f>
        <v>29136.088821683999</v>
      </c>
      <c r="C40" s="51">
        <f t="shared" si="4"/>
        <v>23000</v>
      </c>
      <c r="D40" s="57">
        <f t="shared" si="5"/>
        <v>52136.088821683996</v>
      </c>
    </row>
    <row r="41" spans="1:4">
      <c r="A41" s="9" t="s">
        <v>19</v>
      </c>
      <c r="B41" s="57">
        <f>'Costos Variables'!K16</f>
        <v>29136.088821683999</v>
      </c>
      <c r="C41" s="51">
        <f t="shared" si="4"/>
        <v>23000</v>
      </c>
      <c r="D41" s="57">
        <f t="shared" si="5"/>
        <v>52136.088821683996</v>
      </c>
    </row>
    <row r="42" spans="1:4">
      <c r="A42" s="9" t="s">
        <v>5</v>
      </c>
      <c r="B42" s="8">
        <f t="shared" ref="B42" si="6">SUM(B30:B41)</f>
        <v>291360.88821684005</v>
      </c>
      <c r="C42" s="52">
        <f>SUM(C30:C41)</f>
        <v>276000</v>
      </c>
      <c r="D42" s="8">
        <f>SUM(D30:D41)</f>
        <v>567360.88821683999</v>
      </c>
    </row>
    <row r="44" spans="1:4">
      <c r="A44" s="133" t="s">
        <v>113</v>
      </c>
      <c r="B44" s="133"/>
      <c r="C44" s="133"/>
      <c r="D44" s="133"/>
    </row>
    <row r="45" spans="1:4">
      <c r="A45" s="9" t="s">
        <v>0</v>
      </c>
      <c r="B45" s="8" t="s">
        <v>110</v>
      </c>
      <c r="C45" s="8" t="s">
        <v>108</v>
      </c>
      <c r="D45" s="8" t="s">
        <v>109</v>
      </c>
    </row>
    <row r="46" spans="1:4">
      <c r="A46" s="9" t="s">
        <v>35</v>
      </c>
      <c r="B46" s="57">
        <f>'Costos Variables'!E24</f>
        <v>14334.955700268529</v>
      </c>
      <c r="C46" s="51">
        <f>$D$6/12</f>
        <v>23000</v>
      </c>
      <c r="D46" s="57">
        <f>SUM(B46:C46)</f>
        <v>37334.955700268532</v>
      </c>
    </row>
    <row r="47" spans="1:4">
      <c r="A47" s="9" t="s">
        <v>9</v>
      </c>
      <c r="B47" s="57">
        <f>'Costos Variables'!E25</f>
        <v>28669.911400537057</v>
      </c>
      <c r="C47" s="51">
        <f t="shared" ref="C47:C57" si="7">$D$6/12</f>
        <v>23000</v>
      </c>
      <c r="D47" s="57">
        <f t="shared" ref="D47:D57" si="8">SUM(B47:C47)</f>
        <v>51669.911400537057</v>
      </c>
    </row>
    <row r="48" spans="1:4">
      <c r="A48" s="9" t="s">
        <v>10</v>
      </c>
      <c r="B48" s="57">
        <f>'Costos Variables'!E26</f>
        <v>25086.172475469928</v>
      </c>
      <c r="C48" s="51">
        <f t="shared" si="7"/>
        <v>23000</v>
      </c>
      <c r="D48" s="57">
        <f t="shared" si="8"/>
        <v>48086.172475469924</v>
      </c>
    </row>
    <row r="49" spans="1:4">
      <c r="A49" s="9" t="s">
        <v>11</v>
      </c>
      <c r="B49" s="57">
        <f>'Costos Variables'!E27</f>
        <v>25086.172475469928</v>
      </c>
      <c r="C49" s="51">
        <f t="shared" si="7"/>
        <v>23000</v>
      </c>
      <c r="D49" s="57">
        <f t="shared" si="8"/>
        <v>48086.172475469924</v>
      </c>
    </row>
    <row r="50" spans="1:4">
      <c r="A50" s="9" t="s">
        <v>12</v>
      </c>
      <c r="B50" s="57">
        <f>'Costos Variables'!E28</f>
        <v>28669.911400537057</v>
      </c>
      <c r="C50" s="51">
        <f t="shared" si="7"/>
        <v>23000</v>
      </c>
      <c r="D50" s="57">
        <f t="shared" si="8"/>
        <v>51669.911400537057</v>
      </c>
    </row>
    <row r="51" spans="1:4">
      <c r="A51" s="9" t="s">
        <v>13</v>
      </c>
      <c r="B51" s="57">
        <f>'Costos Variables'!E29</f>
        <v>32253.650325604187</v>
      </c>
      <c r="C51" s="51">
        <f t="shared" si="7"/>
        <v>23000</v>
      </c>
      <c r="D51" s="57">
        <f t="shared" si="8"/>
        <v>55253.650325604191</v>
      </c>
    </row>
    <row r="52" spans="1:4">
      <c r="A52" s="9" t="s">
        <v>14</v>
      </c>
      <c r="B52" s="57">
        <f>'Costos Variables'!E30</f>
        <v>32253.650325604187</v>
      </c>
      <c r="C52" s="51">
        <f t="shared" si="7"/>
        <v>23000</v>
      </c>
      <c r="D52" s="57">
        <f t="shared" si="8"/>
        <v>55253.650325604191</v>
      </c>
    </row>
    <row r="53" spans="1:4">
      <c r="A53" s="9" t="s">
        <v>15</v>
      </c>
      <c r="B53" s="57">
        <f>'Costos Variables'!E31</f>
        <v>32253.650325604187</v>
      </c>
      <c r="C53" s="51">
        <f t="shared" si="7"/>
        <v>23000</v>
      </c>
      <c r="D53" s="57">
        <f t="shared" si="8"/>
        <v>55253.650325604191</v>
      </c>
    </row>
    <row r="54" spans="1:4">
      <c r="A54" s="9" t="s">
        <v>16</v>
      </c>
      <c r="B54" s="57">
        <f>'Costos Variables'!E32</f>
        <v>32253.650325604187</v>
      </c>
      <c r="C54" s="51">
        <f t="shared" si="7"/>
        <v>23000</v>
      </c>
      <c r="D54" s="57">
        <f t="shared" si="8"/>
        <v>55253.650325604191</v>
      </c>
    </row>
    <row r="55" spans="1:4">
      <c r="A55" s="9" t="s">
        <v>17</v>
      </c>
      <c r="B55" s="57">
        <f>'Costos Variables'!E33</f>
        <v>35837.389250671324</v>
      </c>
      <c r="C55" s="51">
        <f t="shared" si="7"/>
        <v>23000</v>
      </c>
      <c r="D55" s="57">
        <f t="shared" si="8"/>
        <v>58837.389250671324</v>
      </c>
    </row>
    <row r="56" spans="1:4">
      <c r="A56" s="9" t="s">
        <v>18</v>
      </c>
      <c r="B56" s="57">
        <f>'Costos Variables'!E34</f>
        <v>35837.389250671324</v>
      </c>
      <c r="C56" s="51">
        <f t="shared" si="7"/>
        <v>23000</v>
      </c>
      <c r="D56" s="57">
        <f t="shared" si="8"/>
        <v>58837.389250671324</v>
      </c>
    </row>
    <row r="57" spans="1:4">
      <c r="A57" s="9" t="s">
        <v>19</v>
      </c>
      <c r="B57" s="57">
        <f>'Costos Variables'!E35</f>
        <v>35837.389250671324</v>
      </c>
      <c r="C57" s="51">
        <f t="shared" si="7"/>
        <v>23000</v>
      </c>
      <c r="D57" s="57">
        <f t="shared" si="8"/>
        <v>58837.389250671324</v>
      </c>
    </row>
    <row r="58" spans="1:4">
      <c r="A58" s="9" t="s">
        <v>5</v>
      </c>
      <c r="B58" s="8">
        <f t="shared" ref="B58:C58" si="9">SUM(B46:B57)</f>
        <v>358373.89250671322</v>
      </c>
      <c r="C58" s="8">
        <f t="shared" si="9"/>
        <v>276000</v>
      </c>
      <c r="D58" s="8">
        <f>SUM(D46:D57)</f>
        <v>634373.89250671328</v>
      </c>
    </row>
    <row r="60" spans="1:4">
      <c r="A60" s="133" t="s">
        <v>114</v>
      </c>
      <c r="B60" s="133"/>
      <c r="C60" s="133"/>
      <c r="D60" s="133"/>
    </row>
    <row r="61" spans="1:4">
      <c r="A61" s="9" t="s">
        <v>0</v>
      </c>
      <c r="B61" s="8" t="s">
        <v>110</v>
      </c>
      <c r="C61" s="8" t="s">
        <v>108</v>
      </c>
      <c r="D61" s="8" t="s">
        <v>109</v>
      </c>
    </row>
    <row r="62" spans="1:4">
      <c r="A62" s="9" t="s">
        <v>35</v>
      </c>
      <c r="B62" s="57">
        <f>'Costos Variables'!K24</f>
        <v>17142.217858237782</v>
      </c>
      <c r="C62" s="51">
        <f>$E$6/12</f>
        <v>23000</v>
      </c>
      <c r="D62" s="57">
        <f>SUM(B62:C62)</f>
        <v>40142.217858237782</v>
      </c>
    </row>
    <row r="63" spans="1:4">
      <c r="A63" s="9" t="s">
        <v>9</v>
      </c>
      <c r="B63" s="57">
        <f>'Costos Variables'!K25</f>
        <v>34284.435716475564</v>
      </c>
      <c r="C63" s="51">
        <f t="shared" ref="C63:C73" si="10">$E$6/12</f>
        <v>23000</v>
      </c>
      <c r="D63" s="57">
        <f t="shared" ref="D63:D73" si="11">SUM(B63:C63)</f>
        <v>57284.435716475564</v>
      </c>
    </row>
    <row r="64" spans="1:4">
      <c r="A64" s="9" t="s">
        <v>10</v>
      </c>
      <c r="B64" s="57">
        <f>'Costos Variables'!K26</f>
        <v>29998.881251916126</v>
      </c>
      <c r="C64" s="51">
        <f t="shared" si="10"/>
        <v>23000</v>
      </c>
      <c r="D64" s="57">
        <f t="shared" si="11"/>
        <v>52998.881251916129</v>
      </c>
    </row>
    <row r="65" spans="1:4">
      <c r="A65" s="9" t="s">
        <v>11</v>
      </c>
      <c r="B65" s="57">
        <f>'Costos Variables'!K27</f>
        <v>29998.881251916126</v>
      </c>
      <c r="C65" s="51">
        <f t="shared" si="10"/>
        <v>23000</v>
      </c>
      <c r="D65" s="57">
        <f t="shared" si="11"/>
        <v>52998.881251916129</v>
      </c>
    </row>
    <row r="66" spans="1:4">
      <c r="A66" s="9" t="s">
        <v>12</v>
      </c>
      <c r="B66" s="57">
        <f>'Costos Variables'!K28</f>
        <v>34284.435716475564</v>
      </c>
      <c r="C66" s="51">
        <f t="shared" si="10"/>
        <v>23000</v>
      </c>
      <c r="D66" s="57">
        <f t="shared" si="11"/>
        <v>57284.435716475564</v>
      </c>
    </row>
    <row r="67" spans="1:4">
      <c r="A67" s="9" t="s">
        <v>13</v>
      </c>
      <c r="B67" s="57">
        <f>'Costos Variables'!K29</f>
        <v>38569.990181035013</v>
      </c>
      <c r="C67" s="51">
        <f t="shared" si="10"/>
        <v>23000</v>
      </c>
      <c r="D67" s="57">
        <f t="shared" si="11"/>
        <v>61569.990181035013</v>
      </c>
    </row>
    <row r="68" spans="1:4">
      <c r="A68" s="9" t="s">
        <v>14</v>
      </c>
      <c r="B68" s="57">
        <f>'Costos Variables'!K30</f>
        <v>38569.990181035013</v>
      </c>
      <c r="C68" s="51">
        <f t="shared" si="10"/>
        <v>23000</v>
      </c>
      <c r="D68" s="57">
        <f t="shared" si="11"/>
        <v>61569.990181035013</v>
      </c>
    </row>
    <row r="69" spans="1:4">
      <c r="A69" s="9" t="s">
        <v>15</v>
      </c>
      <c r="B69" s="57">
        <f>'Costos Variables'!K31</f>
        <v>38569.990181035013</v>
      </c>
      <c r="C69" s="51">
        <f t="shared" si="10"/>
        <v>23000</v>
      </c>
      <c r="D69" s="57">
        <f t="shared" si="11"/>
        <v>61569.990181035013</v>
      </c>
    </row>
    <row r="70" spans="1:4">
      <c r="A70" s="9" t="s">
        <v>16</v>
      </c>
      <c r="B70" s="57">
        <f>'Costos Variables'!K32</f>
        <v>38569.990181035013</v>
      </c>
      <c r="C70" s="51">
        <f t="shared" si="10"/>
        <v>23000</v>
      </c>
      <c r="D70" s="57">
        <f t="shared" si="11"/>
        <v>61569.990181035013</v>
      </c>
    </row>
    <row r="71" spans="1:4">
      <c r="A71" s="9" t="s">
        <v>17</v>
      </c>
      <c r="B71" s="57">
        <f>'Costos Variables'!K33</f>
        <v>42855.544645594462</v>
      </c>
      <c r="C71" s="51">
        <f t="shared" si="10"/>
        <v>23000</v>
      </c>
      <c r="D71" s="57">
        <f t="shared" si="11"/>
        <v>65855.544645594462</v>
      </c>
    </row>
    <row r="72" spans="1:4">
      <c r="A72" s="9" t="s">
        <v>18</v>
      </c>
      <c r="B72" s="57">
        <f>'Costos Variables'!K34</f>
        <v>42855.544645594462</v>
      </c>
      <c r="C72" s="51">
        <f t="shared" si="10"/>
        <v>23000</v>
      </c>
      <c r="D72" s="57">
        <f t="shared" si="11"/>
        <v>65855.544645594462</v>
      </c>
    </row>
    <row r="73" spans="1:4">
      <c r="A73" s="9" t="s">
        <v>19</v>
      </c>
      <c r="B73" s="57">
        <f>'Costos Variables'!K35</f>
        <v>42855.544645594462</v>
      </c>
      <c r="C73" s="51">
        <f t="shared" si="10"/>
        <v>23000</v>
      </c>
      <c r="D73" s="57">
        <f t="shared" si="11"/>
        <v>65855.544645594462</v>
      </c>
    </row>
    <row r="74" spans="1:4">
      <c r="A74" s="9" t="s">
        <v>5</v>
      </c>
      <c r="B74" s="8">
        <f t="shared" ref="B74" si="12">SUM(B62:B73)</f>
        <v>428555.44645594456</v>
      </c>
      <c r="C74" s="8">
        <f t="shared" ref="C74" si="13">SUM(C62:C73)</f>
        <v>276000</v>
      </c>
      <c r="D74" s="8">
        <f>SUM(D62:D73)</f>
        <v>704555.44645594456</v>
      </c>
    </row>
    <row r="76" spans="1:4">
      <c r="A76" s="133" t="s">
        <v>115</v>
      </c>
      <c r="B76" s="133"/>
      <c r="C76" s="133"/>
      <c r="D76" s="133"/>
    </row>
    <row r="77" spans="1:4">
      <c r="A77" s="9" t="s">
        <v>0</v>
      </c>
      <c r="B77" s="8" t="s">
        <v>110</v>
      </c>
      <c r="C77" s="8" t="s">
        <v>108</v>
      </c>
      <c r="D77" s="8" t="s">
        <v>109</v>
      </c>
    </row>
    <row r="78" spans="1:4">
      <c r="A78" s="9" t="s">
        <v>35</v>
      </c>
      <c r="B78" s="57">
        <f>'Costos Variables'!E42</f>
        <v>20080.883776792827</v>
      </c>
      <c r="C78" s="51">
        <f>$F$6/12</f>
        <v>23000</v>
      </c>
      <c r="D78" s="57">
        <f>SUM(B78:C78)</f>
        <v>43080.883776792827</v>
      </c>
    </row>
    <row r="79" spans="1:4">
      <c r="A79" s="9" t="s">
        <v>9</v>
      </c>
      <c r="B79" s="57">
        <f>'Costos Variables'!E43</f>
        <v>40161.767553585654</v>
      </c>
      <c r="C79" s="51">
        <f t="shared" ref="C79:C89" si="14">$F$6/12</f>
        <v>23000</v>
      </c>
      <c r="D79" s="57">
        <f t="shared" ref="D79:D89" si="15">SUM(B79:C79)</f>
        <v>63161.767553585654</v>
      </c>
    </row>
    <row r="80" spans="1:4">
      <c r="A80" s="9" t="s">
        <v>10</v>
      </c>
      <c r="B80" s="57">
        <f>'Costos Variables'!E44</f>
        <v>35141.546609387457</v>
      </c>
      <c r="C80" s="51">
        <f t="shared" si="14"/>
        <v>23000</v>
      </c>
      <c r="D80" s="57">
        <f t="shared" si="15"/>
        <v>58141.546609387457</v>
      </c>
    </row>
    <row r="81" spans="1:4">
      <c r="A81" s="9" t="s">
        <v>11</v>
      </c>
      <c r="B81" s="57">
        <f>'Costos Variables'!E45</f>
        <v>35141.546609387457</v>
      </c>
      <c r="C81" s="51">
        <f t="shared" si="14"/>
        <v>23000</v>
      </c>
      <c r="D81" s="57">
        <f t="shared" si="15"/>
        <v>58141.546609387457</v>
      </c>
    </row>
    <row r="82" spans="1:4">
      <c r="A82" s="9" t="s">
        <v>12</v>
      </c>
      <c r="B82" s="57">
        <f>'Costos Variables'!E46</f>
        <v>40161.767553585654</v>
      </c>
      <c r="C82" s="51">
        <f t="shared" si="14"/>
        <v>23000</v>
      </c>
      <c r="D82" s="57">
        <f t="shared" si="15"/>
        <v>63161.767553585654</v>
      </c>
    </row>
    <row r="83" spans="1:4">
      <c r="A83" s="9" t="s">
        <v>13</v>
      </c>
      <c r="B83" s="57">
        <f>'Costos Variables'!E47</f>
        <v>45181.988497783859</v>
      </c>
      <c r="C83" s="51">
        <f t="shared" si="14"/>
        <v>23000</v>
      </c>
      <c r="D83" s="57">
        <f t="shared" si="15"/>
        <v>68181.988497783866</v>
      </c>
    </row>
    <row r="84" spans="1:4">
      <c r="A84" s="9" t="s">
        <v>14</v>
      </c>
      <c r="B84" s="57">
        <f>'Costos Variables'!E48</f>
        <v>45181.988497783859</v>
      </c>
      <c r="C84" s="51">
        <f t="shared" si="14"/>
        <v>23000</v>
      </c>
      <c r="D84" s="57">
        <f t="shared" si="15"/>
        <v>68181.988497783866</v>
      </c>
    </row>
    <row r="85" spans="1:4">
      <c r="A85" s="9" t="s">
        <v>15</v>
      </c>
      <c r="B85" s="57">
        <f>'Costos Variables'!E49</f>
        <v>45181.988497783859</v>
      </c>
      <c r="C85" s="51">
        <f t="shared" si="14"/>
        <v>23000</v>
      </c>
      <c r="D85" s="57">
        <f t="shared" si="15"/>
        <v>68181.988497783866</v>
      </c>
    </row>
    <row r="86" spans="1:4">
      <c r="A86" s="9" t="s">
        <v>16</v>
      </c>
      <c r="B86" s="57">
        <f>'Costos Variables'!E50</f>
        <v>45181.988497783859</v>
      </c>
      <c r="C86" s="51">
        <f t="shared" si="14"/>
        <v>23000</v>
      </c>
      <c r="D86" s="57">
        <f t="shared" si="15"/>
        <v>68181.988497783866</v>
      </c>
    </row>
    <row r="87" spans="1:4">
      <c r="A87" s="9" t="s">
        <v>17</v>
      </c>
      <c r="B87" s="57">
        <f>'Costos Variables'!E51</f>
        <v>50202.209441982071</v>
      </c>
      <c r="C87" s="51">
        <f t="shared" si="14"/>
        <v>23000</v>
      </c>
      <c r="D87" s="57">
        <f t="shared" si="15"/>
        <v>73202.209441982064</v>
      </c>
    </row>
    <row r="88" spans="1:4">
      <c r="A88" s="9" t="s">
        <v>18</v>
      </c>
      <c r="B88" s="57">
        <f>'Costos Variables'!E52</f>
        <v>50202.209441982071</v>
      </c>
      <c r="C88" s="51">
        <f t="shared" si="14"/>
        <v>23000</v>
      </c>
      <c r="D88" s="57">
        <f t="shared" si="15"/>
        <v>73202.209441982064</v>
      </c>
    </row>
    <row r="89" spans="1:4">
      <c r="A89" s="9" t="s">
        <v>19</v>
      </c>
      <c r="B89" s="57">
        <f>'Costos Variables'!E53</f>
        <v>50202.209441982071</v>
      </c>
      <c r="C89" s="51">
        <f t="shared" si="14"/>
        <v>23000</v>
      </c>
      <c r="D89" s="57">
        <f t="shared" si="15"/>
        <v>73202.209441982064</v>
      </c>
    </row>
    <row r="90" spans="1:4">
      <c r="A90" s="9" t="s">
        <v>5</v>
      </c>
      <c r="B90" s="8">
        <f t="shared" ref="B90" si="16">SUM(B78:B89)</f>
        <v>502022.09441982076</v>
      </c>
      <c r="C90" s="8">
        <f t="shared" ref="C90" si="17">SUM(C78:C89)</f>
        <v>276000</v>
      </c>
      <c r="D90" s="8">
        <f>SUM(D78:D89)</f>
        <v>778022.09441982082</v>
      </c>
    </row>
  </sheetData>
  <mergeCells count="6">
    <mergeCell ref="A3:F3"/>
    <mergeCell ref="A76:D76"/>
    <mergeCell ref="A12:D12"/>
    <mergeCell ref="A28:D28"/>
    <mergeCell ref="A44:D44"/>
    <mergeCell ref="A60:D6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7:P148"/>
  <sheetViews>
    <sheetView topLeftCell="A19" workbookViewId="0">
      <selection activeCell="E35" sqref="E35"/>
    </sheetView>
  </sheetViews>
  <sheetFormatPr baseColWidth="10" defaultRowHeight="15"/>
  <cols>
    <col min="1" max="1" width="14" bestFit="1" customWidth="1"/>
    <col min="2" max="2" width="12.140625" bestFit="1" customWidth="1"/>
    <col min="3" max="3" width="4.5703125" bestFit="1" customWidth="1"/>
    <col min="4" max="4" width="22.85546875" customWidth="1"/>
    <col min="5" max="5" width="10.28515625" bestFit="1" customWidth="1"/>
    <col min="6" max="10" width="10.140625" bestFit="1" customWidth="1"/>
    <col min="11" max="16" width="10.5703125" bestFit="1" customWidth="1"/>
  </cols>
  <sheetData>
    <row r="17" spans="1:16">
      <c r="A17" s="54" t="s">
        <v>129</v>
      </c>
      <c r="B17" s="54" t="s">
        <v>130</v>
      </c>
      <c r="C17" s="54" t="s">
        <v>36</v>
      </c>
    </row>
    <row r="18" spans="1:16">
      <c r="A18" s="2" t="s">
        <v>126</v>
      </c>
      <c r="B18" s="61" t="s">
        <v>128</v>
      </c>
      <c r="C18" s="62">
        <v>0.5</v>
      </c>
    </row>
    <row r="19" spans="1:16">
      <c r="A19" s="2" t="s">
        <v>127</v>
      </c>
      <c r="B19" s="2">
        <v>30</v>
      </c>
      <c r="C19" s="62">
        <v>0.3</v>
      </c>
    </row>
    <row r="20" spans="1:16">
      <c r="A20" s="2" t="s">
        <v>127</v>
      </c>
      <c r="B20" s="2">
        <v>60</v>
      </c>
      <c r="C20" s="62">
        <v>0.2</v>
      </c>
    </row>
    <row r="23" spans="1:16">
      <c r="D23" s="176" t="s">
        <v>131</v>
      </c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8"/>
    </row>
    <row r="24" spans="1:16">
      <c r="D24" s="66" t="s">
        <v>132</v>
      </c>
      <c r="E24" s="66" t="s">
        <v>133</v>
      </c>
      <c r="F24" s="66" t="s">
        <v>134</v>
      </c>
      <c r="G24" s="66" t="s">
        <v>135</v>
      </c>
      <c r="H24" s="66" t="s">
        <v>136</v>
      </c>
      <c r="I24" s="66" t="s">
        <v>137</v>
      </c>
      <c r="J24" s="66" t="s">
        <v>138</v>
      </c>
      <c r="K24" s="66" t="s">
        <v>144</v>
      </c>
      <c r="L24" s="66" t="s">
        <v>145</v>
      </c>
      <c r="M24" s="66" t="s">
        <v>146</v>
      </c>
      <c r="N24" s="66" t="s">
        <v>147</v>
      </c>
      <c r="O24" s="66" t="s">
        <v>148</v>
      </c>
      <c r="P24" s="66" t="s">
        <v>149</v>
      </c>
    </row>
    <row r="25" spans="1:16">
      <c r="D25" s="66" t="s">
        <v>139</v>
      </c>
      <c r="E25" s="69">
        <f>'Ingresos Esperados'!D5</f>
        <v>7434.3491177280002</v>
      </c>
      <c r="F25" s="69">
        <f>'Ingresos Esperados'!D6</f>
        <v>14868.698235456</v>
      </c>
      <c r="G25" s="69">
        <f>'Ingresos Esperados'!D7</f>
        <v>18585.872794319999</v>
      </c>
      <c r="H25" s="69">
        <f>'Ingresos Esperados'!D8</f>
        <v>18585.872794319999</v>
      </c>
      <c r="I25" s="69">
        <f>'Ingresos Esperados'!D9</f>
        <v>37171.745588639998</v>
      </c>
      <c r="J25" s="69">
        <f>'Ingresos Esperados'!D10</f>
        <v>37171.745588639998</v>
      </c>
      <c r="K25" s="69">
        <f>'Ingresos Esperados'!D11</f>
        <v>37171.745588639998</v>
      </c>
      <c r="L25" s="69">
        <f>'Ingresos Esperados'!D12</f>
        <v>37171.745588639998</v>
      </c>
      <c r="M25" s="69">
        <f>'Ingresos Esperados'!D13</f>
        <v>40888.920147504003</v>
      </c>
      <c r="N25" s="69">
        <f>'Ingresos Esperados'!D14</f>
        <v>40888.920147504003</v>
      </c>
      <c r="O25" s="69">
        <f>'Ingresos Esperados'!D15</f>
        <v>40888.920147504003</v>
      </c>
      <c r="P25" s="69">
        <f>'Ingresos Esperados'!D16</f>
        <v>40888.920147504003</v>
      </c>
    </row>
    <row r="26" spans="1:16">
      <c r="D26" s="66" t="s">
        <v>142</v>
      </c>
      <c r="E26" s="69">
        <f>E25*$C$18</f>
        <v>3717.1745588640001</v>
      </c>
      <c r="F26" s="69">
        <f>F25*$C$18</f>
        <v>7434.3491177280002</v>
      </c>
      <c r="G26" s="69">
        <f t="shared" ref="G26:J26" si="0">G25*$C$18</f>
        <v>9292.9363971599996</v>
      </c>
      <c r="H26" s="69">
        <f t="shared" si="0"/>
        <v>9292.9363971599996</v>
      </c>
      <c r="I26" s="69">
        <f t="shared" si="0"/>
        <v>18585.872794319999</v>
      </c>
      <c r="J26" s="69">
        <f t="shared" si="0"/>
        <v>18585.872794319999</v>
      </c>
      <c r="K26" s="69">
        <f t="shared" ref="K26" si="1">K25*$C$18</f>
        <v>18585.872794319999</v>
      </c>
      <c r="L26" s="69">
        <f t="shared" ref="L26" si="2">L25*$C$18</f>
        <v>18585.872794319999</v>
      </c>
      <c r="M26" s="69">
        <f t="shared" ref="M26" si="3">M25*$C$18</f>
        <v>20444.460073752001</v>
      </c>
      <c r="N26" s="69">
        <f t="shared" ref="N26" si="4">N25*$C$18</f>
        <v>20444.460073752001</v>
      </c>
      <c r="O26" s="69">
        <f t="shared" ref="O26" si="5">O25*$C$18</f>
        <v>20444.460073752001</v>
      </c>
      <c r="P26" s="69">
        <f>P25*$C$18</f>
        <v>20444.460073752001</v>
      </c>
    </row>
    <row r="27" spans="1:16">
      <c r="D27" s="66" t="s">
        <v>140</v>
      </c>
      <c r="E27" s="70"/>
      <c r="F27" s="69">
        <f>E25*$C$19</f>
        <v>2230.3047353184002</v>
      </c>
      <c r="G27" s="69">
        <f t="shared" ref="G27:J27" si="6">F25*$C$19</f>
        <v>4460.6094706368003</v>
      </c>
      <c r="H27" s="69">
        <f t="shared" si="6"/>
        <v>5575.761838296</v>
      </c>
      <c r="I27" s="69">
        <f t="shared" si="6"/>
        <v>5575.761838296</v>
      </c>
      <c r="J27" s="69">
        <f t="shared" si="6"/>
        <v>11151.523676592</v>
      </c>
      <c r="K27" s="69">
        <f t="shared" ref="K27:P27" si="7">J25*$C$19</f>
        <v>11151.523676592</v>
      </c>
      <c r="L27" s="69">
        <f t="shared" si="7"/>
        <v>11151.523676592</v>
      </c>
      <c r="M27" s="69">
        <f t="shared" si="7"/>
        <v>11151.523676592</v>
      </c>
      <c r="N27" s="69">
        <f t="shared" si="7"/>
        <v>12266.6760442512</v>
      </c>
      <c r="O27" s="69">
        <f t="shared" si="7"/>
        <v>12266.6760442512</v>
      </c>
      <c r="P27" s="69">
        <f t="shared" si="7"/>
        <v>12266.6760442512</v>
      </c>
    </row>
    <row r="28" spans="1:16">
      <c r="D28" s="66" t="s">
        <v>143</v>
      </c>
      <c r="E28" s="70"/>
      <c r="F28" s="70"/>
      <c r="G28" s="69">
        <f>E25*$C$20</f>
        <v>1486.8698235456002</v>
      </c>
      <c r="H28" s="69">
        <f t="shared" ref="H28:J28" si="8">F25*$C$20</f>
        <v>2973.7396470912004</v>
      </c>
      <c r="I28" s="69">
        <f t="shared" si="8"/>
        <v>3717.1745588640001</v>
      </c>
      <c r="J28" s="69">
        <f t="shared" si="8"/>
        <v>3717.1745588640001</v>
      </c>
      <c r="K28" s="69">
        <f t="shared" ref="K28:P28" si="9">I25*$C$20</f>
        <v>7434.3491177280002</v>
      </c>
      <c r="L28" s="69">
        <f t="shared" si="9"/>
        <v>7434.3491177280002</v>
      </c>
      <c r="M28" s="69">
        <f t="shared" si="9"/>
        <v>7434.3491177280002</v>
      </c>
      <c r="N28" s="69">
        <f t="shared" si="9"/>
        <v>7434.3491177280002</v>
      </c>
      <c r="O28" s="69">
        <f t="shared" si="9"/>
        <v>8177.7840295008009</v>
      </c>
      <c r="P28" s="69">
        <f t="shared" si="9"/>
        <v>8177.7840295008009</v>
      </c>
    </row>
    <row r="29" spans="1:16" ht="27">
      <c r="D29" s="67" t="s">
        <v>141</v>
      </c>
      <c r="E29" s="71">
        <f>SUM(E25:E28)</f>
        <v>11151.523676592</v>
      </c>
      <c r="F29" s="71">
        <f t="shared" ref="F29:J29" si="10">SUM(F25:F28)</f>
        <v>24533.352088502401</v>
      </c>
      <c r="G29" s="71">
        <f t="shared" si="10"/>
        <v>33826.2884856624</v>
      </c>
      <c r="H29" s="71">
        <f t="shared" si="10"/>
        <v>36428.310676867201</v>
      </c>
      <c r="I29" s="71">
        <f t="shared" si="10"/>
        <v>65050.554780119994</v>
      </c>
      <c r="J29" s="71">
        <f t="shared" si="10"/>
        <v>70626.316618416007</v>
      </c>
      <c r="K29" s="71">
        <f t="shared" ref="K29:P29" si="11">SUM(K25:K28)</f>
        <v>74343.491177279997</v>
      </c>
      <c r="L29" s="71">
        <f t="shared" si="11"/>
        <v>74343.491177279997</v>
      </c>
      <c r="M29" s="71">
        <f t="shared" si="11"/>
        <v>79919.253015576003</v>
      </c>
      <c r="N29" s="71">
        <f t="shared" si="11"/>
        <v>81034.405383235193</v>
      </c>
      <c r="O29" s="71">
        <f t="shared" si="11"/>
        <v>81777.840295008005</v>
      </c>
      <c r="P29" s="71">
        <f t="shared" si="11"/>
        <v>81777.840295008005</v>
      </c>
    </row>
    <row r="30" spans="1:16" ht="15.75">
      <c r="D30" s="39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</row>
    <row r="31" spans="1:16" ht="15.75">
      <c r="D31" s="39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</row>
    <row r="32" spans="1:16">
      <c r="D32" s="144" t="s">
        <v>154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</row>
    <row r="33" spans="4:16">
      <c r="D33" s="81" t="s">
        <v>150</v>
      </c>
      <c r="E33" s="82" t="s">
        <v>35</v>
      </c>
      <c r="F33" s="82" t="s">
        <v>9</v>
      </c>
      <c r="G33" s="82" t="s">
        <v>10</v>
      </c>
      <c r="H33" s="82" t="s">
        <v>11</v>
      </c>
      <c r="I33" s="82" t="s">
        <v>12</v>
      </c>
      <c r="J33" s="82" t="s">
        <v>13</v>
      </c>
      <c r="K33" s="82" t="s">
        <v>14</v>
      </c>
      <c r="L33" s="82" t="s">
        <v>15</v>
      </c>
      <c r="M33" s="82" t="s">
        <v>16</v>
      </c>
      <c r="N33" s="82" t="s">
        <v>17</v>
      </c>
      <c r="O33" s="82" t="s">
        <v>18</v>
      </c>
      <c r="P33" s="82" t="s">
        <v>19</v>
      </c>
    </row>
    <row r="34" spans="4:16">
      <c r="D34" s="81" t="s">
        <v>118</v>
      </c>
      <c r="E34" s="83">
        <f>E29</f>
        <v>11151.523676592</v>
      </c>
      <c r="F34" s="83">
        <f>F29</f>
        <v>24533.352088502401</v>
      </c>
      <c r="G34" s="83">
        <f t="shared" ref="G34:J34" si="12">G29</f>
        <v>33826.2884856624</v>
      </c>
      <c r="H34" s="83">
        <f t="shared" si="12"/>
        <v>36428.310676867201</v>
      </c>
      <c r="I34" s="83">
        <f t="shared" si="12"/>
        <v>65050.554780119994</v>
      </c>
      <c r="J34" s="83">
        <f t="shared" si="12"/>
        <v>70626.316618416007</v>
      </c>
      <c r="K34" s="83">
        <f t="shared" ref="K34:P34" si="13">K29</f>
        <v>74343.491177279997</v>
      </c>
      <c r="L34" s="83">
        <f t="shared" si="13"/>
        <v>74343.491177279997</v>
      </c>
      <c r="M34" s="83">
        <f t="shared" si="13"/>
        <v>79919.253015576003</v>
      </c>
      <c r="N34" s="83">
        <f t="shared" si="13"/>
        <v>81034.405383235193</v>
      </c>
      <c r="O34" s="83">
        <f t="shared" si="13"/>
        <v>81777.840295008005</v>
      </c>
      <c r="P34" s="83">
        <f t="shared" si="13"/>
        <v>81777.840295008005</v>
      </c>
    </row>
    <row r="35" spans="4:16">
      <c r="D35" s="81" t="s">
        <v>151</v>
      </c>
      <c r="E35" s="83">
        <f>'Costos totales'!D14</f>
        <v>26411.054301075201</v>
      </c>
      <c r="F35" s="83">
        <f>'Costos totales'!D15</f>
        <v>29822.108602150402</v>
      </c>
      <c r="G35" s="83">
        <f>'Costos totales'!D16</f>
        <v>31527.635752688002</v>
      </c>
      <c r="H35" s="83">
        <f>'Costos totales'!D17</f>
        <v>31527.635752688002</v>
      </c>
      <c r="I35" s="83">
        <f>'Costos totales'!D18</f>
        <v>40055.271505376004</v>
      </c>
      <c r="J35" s="83">
        <f>'Costos totales'!D19</f>
        <v>40055.271505376004</v>
      </c>
      <c r="K35" s="83">
        <f>'Costos totales'!D20</f>
        <v>40055.271505376004</v>
      </c>
      <c r="L35" s="83">
        <f>'Costos totales'!D21</f>
        <v>40055.271505376004</v>
      </c>
      <c r="M35" s="83">
        <f>'Costos totales'!D22</f>
        <v>41760.798655913604</v>
      </c>
      <c r="N35" s="83">
        <f>'Costos totales'!D23</f>
        <v>41760.798655913604</v>
      </c>
      <c r="O35" s="83">
        <f>'Costos totales'!D24</f>
        <v>41760.798655913604</v>
      </c>
      <c r="P35" s="83">
        <f>'Costos totales'!D25</f>
        <v>41760.798655913604</v>
      </c>
    </row>
    <row r="36" spans="4:16">
      <c r="D36" s="81" t="s">
        <v>152</v>
      </c>
      <c r="E36" s="83">
        <f>E34-E35</f>
        <v>-15259.530624483201</v>
      </c>
      <c r="F36" s="83">
        <f t="shared" ref="F36:J36" si="14">F34-F35</f>
        <v>-5288.7565136480007</v>
      </c>
      <c r="G36" s="83">
        <f t="shared" si="14"/>
        <v>2298.6527329743985</v>
      </c>
      <c r="H36" s="83">
        <f t="shared" si="14"/>
        <v>4900.6749241791986</v>
      </c>
      <c r="I36" s="83">
        <f t="shared" si="14"/>
        <v>24995.28327474399</v>
      </c>
      <c r="J36" s="83">
        <f t="shared" si="14"/>
        <v>30571.045113040003</v>
      </c>
      <c r="K36" s="83">
        <f t="shared" ref="K36:P36" si="15">K34-K35</f>
        <v>34288.219671903993</v>
      </c>
      <c r="L36" s="83">
        <f t="shared" si="15"/>
        <v>34288.219671903993</v>
      </c>
      <c r="M36" s="83">
        <f t="shared" si="15"/>
        <v>38158.454359662399</v>
      </c>
      <c r="N36" s="83">
        <f t="shared" si="15"/>
        <v>39273.606727321589</v>
      </c>
      <c r="O36" s="83">
        <f t="shared" si="15"/>
        <v>40017.041639094401</v>
      </c>
      <c r="P36" s="83">
        <f t="shared" si="15"/>
        <v>40017.041639094401</v>
      </c>
    </row>
    <row r="37" spans="4:16">
      <c r="D37" s="81" t="s">
        <v>153</v>
      </c>
      <c r="E37" s="83">
        <f>E36</f>
        <v>-15259.530624483201</v>
      </c>
      <c r="F37" s="83">
        <f>E37+F36</f>
        <v>-20548.2871381312</v>
      </c>
      <c r="G37" s="83">
        <f t="shared" ref="G37:J37" si="16">F37+G36</f>
        <v>-18249.634405156801</v>
      </c>
      <c r="H37" s="83">
        <f t="shared" si="16"/>
        <v>-13348.959480977603</v>
      </c>
      <c r="I37" s="83">
        <f t="shared" si="16"/>
        <v>11646.323793766387</v>
      </c>
      <c r="J37" s="83">
        <f t="shared" si="16"/>
        <v>42217.36890680639</v>
      </c>
      <c r="K37" s="83">
        <f t="shared" ref="K37:P37" si="17">J37+K36</f>
        <v>76505.588578710391</v>
      </c>
      <c r="L37" s="83">
        <f t="shared" si="17"/>
        <v>110793.80825061438</v>
      </c>
      <c r="M37" s="83">
        <f t="shared" si="17"/>
        <v>148952.26261027678</v>
      </c>
      <c r="N37" s="83">
        <f t="shared" si="17"/>
        <v>188225.86933759839</v>
      </c>
      <c r="O37" s="83">
        <f t="shared" si="17"/>
        <v>228242.9109766928</v>
      </c>
      <c r="P37" s="83">
        <f t="shared" si="17"/>
        <v>268259.95261578722</v>
      </c>
    </row>
    <row r="38" spans="4:16" ht="15.75"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</row>
    <row r="39" spans="4:16" ht="15.75"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4:16" ht="15.75"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</row>
    <row r="41" spans="4:16" ht="15.75">
      <c r="D41" s="63" t="s">
        <v>155</v>
      </c>
      <c r="E41" s="72">
        <f>MIN(E37:P37)</f>
        <v>-20548.2871381312</v>
      </c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4:16" ht="15.75"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</row>
    <row r="43" spans="4:16" ht="15.75"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</row>
    <row r="44" spans="4:16" ht="15.75"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</row>
    <row r="45" spans="4:16" ht="15.75"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4:16" ht="15.75"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</row>
    <row r="47" spans="4:16" ht="15.75"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</row>
    <row r="48" spans="4:16" ht="15.75"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</row>
    <row r="49" spans="4:16" ht="15.75"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4:16" ht="15.75"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</row>
    <row r="51" spans="4:16" ht="15.75"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</row>
    <row r="52" spans="4:16" ht="15.75"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</row>
    <row r="53" spans="4:16" ht="15.75"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</row>
    <row r="54" spans="4:16" ht="15.75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4:16" ht="15.75"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</row>
    <row r="56" spans="4:16" ht="15.75"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</row>
    <row r="57" spans="4:16" ht="15.75"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</row>
    <row r="58" spans="4:16" ht="15.75"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</row>
    <row r="59" spans="4:16" ht="15.75"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</row>
    <row r="60" spans="4:16" ht="15.75"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</row>
    <row r="61" spans="4:16" ht="15.75"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</row>
    <row r="62" spans="4:16" ht="15.75"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</row>
    <row r="63" spans="4:16" ht="15.75"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</row>
    <row r="64" spans="4:16" ht="15.75"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</row>
    <row r="65" spans="4:16" ht="15.75"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</row>
    <row r="66" spans="4:16" ht="15.75"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</row>
    <row r="67" spans="4:16" ht="15.75"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</row>
    <row r="68" spans="4:16" ht="15.75"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</row>
    <row r="69" spans="4:16" ht="15.75"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</row>
    <row r="70" spans="4:16" ht="15.75"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</row>
    <row r="71" spans="4:16" ht="15.75"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</row>
    <row r="72" spans="4:16" ht="15.75"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</row>
    <row r="73" spans="4:16" ht="15.75"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</row>
    <row r="74" spans="4:16" ht="15.75"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</row>
    <row r="75" spans="4:16" ht="15.75"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</row>
    <row r="76" spans="4:16" ht="15.75"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</row>
    <row r="77" spans="4:16" ht="15.75"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</row>
    <row r="78" spans="4:16" ht="15.75"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</row>
    <row r="79" spans="4:16" ht="15.75"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</row>
    <row r="80" spans="4:16" ht="15.75"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</row>
    <row r="81" spans="4:16" ht="15.75"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</row>
    <row r="82" spans="4:16" ht="15.75"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</row>
    <row r="83" spans="4:16" ht="15.75"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</row>
    <row r="84" spans="4:16" ht="15.75"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</row>
    <row r="85" spans="4:16" ht="15.75"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</row>
    <row r="86" spans="4:16" ht="15.75"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</row>
    <row r="87" spans="4:16" ht="15.75"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</row>
    <row r="88" spans="4:16" ht="15.75"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</row>
    <row r="89" spans="4:16" ht="15.75"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</row>
    <row r="90" spans="4:16" ht="15.75"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</row>
    <row r="91" spans="4:16" ht="15.75"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</row>
    <row r="92" spans="4:16" ht="15.75"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</row>
    <row r="93" spans="4:16" ht="15.75"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</row>
    <row r="94" spans="4:16" ht="15.75"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</row>
    <row r="95" spans="4:16" ht="15.75"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</row>
    <row r="96" spans="4:16" ht="15.75"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</row>
    <row r="97" spans="4:16" ht="15.75"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</row>
    <row r="98" spans="4:16" ht="15.75"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</row>
    <row r="99" spans="4:16" ht="15.75"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</row>
    <row r="100" spans="4:16" ht="15.75"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</row>
    <row r="101" spans="4:16" ht="15.75"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</row>
    <row r="102" spans="4:16" ht="15.75"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</row>
    <row r="103" spans="4:16" ht="15.75"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</row>
    <row r="104" spans="4:16" ht="15.75"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</row>
    <row r="105" spans="4:16" ht="15.75"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</row>
    <row r="106" spans="4:16" ht="15.75"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</row>
    <row r="107" spans="4:16" ht="15.75"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</row>
    <row r="108" spans="4:16" ht="15.75"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</row>
    <row r="109" spans="4:16" ht="15.75"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</row>
    <row r="110" spans="4:16" ht="15.75"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</row>
    <row r="111" spans="4:16" ht="15.75"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</row>
    <row r="112" spans="4:16" ht="15.75"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</row>
    <row r="113" spans="4:16" ht="15.75"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</row>
    <row r="114" spans="4:16" ht="15.75"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</row>
    <row r="115" spans="4:16" ht="15.75"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</row>
    <row r="116" spans="4:16" ht="15.75"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</row>
    <row r="117" spans="4:16" ht="15.75"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</row>
    <row r="118" spans="4:16" ht="15.75"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</row>
    <row r="119" spans="4:16" ht="15.75"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</row>
    <row r="120" spans="4:16" ht="15.75"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</row>
    <row r="121" spans="4:16" ht="15.75"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</row>
    <row r="122" spans="4:16" ht="15.75"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</row>
    <row r="123" spans="4:16" ht="15.75"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</row>
    <row r="124" spans="4:16" ht="15.75"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</row>
    <row r="125" spans="4:16" ht="15.75"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</row>
    <row r="126" spans="4:16" ht="15.75"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</row>
    <row r="127" spans="4:16" ht="15.75"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</row>
    <row r="128" spans="4:16" ht="15.75"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</row>
    <row r="129" spans="4:16" ht="15.75"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</row>
    <row r="130" spans="4:16" ht="15.75"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</row>
    <row r="131" spans="4:16" ht="15.75"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</row>
    <row r="132" spans="4:16" ht="15.75"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</row>
    <row r="133" spans="4:16" ht="15.75"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</row>
    <row r="134" spans="4:16" ht="15.75"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</row>
    <row r="135" spans="4:16" ht="15.75"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</row>
    <row r="136" spans="4:16" ht="15.75"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</row>
    <row r="137" spans="4:16" ht="15.75"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</row>
    <row r="138" spans="4:16" ht="15.75"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</row>
    <row r="139" spans="4:16" ht="15.75"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</row>
    <row r="140" spans="4:16" ht="15.75"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</row>
    <row r="141" spans="4:16" ht="15.75"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</row>
    <row r="142" spans="4:16" ht="15.75"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</row>
    <row r="143" spans="4:16" ht="15.75"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</row>
    <row r="144" spans="4:16" ht="15.75"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</row>
    <row r="145" spans="4:16" ht="15.75"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</row>
    <row r="146" spans="4:16" ht="15.75"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</row>
    <row r="147" spans="4:16" ht="15.75"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</row>
    <row r="148" spans="4:16" ht="15.75"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</row>
  </sheetData>
  <mergeCells count="2">
    <mergeCell ref="D23:P23"/>
    <mergeCell ref="D32:P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analisis de sensibilidad</vt:lpstr>
      <vt:lpstr>Demanada Esperada </vt:lpstr>
      <vt:lpstr>Flujo de caja</vt:lpstr>
      <vt:lpstr>Costos Variables</vt:lpstr>
      <vt:lpstr>Inversion y Capacidad</vt:lpstr>
      <vt:lpstr>Ingresos Esperados</vt:lpstr>
      <vt:lpstr>Costos Fijos</vt:lpstr>
      <vt:lpstr>Costos totales</vt:lpstr>
      <vt:lpstr>Capital de Trabajo</vt:lpstr>
      <vt:lpstr>Valor de Desecho</vt:lpstr>
    </vt:vector>
  </TitlesOfParts>
  <Company>CASA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Anibal Vasquez</dc:creator>
  <cp:lastModifiedBy>Anibal Vasquez</cp:lastModifiedBy>
  <cp:lastPrinted>2010-02-13T18:34:26Z</cp:lastPrinted>
  <dcterms:created xsi:type="dcterms:W3CDTF">2010-02-12T07:47:56Z</dcterms:created>
  <dcterms:modified xsi:type="dcterms:W3CDTF">2010-03-01T07:28:17Z</dcterms:modified>
</cp:coreProperties>
</file>