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35" windowHeight="5580" firstSheet="8" activeTab="10"/>
  </bookViews>
  <sheets>
    <sheet name="VENTAS" sheetId="1" r:id="rId1"/>
    <sheet name="TOTAL GASTOS DE VENTAS" sheetId="2" r:id="rId2"/>
    <sheet name="COMPRAS" sheetId="3" r:id="rId3"/>
    <sheet name="PRESUPUESTO FINANCIERO" sheetId="4" r:id="rId4"/>
    <sheet name="COSTO MAT. Y M.O" sheetId="5" r:id="rId5"/>
    <sheet name="Hoja1" sheetId="6" r:id="rId6"/>
    <sheet name="BALANCE" sheetId="7" r:id="rId7"/>
    <sheet name="ESTADO DE PERDIDAS Y GANANCIAS" sheetId="8" r:id="rId8"/>
    <sheet name="GASTOS ADMINISTRATIVOS" sheetId="9" r:id="rId9"/>
    <sheet name="VAN Y TIR" sheetId="10" r:id="rId10"/>
    <sheet name="PUNTO DE EQUILIBRIO" sheetId="11" r:id="rId11"/>
    <sheet name="Hoja2" sheetId="12" r:id="rId12"/>
  </sheets>
  <definedNames/>
  <calcPr fullCalcOnLoad="1"/>
</workbook>
</file>

<file path=xl/sharedStrings.xml><?xml version="1.0" encoding="utf-8"?>
<sst xmlns="http://schemas.openxmlformats.org/spreadsheetml/2006/main" count="540" uniqueCount="322">
  <si>
    <t>COSTO  DE MATERIALES</t>
  </si>
  <si>
    <t>GABARDINA LYCRA</t>
  </si>
  <si>
    <t>UNIDAD</t>
  </si>
  <si>
    <t>ROLLO</t>
  </si>
  <si>
    <t>50 MTS</t>
  </si>
  <si>
    <t>GABARDINA SATINADA</t>
  </si>
  <si>
    <t>120MTS</t>
  </si>
  <si>
    <t>FUENTE: EL BARATA (NACIONAL)</t>
  </si>
  <si>
    <t>FUENTE OCHOATEX (PANAMEÑA)</t>
  </si>
  <si>
    <t>GABARDINA  SUPERNAVAL</t>
  </si>
  <si>
    <t>c/mt</t>
  </si>
  <si>
    <t>120 MTS</t>
  </si>
  <si>
    <t>FUENTE: BURDA(AMERICANA)</t>
  </si>
  <si>
    <t>30MTS</t>
  </si>
  <si>
    <t>GABARDINA  DOCKER</t>
  </si>
  <si>
    <t>30MST</t>
  </si>
  <si>
    <t>COORDINADOR DEL PROYECTO</t>
  </si>
  <si>
    <t>SUELDO MENSUAL</t>
  </si>
  <si>
    <t>ANUAL</t>
  </si>
  <si>
    <t>DECIMO TERCERO</t>
  </si>
  <si>
    <t>DECIMO CUARTO</t>
  </si>
  <si>
    <t>APORTE PATRONAL</t>
  </si>
  <si>
    <t>IMPUESTOS SECAP/IECE</t>
  </si>
  <si>
    <t>PERSONAL  ADMINISTRATIVO</t>
  </si>
  <si>
    <t>MAQUINARIA</t>
  </si>
  <si>
    <t>MAQUINA  INDUSTRIAL  COSTURA RECTA  BROTHER</t>
  </si>
  <si>
    <t>MAQUINA INDUSTRIAL RECTA ZICK ZACK</t>
  </si>
  <si>
    <t>MAQUINA INDUSTRIAL  OVERLOCK 5 HILLOS</t>
  </si>
  <si>
    <t>MAQUINA  ATRACADORA</t>
  </si>
  <si>
    <t>MAQUINA PRETINADORA</t>
  </si>
  <si>
    <t>MAQUINA CORTADORA DE TELAS 5 PULGADAS</t>
  </si>
  <si>
    <t>DEPRECIACION</t>
  </si>
  <si>
    <t>PELLON</t>
  </si>
  <si>
    <t>100MTS</t>
  </si>
  <si>
    <t>UN PANTALON</t>
  </si>
  <si>
    <t>TELA</t>
  </si>
  <si>
    <t>HILO</t>
  </si>
  <si>
    <t>5000 YARDAS</t>
  </si>
  <si>
    <t>PRECIO</t>
  </si>
  <si>
    <t>CIERRE</t>
  </si>
  <si>
    <t>1,5 MTS</t>
  </si>
  <si>
    <t>MANO DE OBRA DIRECTA</t>
  </si>
  <si>
    <t>CALIFICADOS</t>
  </si>
  <si>
    <t>SUELDO ANUAL</t>
  </si>
  <si>
    <t>APORTE PATRONAL 11,15%</t>
  </si>
  <si>
    <t>IECE/SECAP 1%</t>
  </si>
  <si>
    <t>UN  OBRERO CALIFICADO</t>
  </si>
  <si>
    <t xml:space="preserve">              </t>
  </si>
  <si>
    <t>PRODUCCION  ANUAL</t>
  </si>
  <si>
    <t>MENSUAL</t>
  </si>
  <si>
    <t>COSTO DE MANO OBRA DIRECTA</t>
  </si>
  <si>
    <t>COSTO DE MANO DE OBRA INDIRECTA</t>
  </si>
  <si>
    <t>GASTOS DE ENERGIA ELECTRICA</t>
  </si>
  <si>
    <t>ENERGIA ELECTRICA(KW)</t>
  </si>
  <si>
    <t>CANTIDAD</t>
  </si>
  <si>
    <t>VALOR UNITARIO</t>
  </si>
  <si>
    <t>VALOR TOTAL</t>
  </si>
  <si>
    <t>GASTOS ADMINISTRATIVOS</t>
  </si>
  <si>
    <t>MANO DE OBRA INDIRECTA</t>
  </si>
  <si>
    <t>DENOMINACION</t>
  </si>
  <si>
    <t>SUPERVISOR DE PRODUCCION</t>
  </si>
  <si>
    <t>DEPRECIACION DE MAQUINARIA</t>
  </si>
  <si>
    <t>COSTO DE MATERIALES</t>
  </si>
  <si>
    <t>COSTO PRIMO</t>
  </si>
  <si>
    <t>COSTOS INDIRECTOS DE FABRICACION</t>
  </si>
  <si>
    <t>PRECIO DE</t>
  </si>
  <si>
    <t>VENTAS ANUAL</t>
  </si>
  <si>
    <t>VENTA MENSUAL</t>
  </si>
  <si>
    <t>COMISION DE VENTAS</t>
  </si>
  <si>
    <t>AÑO 1</t>
  </si>
  <si>
    <t>AÑO2</t>
  </si>
  <si>
    <t>AÑO3</t>
  </si>
  <si>
    <t>COMISION</t>
  </si>
  <si>
    <t>DECMO CUARTO</t>
  </si>
  <si>
    <t xml:space="preserve">VENDEDOR </t>
  </si>
  <si>
    <t>VENDEDORES</t>
  </si>
  <si>
    <t>TOTAL  GASTOS  DE VENTAS</t>
  </si>
  <si>
    <t>SUELDOS  DE  VENDEDORES</t>
  </si>
  <si>
    <t>TOTAL  GASTOS  ADMINISTRATIVOS</t>
  </si>
  <si>
    <t>SEGUROS DE MAQUINARIA</t>
  </si>
  <si>
    <t>1ER AÑO</t>
  </si>
  <si>
    <t>REPARACION Y MANTENIMIENTO</t>
  </si>
  <si>
    <t>REPRACION Y MANTENIMIENTO</t>
  </si>
  <si>
    <t>TOTAL</t>
  </si>
  <si>
    <t>TOTAL COSTOS DE PRODUCCION</t>
  </si>
  <si>
    <t>COSTO DE PRODUCCION UNITARIO</t>
  </si>
  <si>
    <t>TRES BOTONES</t>
  </si>
  <si>
    <t>0,25 MTS</t>
  </si>
  <si>
    <t>UN OPERARIO</t>
  </si>
  <si>
    <t>COSTO TOTAL DE UNIDADES  PRODUCIDAS</t>
  </si>
  <si>
    <t>COSTO TOTAL</t>
  </si>
  <si>
    <t>2DO AÑO</t>
  </si>
  <si>
    <t>COSTO UNITARIO PANTALON</t>
  </si>
  <si>
    <t>UNIDADES</t>
  </si>
  <si>
    <t>GASTOS DE ADMINISTRACION</t>
  </si>
  <si>
    <t>VENTAS AL CONTADO</t>
  </si>
  <si>
    <t>VENTAS A CREDITO</t>
  </si>
  <si>
    <t>TOTAL INGRESOS</t>
  </si>
  <si>
    <t>EGRESOS</t>
  </si>
  <si>
    <t>MATERIA PRIMA</t>
  </si>
  <si>
    <t>GASTOS DE  VENTAS</t>
  </si>
  <si>
    <t>3ER AÑO</t>
  </si>
  <si>
    <t>4TO AÑO</t>
  </si>
  <si>
    <t>5TO AÑO</t>
  </si>
  <si>
    <t>6TO AÑO</t>
  </si>
  <si>
    <t>7MO AÑO</t>
  </si>
  <si>
    <t>9AÑO</t>
  </si>
  <si>
    <t xml:space="preserve">1ER AÑO </t>
  </si>
  <si>
    <t>675 UNIDADES MENSUALES</t>
  </si>
  <si>
    <t>GABARDINA</t>
  </si>
  <si>
    <t>9 ROLLOS</t>
  </si>
  <si>
    <t>169MTS</t>
  </si>
  <si>
    <t>CIERRES</t>
  </si>
  <si>
    <t>BOTONES</t>
  </si>
  <si>
    <t>SEVILLANA</t>
  </si>
  <si>
    <t>MACOSER</t>
  </si>
  <si>
    <t>10000 YARDAS</t>
  </si>
  <si>
    <t>333 YARDAS</t>
  </si>
  <si>
    <t xml:space="preserve">HILO </t>
  </si>
  <si>
    <t>333MTS</t>
  </si>
  <si>
    <t>COMPRAS</t>
  </si>
  <si>
    <t>MENSUALES</t>
  </si>
  <si>
    <t>ANULAES</t>
  </si>
  <si>
    <t>10AÑO</t>
  </si>
  <si>
    <t>TOTAL EGRESOS</t>
  </si>
  <si>
    <t>SALDO FINAL</t>
  </si>
  <si>
    <t>FLUJO NETO</t>
  </si>
  <si>
    <t>SALDO INICIAL</t>
  </si>
  <si>
    <t>VENTAS</t>
  </si>
  <si>
    <t>ESTADO DE PERDIDAS Y GANANCIAS</t>
  </si>
  <si>
    <t>COSTO DE VENTAS</t>
  </si>
  <si>
    <t>UTILIDAD BRUTA  EN  VENTAS</t>
  </si>
  <si>
    <t>GASTOS DE VENTAS</t>
  </si>
  <si>
    <t>UTILIDAD  OPERACIONAL</t>
  </si>
  <si>
    <t>15% PARTICIPACION DE TRABAJADORES</t>
  </si>
  <si>
    <t>UTILIDAD ANTES DE IMPUESTOS</t>
  </si>
  <si>
    <t>25% IMPUESTO A LA RENTA</t>
  </si>
  <si>
    <t>10% RESERVA LEGAL</t>
  </si>
  <si>
    <t>UTILIDAD DEL EJERCICIO</t>
  </si>
  <si>
    <t>PARTICIPACION DE TRABAJADORES</t>
  </si>
  <si>
    <t>RESERVA LEGAL</t>
  </si>
  <si>
    <t>IMPUESTO A LA RENTA</t>
  </si>
  <si>
    <t>ACTIVO  CORRIENTE</t>
  </si>
  <si>
    <t>CAJA</t>
  </si>
  <si>
    <t>ACTIVO  FIJO</t>
  </si>
  <si>
    <t>MAQUINAS</t>
  </si>
  <si>
    <t>PASIVO CORRIENTE</t>
  </si>
  <si>
    <t>PATRIMONIO</t>
  </si>
  <si>
    <t>CAPITAL</t>
  </si>
  <si>
    <t>TOTAL DEL ACTIVO</t>
  </si>
  <si>
    <t>PART.TRABAJADORES</t>
  </si>
  <si>
    <t>IMP.  RENTA POR PAGAR</t>
  </si>
  <si>
    <t>DEP.ACUM.</t>
  </si>
  <si>
    <t>TOTAL PASIVO CORRIENTE</t>
  </si>
  <si>
    <t>TOTAL PASIVO Y PATRIMONIO</t>
  </si>
  <si>
    <t>AÑO 2</t>
  </si>
  <si>
    <t>UTILIDAD DESPUES DE IMPUESTOS</t>
  </si>
  <si>
    <t>UTILIDAD DE EJERCICIOS ANTERIORES</t>
  </si>
  <si>
    <t>2AÑO</t>
  </si>
  <si>
    <t>3ERAÑO</t>
  </si>
  <si>
    <t>PAGO DE INVERSIONES</t>
  </si>
  <si>
    <t>GASTOS DE  FABRIC ACION</t>
  </si>
  <si>
    <t>(+) DEPRECIACION</t>
  </si>
  <si>
    <t>FLUJO DE EFECTIVO GENERADO</t>
  </si>
  <si>
    <t>AÑO 4</t>
  </si>
  <si>
    <t>AÑO5</t>
  </si>
  <si>
    <t>AÑ01</t>
  </si>
  <si>
    <t>AÑO6</t>
  </si>
  <si>
    <t>AÑO 7</t>
  </si>
  <si>
    <t>AÑO 8</t>
  </si>
  <si>
    <t>8AÑO</t>
  </si>
  <si>
    <t>AÑO9</t>
  </si>
  <si>
    <t>AÑO10</t>
  </si>
  <si>
    <t>AÑO1</t>
  </si>
  <si>
    <t>AÑO4</t>
  </si>
  <si>
    <t>AÑO7</t>
  </si>
  <si>
    <t>AÑO8</t>
  </si>
  <si>
    <t>rm= tasa de rentabilidad del mercado textil</t>
  </si>
  <si>
    <t>rp= riesgo país ver</t>
  </si>
  <si>
    <t>rp=</t>
  </si>
  <si>
    <t>B= sensibilidad del mercado textil(riesgo de la industria textil)</t>
  </si>
  <si>
    <t>rf= tasa de libre riego Tasa de Bono USA a 10 años</t>
  </si>
  <si>
    <t xml:space="preserve">Rf  = </t>
  </si>
  <si>
    <t>Tasa Libre de riesgo</t>
  </si>
  <si>
    <t>Ke ó ERi =     Rf  +  Be (ERm - Rf)</t>
  </si>
  <si>
    <t xml:space="preserve">Be =  </t>
  </si>
  <si>
    <t>Riesgo de la industria</t>
  </si>
  <si>
    <t>ERm =</t>
  </si>
  <si>
    <t>Rendimiento esperado</t>
  </si>
  <si>
    <t>INVERSION INICIAL</t>
  </si>
  <si>
    <t>GASTOS DE PUESTA EN MARCHA</t>
  </si>
  <si>
    <t>CAPITAL DE OPERACIÓN</t>
  </si>
  <si>
    <t>( Tasa pasiva referencial+ màs riesgo pais)</t>
  </si>
  <si>
    <t>tasa pasiva referencial Bonos del Tesoro de los Esados Unidos a 10 años es de 2,92%</t>
  </si>
  <si>
    <t>RF</t>
  </si>
  <si>
    <t>Bonos Usa=</t>
  </si>
  <si>
    <t>RF=</t>
  </si>
  <si>
    <t>Erm=</t>
  </si>
  <si>
    <t>BE=</t>
  </si>
  <si>
    <t xml:space="preserve">Ke ó ERi =     </t>
  </si>
  <si>
    <t>AÑO 0</t>
  </si>
  <si>
    <t>VAFE</t>
  </si>
  <si>
    <t>VALIN</t>
  </si>
  <si>
    <t>VAN</t>
  </si>
  <si>
    <t>TIR</t>
  </si>
  <si>
    <t>AMORTIZACION</t>
  </si>
  <si>
    <t>(+) AMORTIZACION</t>
  </si>
  <si>
    <t>INVERSION DE ACTIVOS FIJOS</t>
  </si>
  <si>
    <t>CAPITAL DE TRABAJO UN MES</t>
  </si>
  <si>
    <t>TOTAL INVERSION</t>
  </si>
  <si>
    <t>5% SOBRE TOTAL INVERSION</t>
  </si>
  <si>
    <t>AMORTIZACION ANUAL 20%</t>
  </si>
  <si>
    <t>AMORTIZACION DE INTANGIBLES</t>
  </si>
  <si>
    <t>ACTIVOS INTANGIBLES</t>
  </si>
  <si>
    <t>AMORTIZACION DE PUESTA EN MARCHA</t>
  </si>
  <si>
    <t>ACTIVO  DEPRECIABLE</t>
  </si>
  <si>
    <t>5TOAÑO</t>
  </si>
  <si>
    <t xml:space="preserve">3ERAÑO </t>
  </si>
  <si>
    <t>4TOAÑO</t>
  </si>
  <si>
    <t>CALCULO DEL PUNTO DE   EQUILIBRIO</t>
  </si>
  <si>
    <t>DESCRIPCION</t>
  </si>
  <si>
    <t>COSTO FIJO</t>
  </si>
  <si>
    <t>COSTO VARIABLE</t>
  </si>
  <si>
    <t>MATERIALES DIRECTOS</t>
  </si>
  <si>
    <t>SEGUROS</t>
  </si>
  <si>
    <t>M.O.D</t>
  </si>
  <si>
    <t>MATERIALES</t>
  </si>
  <si>
    <t>M.O.IND.</t>
  </si>
  <si>
    <t>MANTENIMIENTO</t>
  </si>
  <si>
    <t>ENERGIA ELECTRICA</t>
  </si>
  <si>
    <t>GASTOS ADMI.</t>
  </si>
  <si>
    <t>M.O.I.</t>
  </si>
  <si>
    <t>G.ADM.</t>
  </si>
  <si>
    <t>E.E.</t>
  </si>
  <si>
    <t>MANT.</t>
  </si>
  <si>
    <t>GTOS VENTAS</t>
  </si>
  <si>
    <t>INDICE DE RENTABILIDAD</t>
  </si>
  <si>
    <t xml:space="preserve">6TO AÑO EN </t>
  </si>
  <si>
    <t>ADELANTE</t>
  </si>
  <si>
    <t>INVERSION  ACTIVO FIJO</t>
  </si>
  <si>
    <r>
      <t xml:space="preserve">1        </t>
    </r>
    <r>
      <rPr>
        <u val="single"/>
        <sz val="11"/>
        <color indexed="8"/>
        <rFont val="Calibri"/>
        <family val="2"/>
      </rPr>
      <t>-CV</t>
    </r>
  </si>
  <si>
    <t>REEMPLAZANDO</t>
  </si>
  <si>
    <t>CV</t>
  </si>
  <si>
    <t>CV/V=</t>
  </si>
  <si>
    <t>P.E=</t>
  </si>
  <si>
    <t>COSTOS VARIABLES=</t>
  </si>
  <si>
    <t>VENTAS=</t>
  </si>
  <si>
    <t>COSTOS VARIABLES+COSTOS FIJOS+UTILIDAD</t>
  </si>
  <si>
    <t>15X</t>
  </si>
  <si>
    <t>X=</t>
  </si>
  <si>
    <t>TENEMOS</t>
  </si>
  <si>
    <t>0,6021</t>
  </si>
  <si>
    <t>RESOLVIENDO</t>
  </si>
  <si>
    <t>PUNTO DE  EQUILIBRIO=</t>
  </si>
  <si>
    <t xml:space="preserve">        V</t>
  </si>
  <si>
    <t>COSTO VARIABLE-X</t>
  </si>
  <si>
    <t>UNIDADES  PRODUCIDAS</t>
  </si>
  <si>
    <t>VALOR</t>
  </si>
  <si>
    <t>#OPERARIOS</t>
  </si>
  <si>
    <t>NO CALIFICADOS</t>
  </si>
  <si>
    <t xml:space="preserve">DEPRECIACION  </t>
  </si>
  <si>
    <t>COSTOS  ENERGIA ELECTRICA</t>
  </si>
  <si>
    <t xml:space="preserve">PRESUPUESTO  DE COSTOS  DE  ARTICULOS </t>
  </si>
  <si>
    <t xml:space="preserve"> 6TO AÑO EN ADELANTE</t>
  </si>
  <si>
    <t>S. MENSUAL</t>
  </si>
  <si>
    <t>3ER AÑO EN ADELANTE</t>
  </si>
  <si>
    <t>TOTALES</t>
  </si>
  <si>
    <t>TERCER  EN  ADELANTE</t>
  </si>
  <si>
    <t>GASTOS  DE  VENTAS</t>
  </si>
  <si>
    <t>GASTOS DE PUBLICIDAD</t>
  </si>
  <si>
    <t>EMISORA RADIAL</t>
  </si>
  <si>
    <t>MATERIALES INDIRECTOS</t>
  </si>
  <si>
    <t>C.UNITARIO</t>
  </si>
  <si>
    <t>ETIQUETAS-1ER AÑO</t>
  </si>
  <si>
    <t>ETIQUETAS-2DO AÑO</t>
  </si>
  <si>
    <t>ETIQUETAS-3ER AÑO</t>
  </si>
  <si>
    <t>DIVIDENDOS</t>
  </si>
  <si>
    <t>HOJAS VOLANTES</t>
  </si>
  <si>
    <t>2DOAÑO</t>
  </si>
  <si>
    <t>PERSONAL DE VENTAS</t>
  </si>
  <si>
    <t>TOTAL  2DO AÑO</t>
  </si>
  <si>
    <t>TOTAL  1ERAÑO</t>
  </si>
  <si>
    <t>TOTAL  3ER AÑO</t>
  </si>
  <si>
    <t>AÑO</t>
  </si>
  <si>
    <t>VENTA POR UNIDAD</t>
  </si>
  <si>
    <t xml:space="preserve">VENTAS  ESTIMADAS </t>
  </si>
  <si>
    <t>EN UNIDADES</t>
  </si>
  <si>
    <t>BALANCE  GENERAL  PROYECTADO</t>
  </si>
  <si>
    <t>S. ANUAL</t>
  </si>
  <si>
    <t>Primer año</t>
  </si>
  <si>
    <t>Costo Unitario US$</t>
  </si>
  <si>
    <t>Cantidad/ Frecuencia Mensual</t>
  </si>
  <si>
    <t>Cantidad/ Frecuencia Anual</t>
  </si>
  <si>
    <t>Gasto US$</t>
  </si>
  <si>
    <t>Mensual</t>
  </si>
  <si>
    <t>Anual</t>
  </si>
  <si>
    <t>DÍPTICOS</t>
  </si>
  <si>
    <t>INSERTO EN REVISTAS</t>
  </si>
  <si>
    <t>PUBLICACIONES EN PRENSA</t>
  </si>
  <si>
    <t>2 veces</t>
  </si>
  <si>
    <t>$7,00x cuña de 20 seg</t>
  </si>
  <si>
    <t>4 veces al día por 5 días durante  4 semanas al mes</t>
  </si>
  <si>
    <t>por 5 meses</t>
  </si>
  <si>
    <t>TOTAL PRIMER AÑO</t>
  </si>
  <si>
    <t>Segundo año</t>
  </si>
  <si>
    <t>4 veces al día por 4 días durante  4 semanas al mes.</t>
  </si>
  <si>
    <t>TOTAL  SEGUNDO AÑO</t>
  </si>
  <si>
    <t>Tercer año</t>
  </si>
  <si>
    <t>5 veces al día por 4 días durante  4 semanas al mes</t>
  </si>
  <si>
    <t>TOTAL  TERCER AÑO</t>
  </si>
  <si>
    <t>4 veces</t>
  </si>
  <si>
    <t>PRESUPUESTO FINANCIERO</t>
  </si>
  <si>
    <t>VENTAS ESTIMADAS</t>
  </si>
  <si>
    <t>EN DÓLARES</t>
  </si>
  <si>
    <t>ANNUAL</t>
  </si>
  <si>
    <t>1-0,4029</t>
  </si>
  <si>
    <t>15X=6.0438X+60677.88+2218</t>
  </si>
  <si>
    <t>15X-6.0438X=62895.88</t>
  </si>
  <si>
    <t>8.956X=62895.88</t>
  </si>
  <si>
    <t>X=62895.88/8.956</t>
  </si>
  <si>
    <t>X=7022.61 UNIDADES</t>
  </si>
  <si>
    <t>X=7023 UNIDADES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</si>
</sst>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.00_);[Red]\(&quot;$&quot;#,##0.00\)"/>
    <numFmt numFmtId="165" formatCode="0.000"/>
    <numFmt numFmtId="166" formatCode="0.0"/>
    <numFmt numFmtId="167" formatCode="&quot;$&quot;\ #,##0.00"/>
    <numFmt numFmtId="168" formatCode="0.0000"/>
    <numFmt numFmtId="169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6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6" fillId="0" borderId="16" xfId="0" applyFont="1" applyBorder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7" fillId="0" borderId="18" xfId="0" applyFont="1" applyBorder="1" applyAlignment="1">
      <alignment/>
    </xf>
    <xf numFmtId="0" fontId="47" fillId="0" borderId="18" xfId="0" applyFont="1" applyFill="1" applyBorder="1" applyAlignment="1">
      <alignment/>
    </xf>
    <xf numFmtId="8" fontId="47" fillId="0" borderId="18" xfId="0" applyNumberFormat="1" applyFont="1" applyBorder="1" applyAlignment="1">
      <alignment/>
    </xf>
    <xf numFmtId="8" fontId="48" fillId="0" borderId="18" xfId="0" applyNumberFormat="1" applyFont="1" applyBorder="1" applyAlignment="1">
      <alignment/>
    </xf>
    <xf numFmtId="4" fontId="47" fillId="0" borderId="18" xfId="0" applyNumberFormat="1" applyFont="1" applyBorder="1" applyAlignment="1">
      <alignment/>
    </xf>
    <xf numFmtId="4" fontId="48" fillId="0" borderId="18" xfId="0" applyNumberFormat="1" applyFont="1" applyBorder="1" applyAlignment="1">
      <alignment/>
    </xf>
    <xf numFmtId="2" fontId="47" fillId="0" borderId="18" xfId="0" applyNumberFormat="1" applyFont="1" applyBorder="1" applyAlignment="1">
      <alignment/>
    </xf>
    <xf numFmtId="0" fontId="6" fillId="0" borderId="0" xfId="52" applyBorder="1">
      <alignment/>
      <protection/>
    </xf>
    <xf numFmtId="0" fontId="6" fillId="0" borderId="0" xfId="52" applyFont="1">
      <alignment/>
      <protection/>
    </xf>
    <xf numFmtId="0" fontId="6" fillId="0" borderId="0" xfId="52">
      <alignment/>
      <protection/>
    </xf>
    <xf numFmtId="0" fontId="7" fillId="0" borderId="0" xfId="51" applyFont="1" applyBorder="1">
      <alignment/>
      <protection/>
    </xf>
    <xf numFmtId="0" fontId="8" fillId="0" borderId="0" xfId="51" applyFont="1" applyBorder="1">
      <alignment/>
      <protection/>
    </xf>
    <xf numFmtId="0" fontId="6" fillId="0" borderId="0" xfId="51" applyFont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0" fontId="0" fillId="0" borderId="0" xfId="0" applyNumberFormat="1" applyAlignment="1">
      <alignment/>
    </xf>
    <xf numFmtId="8" fontId="0" fillId="0" borderId="16" xfId="0" applyNumberFormat="1" applyBorder="1" applyAlignment="1">
      <alignment/>
    </xf>
    <xf numFmtId="8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4" fontId="0" fillId="0" borderId="18" xfId="0" applyNumberFormat="1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8" xfId="0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18" xfId="0" applyFill="1" applyBorder="1" applyAlignment="1">
      <alignment/>
    </xf>
    <xf numFmtId="0" fontId="49" fillId="0" borderId="0" xfId="0" applyFont="1" applyAlignment="1">
      <alignment/>
    </xf>
    <xf numFmtId="8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46" fillId="0" borderId="19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0" xfId="0" applyFont="1" applyBorder="1" applyAlignment="1">
      <alignment/>
    </xf>
    <xf numFmtId="8" fontId="0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/>
    </xf>
    <xf numFmtId="2" fontId="0" fillId="0" borderId="2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right" vertical="center"/>
    </xf>
    <xf numFmtId="169" fontId="0" fillId="0" borderId="20" xfId="0" applyNumberFormat="1" applyBorder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9"/>
    </xf>
    <xf numFmtId="2" fontId="0" fillId="0" borderId="18" xfId="0" applyNumberFormat="1" applyFill="1" applyBorder="1" applyAlignment="1">
      <alignment/>
    </xf>
    <xf numFmtId="165" fontId="0" fillId="0" borderId="18" xfId="0" applyNumberFormat="1" applyBorder="1" applyAlignment="1">
      <alignment/>
    </xf>
    <xf numFmtId="0" fontId="46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0" fontId="46" fillId="0" borderId="0" xfId="0" applyFont="1" applyAlignment="1">
      <alignment horizontal="center"/>
    </xf>
    <xf numFmtId="166" fontId="0" fillId="0" borderId="18" xfId="0" applyNumberFormat="1" applyBorder="1" applyAlignment="1">
      <alignment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8" xfId="0" applyFont="1" applyFill="1" applyBorder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8" fontId="0" fillId="0" borderId="24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6" fillId="0" borderId="21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4" fontId="3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5" fillId="0" borderId="0" xfId="0" applyNumberFormat="1" applyFont="1" applyAlignment="1">
      <alignment/>
    </xf>
    <xf numFmtId="0" fontId="46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/>
    </xf>
    <xf numFmtId="0" fontId="0" fillId="15" borderId="19" xfId="0" applyFill="1" applyBorder="1" applyAlignment="1">
      <alignment/>
    </xf>
    <xf numFmtId="0" fontId="0" fillId="15" borderId="20" xfId="0" applyFill="1" applyBorder="1" applyAlignment="1">
      <alignment/>
    </xf>
    <xf numFmtId="0" fontId="9" fillId="15" borderId="20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0" fillId="3" borderId="12" xfId="0" applyFill="1" applyBorder="1" applyAlignment="1">
      <alignment/>
    </xf>
    <xf numFmtId="4" fontId="0" fillId="3" borderId="20" xfId="0" applyNumberFormat="1" applyFont="1" applyFill="1" applyBorder="1" applyAlignment="1">
      <alignment/>
    </xf>
    <xf numFmtId="4" fontId="0" fillId="3" borderId="18" xfId="0" applyNumberFormat="1" applyFont="1" applyFill="1" applyBorder="1" applyAlignment="1">
      <alignment/>
    </xf>
    <xf numFmtId="0" fontId="0" fillId="3" borderId="20" xfId="0" applyFill="1" applyBorder="1" applyAlignment="1">
      <alignment/>
    </xf>
    <xf numFmtId="0" fontId="2" fillId="15" borderId="19" xfId="0" applyFont="1" applyFill="1" applyBorder="1" applyAlignment="1">
      <alignment/>
    </xf>
    <xf numFmtId="0" fontId="0" fillId="15" borderId="12" xfId="0" applyFill="1" applyBorder="1" applyAlignment="1">
      <alignment/>
    </xf>
    <xf numFmtId="4" fontId="0" fillId="15" borderId="20" xfId="0" applyNumberFormat="1" applyFont="1" applyFill="1" applyBorder="1" applyAlignment="1">
      <alignment/>
    </xf>
    <xf numFmtId="4" fontId="0" fillId="15" borderId="18" xfId="0" applyNumberFormat="1" applyFont="1" applyFill="1" applyBorder="1" applyAlignment="1">
      <alignment/>
    </xf>
    <xf numFmtId="9" fontId="15" fillId="0" borderId="0" xfId="54" applyFont="1" applyAlignment="1">
      <alignment/>
    </xf>
    <xf numFmtId="0" fontId="2" fillId="15" borderId="18" xfId="0" applyFont="1" applyFill="1" applyBorder="1" applyAlignment="1">
      <alignment horizontal="center"/>
    </xf>
    <xf numFmtId="0" fontId="2" fillId="15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8" fontId="0" fillId="0" borderId="19" xfId="0" applyNumberFormat="1" applyBorder="1" applyAlignment="1">
      <alignment/>
    </xf>
    <xf numFmtId="0" fontId="5" fillId="33" borderId="23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8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8" fontId="0" fillId="0" borderId="18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2" fillId="34" borderId="19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8" fontId="4" fillId="0" borderId="24" xfId="0" applyNumberFormat="1" applyFont="1" applyBorder="1" applyAlignment="1">
      <alignment/>
    </xf>
    <xf numFmtId="8" fontId="5" fillId="0" borderId="24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4" fillId="0" borderId="21" xfId="0" applyFont="1" applyBorder="1" applyAlignment="1">
      <alignment/>
    </xf>
    <xf numFmtId="8" fontId="4" fillId="0" borderId="21" xfId="0" applyNumberFormat="1" applyFont="1" applyBorder="1" applyAlignment="1">
      <alignment/>
    </xf>
    <xf numFmtId="0" fontId="12" fillId="35" borderId="19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8" fontId="5" fillId="35" borderId="18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8" fontId="4" fillId="0" borderId="18" xfId="0" applyNumberFormat="1" applyFont="1" applyBorder="1" applyAlignment="1">
      <alignment/>
    </xf>
    <xf numFmtId="164" fontId="5" fillId="35" borderId="18" xfId="0" applyNumberFormat="1" applyFont="1" applyFill="1" applyBorder="1" applyAlignment="1">
      <alignment/>
    </xf>
    <xf numFmtId="8" fontId="4" fillId="34" borderId="18" xfId="0" applyNumberFormat="1" applyFont="1" applyFill="1" applyBorder="1" applyAlignment="1">
      <alignment/>
    </xf>
    <xf numFmtId="8" fontId="5" fillId="34" borderId="18" xfId="0" applyNumberFormat="1" applyFont="1" applyFill="1" applyBorder="1" applyAlignment="1">
      <alignment/>
    </xf>
    <xf numFmtId="4" fontId="4" fillId="34" borderId="18" xfId="0" applyNumberFormat="1" applyFont="1" applyFill="1" applyBorder="1" applyAlignment="1">
      <alignment/>
    </xf>
    <xf numFmtId="4" fontId="4" fillId="35" borderId="18" xfId="0" applyNumberFormat="1" applyFont="1" applyFill="1" applyBorder="1" applyAlignment="1">
      <alignment/>
    </xf>
    <xf numFmtId="8" fontId="48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15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8" fontId="17" fillId="0" borderId="18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SHEE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A2" sqref="A2:H30"/>
    </sheetView>
  </sheetViews>
  <sheetFormatPr defaultColWidth="11.421875" defaultRowHeight="15"/>
  <cols>
    <col min="1" max="1" width="2.00390625" style="0" customWidth="1"/>
    <col min="2" max="2" width="10.57421875" style="0" customWidth="1"/>
    <col min="3" max="3" width="13.140625" style="0" customWidth="1"/>
    <col min="5" max="5" width="12.140625" style="0" hidden="1" customWidth="1"/>
    <col min="6" max="6" width="18.00390625" style="0" customWidth="1"/>
    <col min="7" max="7" width="19.57421875" style="0" customWidth="1"/>
    <col min="8" max="8" width="2.28125" style="0" customWidth="1"/>
  </cols>
  <sheetData>
    <row r="1" ht="15">
      <c r="A1" t="s">
        <v>47</v>
      </c>
    </row>
    <row r="3" spans="2:7" ht="15">
      <c r="B3" s="191" t="s">
        <v>285</v>
      </c>
      <c r="C3" s="192"/>
      <c r="D3" s="192"/>
      <c r="E3" s="193"/>
      <c r="F3" s="191" t="s">
        <v>312</v>
      </c>
      <c r="G3" s="193"/>
    </row>
    <row r="4" spans="2:7" ht="15">
      <c r="B4" s="194" t="s">
        <v>286</v>
      </c>
      <c r="C4" s="195"/>
      <c r="D4" s="195"/>
      <c r="E4" s="196"/>
      <c r="F4" s="194" t="s">
        <v>313</v>
      </c>
      <c r="G4" s="196"/>
    </row>
    <row r="5" spans="2:7" ht="15">
      <c r="B5" s="197" t="s">
        <v>48</v>
      </c>
      <c r="C5" s="198"/>
      <c r="D5" s="198"/>
      <c r="E5" s="199"/>
      <c r="F5" s="9"/>
      <c r="G5" s="11"/>
    </row>
    <row r="6" spans="2:7" ht="15">
      <c r="B6" s="86"/>
      <c r="C6" s="4"/>
      <c r="D6" s="86"/>
      <c r="E6" s="6"/>
      <c r="F6" s="189" t="s">
        <v>66</v>
      </c>
      <c r="G6" s="87"/>
    </row>
    <row r="7" spans="2:7" ht="15">
      <c r="B7" s="90" t="s">
        <v>283</v>
      </c>
      <c r="C7" s="89" t="s">
        <v>93</v>
      </c>
      <c r="D7" s="88" t="s">
        <v>49</v>
      </c>
      <c r="E7" s="6"/>
      <c r="F7" s="190"/>
      <c r="G7" s="88" t="s">
        <v>67</v>
      </c>
    </row>
    <row r="8" spans="2:9" ht="15">
      <c r="B8" s="87">
        <v>2010</v>
      </c>
      <c r="C8" s="6">
        <v>8100</v>
      </c>
      <c r="D8" s="7">
        <f>+C8/12</f>
        <v>675</v>
      </c>
      <c r="E8" s="6"/>
      <c r="F8" s="84">
        <f>C8*I8</f>
        <v>121500</v>
      </c>
      <c r="G8" s="84">
        <f>F8/12</f>
        <v>10125</v>
      </c>
      <c r="I8">
        <v>15</v>
      </c>
    </row>
    <row r="9" spans="2:9" ht="15">
      <c r="B9" s="87">
        <v>2011</v>
      </c>
      <c r="C9" s="6">
        <v>9180</v>
      </c>
      <c r="D9" s="7">
        <f>+C9/12</f>
        <v>765</v>
      </c>
      <c r="E9" s="6"/>
      <c r="F9" s="84">
        <f aca="true" t="shared" si="0" ref="F9:F17">C9*I9</f>
        <v>137700</v>
      </c>
      <c r="G9" s="84">
        <f aca="true" t="shared" si="1" ref="G9:G17">F9/12</f>
        <v>11475</v>
      </c>
      <c r="I9">
        <v>15</v>
      </c>
    </row>
    <row r="10" spans="2:9" ht="15">
      <c r="B10" s="87">
        <v>2012</v>
      </c>
      <c r="C10" s="6">
        <v>10800</v>
      </c>
      <c r="D10" s="7">
        <f>10800/12</f>
        <v>900</v>
      </c>
      <c r="E10" s="6"/>
      <c r="F10" s="84">
        <f t="shared" si="0"/>
        <v>162000</v>
      </c>
      <c r="G10" s="84">
        <f t="shared" si="1"/>
        <v>13500</v>
      </c>
      <c r="I10">
        <v>15</v>
      </c>
    </row>
    <row r="11" spans="2:9" ht="15">
      <c r="B11" s="87">
        <v>2013</v>
      </c>
      <c r="C11" s="6">
        <v>10800</v>
      </c>
      <c r="D11" s="7">
        <f aca="true" t="shared" si="2" ref="D11:D17">10800/12</f>
        <v>900</v>
      </c>
      <c r="E11" s="6"/>
      <c r="F11" s="84">
        <f t="shared" si="0"/>
        <v>162000</v>
      </c>
      <c r="G11" s="84">
        <f t="shared" si="1"/>
        <v>13500</v>
      </c>
      <c r="I11">
        <v>15</v>
      </c>
    </row>
    <row r="12" spans="2:9" ht="15">
      <c r="B12" s="87">
        <v>2014</v>
      </c>
      <c r="C12" s="6">
        <v>10800</v>
      </c>
      <c r="D12" s="7">
        <f t="shared" si="2"/>
        <v>900</v>
      </c>
      <c r="E12" s="6"/>
      <c r="F12" s="84">
        <f t="shared" si="0"/>
        <v>162000</v>
      </c>
      <c r="G12" s="84">
        <f t="shared" si="1"/>
        <v>13500</v>
      </c>
      <c r="I12">
        <v>15</v>
      </c>
    </row>
    <row r="13" spans="2:9" ht="15">
      <c r="B13" s="87">
        <v>2015</v>
      </c>
      <c r="C13" s="6">
        <v>10800</v>
      </c>
      <c r="D13" s="7">
        <f t="shared" si="2"/>
        <v>900</v>
      </c>
      <c r="E13" s="6"/>
      <c r="F13" s="84">
        <f t="shared" si="0"/>
        <v>162000</v>
      </c>
      <c r="G13" s="84">
        <f t="shared" si="1"/>
        <v>13500</v>
      </c>
      <c r="I13">
        <v>15</v>
      </c>
    </row>
    <row r="14" spans="2:9" ht="15">
      <c r="B14" s="87">
        <v>2016</v>
      </c>
      <c r="C14" s="6">
        <v>10800</v>
      </c>
      <c r="D14" s="7">
        <f t="shared" si="2"/>
        <v>900</v>
      </c>
      <c r="E14" s="6"/>
      <c r="F14" s="84">
        <f t="shared" si="0"/>
        <v>162000</v>
      </c>
      <c r="G14" s="84">
        <f t="shared" si="1"/>
        <v>13500</v>
      </c>
      <c r="I14">
        <v>15</v>
      </c>
    </row>
    <row r="15" spans="2:9" ht="15">
      <c r="B15" s="87">
        <v>2017</v>
      </c>
      <c r="C15" s="6">
        <v>10800</v>
      </c>
      <c r="D15" s="7">
        <f t="shared" si="2"/>
        <v>900</v>
      </c>
      <c r="E15" s="6"/>
      <c r="F15" s="84">
        <f t="shared" si="0"/>
        <v>162000</v>
      </c>
      <c r="G15" s="84">
        <f t="shared" si="1"/>
        <v>13500</v>
      </c>
      <c r="I15">
        <v>15</v>
      </c>
    </row>
    <row r="16" spans="2:9" ht="15">
      <c r="B16" s="87">
        <v>2018</v>
      </c>
      <c r="C16" s="6">
        <v>10800</v>
      </c>
      <c r="D16" s="7">
        <f t="shared" si="2"/>
        <v>900</v>
      </c>
      <c r="E16" s="6"/>
      <c r="F16" s="84">
        <f t="shared" si="0"/>
        <v>162000</v>
      </c>
      <c r="G16" s="84">
        <f t="shared" si="1"/>
        <v>13500</v>
      </c>
      <c r="I16">
        <v>15</v>
      </c>
    </row>
    <row r="17" spans="2:9" ht="15">
      <c r="B17" s="38">
        <v>2019</v>
      </c>
      <c r="C17" s="11">
        <v>10800</v>
      </c>
      <c r="D17" s="9">
        <f t="shared" si="2"/>
        <v>900</v>
      </c>
      <c r="E17" s="11"/>
      <c r="F17" s="85">
        <f t="shared" si="0"/>
        <v>162000</v>
      </c>
      <c r="G17" s="85">
        <f t="shared" si="1"/>
        <v>13500</v>
      </c>
      <c r="I17">
        <v>15</v>
      </c>
    </row>
    <row r="18" ht="15">
      <c r="G18" s="82" t="s">
        <v>65</v>
      </c>
    </row>
    <row r="19" ht="15">
      <c r="G19" s="83" t="s">
        <v>284</v>
      </c>
    </row>
    <row r="20" ht="15">
      <c r="G20" s="85">
        <v>15</v>
      </c>
    </row>
    <row r="21" ht="15">
      <c r="G21" s="138"/>
    </row>
    <row r="22" spans="2:6" ht="15">
      <c r="B22" s="33" t="s">
        <v>69</v>
      </c>
      <c r="C22" s="34"/>
      <c r="D22" s="39" t="s">
        <v>314</v>
      </c>
      <c r="F22" s="139" t="s">
        <v>49</v>
      </c>
    </row>
    <row r="23" spans="2:6" ht="15">
      <c r="B23" s="51" t="s">
        <v>68</v>
      </c>
      <c r="C23" s="53"/>
      <c r="D23" s="48">
        <f>0.015*F8</f>
        <v>1822.5</v>
      </c>
      <c r="F23" s="140">
        <f>((D23/2/12))</f>
        <v>75.9375</v>
      </c>
    </row>
    <row r="24" spans="2:6" ht="15">
      <c r="B24" s="33"/>
      <c r="C24" s="34"/>
      <c r="D24" s="39"/>
      <c r="F24" s="140"/>
    </row>
    <row r="25" spans="2:6" ht="15">
      <c r="B25" s="33" t="s">
        <v>70</v>
      </c>
      <c r="C25" s="34"/>
      <c r="D25" s="39"/>
      <c r="F25" s="140"/>
    </row>
    <row r="26" spans="2:6" ht="15">
      <c r="B26" s="51" t="s">
        <v>68</v>
      </c>
      <c r="C26" s="53"/>
      <c r="D26" s="48">
        <f>0.015*F9</f>
        <v>2065.5</v>
      </c>
      <c r="F26" s="140">
        <f>((D26/2/12))</f>
        <v>86.0625</v>
      </c>
    </row>
    <row r="27" spans="2:6" ht="15">
      <c r="B27" s="33"/>
      <c r="C27" s="34"/>
      <c r="D27" s="39"/>
      <c r="F27" s="140"/>
    </row>
    <row r="28" spans="2:6" ht="15">
      <c r="B28" s="33" t="s">
        <v>71</v>
      </c>
      <c r="C28" s="34"/>
      <c r="D28" s="39"/>
      <c r="F28" s="140"/>
    </row>
    <row r="29" spans="2:6" ht="15">
      <c r="B29" s="51" t="s">
        <v>68</v>
      </c>
      <c r="C29" s="53"/>
      <c r="D29" s="48">
        <f>0.015*F10</f>
        <v>2430</v>
      </c>
      <c r="F29" s="140">
        <f>((D29/2/12))</f>
        <v>101.25</v>
      </c>
    </row>
  </sheetData>
  <sheetProtection/>
  <mergeCells count="6">
    <mergeCell ref="F6:F7"/>
    <mergeCell ref="B3:E3"/>
    <mergeCell ref="B4:E4"/>
    <mergeCell ref="B5:E5"/>
    <mergeCell ref="F3:G3"/>
    <mergeCell ref="F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O30"/>
  <sheetViews>
    <sheetView showGridLines="0" zoomScalePageLayoutView="0" workbookViewId="0" topLeftCell="A15">
      <selection activeCell="A19" sqref="A19:P31"/>
    </sheetView>
  </sheetViews>
  <sheetFormatPr defaultColWidth="11.421875" defaultRowHeight="15"/>
  <cols>
    <col min="1" max="1" width="2.7109375" style="0" customWidth="1"/>
    <col min="2" max="2" width="12.00390625" style="0" bestFit="1" customWidth="1"/>
    <col min="4" max="4" width="5.140625" style="0" customWidth="1"/>
    <col min="5" max="5" width="12.421875" style="0" customWidth="1"/>
    <col min="6" max="6" width="10.57421875" style="0" customWidth="1"/>
    <col min="7" max="7" width="9.57421875" style="0" customWidth="1"/>
    <col min="8" max="8" width="9.8515625" style="0" customWidth="1"/>
    <col min="9" max="9" width="8.8515625" style="0" bestFit="1" customWidth="1"/>
    <col min="10" max="10" width="9.8515625" style="0" customWidth="1"/>
    <col min="11" max="14" width="9.7109375" style="0" bestFit="1" customWidth="1"/>
    <col min="15" max="15" width="12.28125" style="0" bestFit="1" customWidth="1"/>
    <col min="16" max="16" width="5.28125" style="0" customWidth="1"/>
  </cols>
  <sheetData>
    <row r="2" spans="7:12" ht="15">
      <c r="G2" s="26" t="s">
        <v>182</v>
      </c>
      <c r="H2" s="26" t="s">
        <v>183</v>
      </c>
      <c r="I2" s="26"/>
      <c r="J2" s="27" t="s">
        <v>192</v>
      </c>
      <c r="K2" s="28"/>
      <c r="L2" s="28"/>
    </row>
    <row r="3" spans="2:7" ht="15">
      <c r="B3" t="s">
        <v>181</v>
      </c>
      <c r="G3" t="s">
        <v>193</v>
      </c>
    </row>
    <row r="4" spans="2:9" ht="15.75">
      <c r="B4" t="s">
        <v>180</v>
      </c>
      <c r="G4" s="29" t="s">
        <v>184</v>
      </c>
      <c r="H4" s="28"/>
      <c r="I4" s="28"/>
    </row>
    <row r="5" ht="15">
      <c r="B5" t="s">
        <v>177</v>
      </c>
    </row>
    <row r="6" spans="2:9" ht="15">
      <c r="B6" t="s">
        <v>178</v>
      </c>
      <c r="G6" s="26" t="s">
        <v>182</v>
      </c>
      <c r="H6" s="26" t="s">
        <v>183</v>
      </c>
      <c r="I6" s="26"/>
    </row>
    <row r="7" spans="7:9" ht="15">
      <c r="G7" s="26" t="s">
        <v>185</v>
      </c>
      <c r="H7" s="26" t="s">
        <v>186</v>
      </c>
      <c r="I7" s="26"/>
    </row>
    <row r="8" spans="7:9" ht="15">
      <c r="G8" s="30" t="s">
        <v>187</v>
      </c>
      <c r="H8" s="26" t="s">
        <v>188</v>
      </c>
      <c r="I8" s="31"/>
    </row>
    <row r="9" spans="2:4" ht="15">
      <c r="B9" s="39" t="s">
        <v>197</v>
      </c>
      <c r="C9" s="55">
        <v>0.18</v>
      </c>
      <c r="D9">
        <v>1.3</v>
      </c>
    </row>
    <row r="10" spans="2:3" ht="15">
      <c r="B10" s="39" t="s">
        <v>179</v>
      </c>
      <c r="C10" s="56">
        <v>0.05</v>
      </c>
    </row>
    <row r="11" spans="2:8" ht="15">
      <c r="B11" s="39" t="s">
        <v>196</v>
      </c>
      <c r="C11" s="55">
        <f>+H13</f>
        <v>0.0792</v>
      </c>
      <c r="G11" s="39" t="s">
        <v>195</v>
      </c>
      <c r="H11" s="55">
        <v>0.0292</v>
      </c>
    </row>
    <row r="12" spans="2:8" ht="15">
      <c r="B12" s="39" t="s">
        <v>198</v>
      </c>
      <c r="C12" s="39">
        <v>0.87</v>
      </c>
      <c r="G12" s="39" t="s">
        <v>179</v>
      </c>
      <c r="H12" s="56">
        <v>0.05</v>
      </c>
    </row>
    <row r="13" spans="7:8" ht="15">
      <c r="G13" s="39" t="s">
        <v>194</v>
      </c>
      <c r="H13" s="55">
        <f>SUM(H11:H12)</f>
        <v>0.0792</v>
      </c>
    </row>
    <row r="16" spans="2:4" ht="15.75">
      <c r="B16" s="29" t="s">
        <v>184</v>
      </c>
      <c r="C16" s="28"/>
      <c r="D16" s="28"/>
    </row>
    <row r="17" spans="2:3" ht="15.75">
      <c r="B17" s="29" t="s">
        <v>199</v>
      </c>
      <c r="C17" s="35">
        <f>+C11+C12*(C9-C11)</f>
        <v>0.166896</v>
      </c>
    </row>
    <row r="18" spans="2:3" ht="15.75">
      <c r="B18" s="29"/>
      <c r="C18" s="35"/>
    </row>
    <row r="20" spans="2:15" ht="15">
      <c r="B20" s="173"/>
      <c r="C20" s="173"/>
      <c r="D20" s="173"/>
      <c r="E20" s="174" t="s">
        <v>200</v>
      </c>
      <c r="F20" s="133" t="s">
        <v>69</v>
      </c>
      <c r="G20" s="133" t="s">
        <v>70</v>
      </c>
      <c r="H20" s="133" t="s">
        <v>71</v>
      </c>
      <c r="I20" s="133" t="s">
        <v>174</v>
      </c>
      <c r="J20" s="133" t="s">
        <v>165</v>
      </c>
      <c r="K20" s="133" t="s">
        <v>167</v>
      </c>
      <c r="L20" s="133" t="s">
        <v>175</v>
      </c>
      <c r="M20" s="133" t="s">
        <v>169</v>
      </c>
      <c r="N20" s="133" t="s">
        <v>171</v>
      </c>
      <c r="O20" s="133" t="s">
        <v>172</v>
      </c>
    </row>
    <row r="21" spans="2:15" ht="15">
      <c r="B21" s="175" t="s">
        <v>239</v>
      </c>
      <c r="C21" s="176"/>
      <c r="D21" s="177"/>
      <c r="E21" s="178">
        <f>+'PRESUPUESTO FINANCIERO'!E28</f>
        <v>-13174.11</v>
      </c>
      <c r="F21" s="179"/>
      <c r="G21" s="179"/>
      <c r="H21" s="179"/>
      <c r="I21" s="179"/>
      <c r="J21" s="179"/>
      <c r="K21" s="179"/>
      <c r="L21" s="179"/>
      <c r="M21" s="179"/>
      <c r="N21" s="179"/>
      <c r="O21" s="179"/>
    </row>
    <row r="22" spans="2:15" ht="15">
      <c r="B22" s="175" t="s">
        <v>191</v>
      </c>
      <c r="C22" s="176"/>
      <c r="D22" s="177"/>
      <c r="E22" s="178">
        <f>+'PRESUPUESTO FINANCIERO'!E29</f>
        <v>-10230.017295</v>
      </c>
      <c r="F22" s="179"/>
      <c r="G22" s="179"/>
      <c r="H22" s="179"/>
      <c r="I22" s="179"/>
      <c r="J22" s="179"/>
      <c r="K22" s="179"/>
      <c r="L22" s="179"/>
      <c r="M22" s="179"/>
      <c r="N22" s="179"/>
      <c r="O22" s="179"/>
    </row>
    <row r="23" spans="2:15" ht="15">
      <c r="B23" s="175" t="s">
        <v>190</v>
      </c>
      <c r="C23" s="176"/>
      <c r="D23" s="177"/>
      <c r="E23" s="178">
        <f>+'PRESUPUESTO FINANCIERO'!E30</f>
        <v>-1170.20636475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</row>
    <row r="24" spans="2:15" ht="15">
      <c r="B24" s="180" t="s">
        <v>163</v>
      </c>
      <c r="C24" s="181"/>
      <c r="D24" s="182"/>
      <c r="E24" s="178">
        <f>+'PRESUPUESTO FINANCIERO'!E31</f>
        <v>-24574.33365975</v>
      </c>
      <c r="F24" s="178">
        <f>+'PRESUPUESTO FINANCIERO'!F31</f>
        <v>5418.692920000047</v>
      </c>
      <c r="G24" s="178">
        <f>+'PRESUPUESTO FINANCIERO'!G31</f>
        <v>3446.5115116994452</v>
      </c>
      <c r="H24" s="178">
        <f>+'PRESUPUESTO FINANCIERO'!H31</f>
        <v>5287.641684148888</v>
      </c>
      <c r="I24" s="178">
        <f>+'PRESUPUESTO FINANCIERO'!I31</f>
        <v>6863.3538946983535</v>
      </c>
      <c r="J24" s="178">
        <f>+'PRESUPUESTO FINANCIERO'!J31</f>
        <v>8439.066105247819</v>
      </c>
      <c r="K24" s="178">
        <f>+'PRESUPUESTO FINANCIERO'!K31</f>
        <v>10014.778315797294</v>
      </c>
      <c r="L24" s="178">
        <f>+'PRESUPUESTO FINANCIERO'!L31</f>
        <v>11371.369384547304</v>
      </c>
      <c r="M24" s="178">
        <f>+'PRESUPUESTO FINANCIERO'!M31</f>
        <v>12727.960453297315</v>
      </c>
      <c r="N24" s="178">
        <f>+'PRESUPUESTO FINANCIERO'!N31</f>
        <v>14084.551522047326</v>
      </c>
      <c r="O24" s="178">
        <f>+'PRESUPUESTO FINANCIERO'!O31</f>
        <v>15441.142590797337</v>
      </c>
    </row>
    <row r="26" spans="2:5" ht="15">
      <c r="B26" s="134" t="s">
        <v>201</v>
      </c>
      <c r="C26" s="40"/>
      <c r="D26" s="34"/>
      <c r="E26" s="48">
        <f>NPV(C17,F24:O24)</f>
        <v>36444.48960767854</v>
      </c>
    </row>
    <row r="27" spans="2:5" ht="15">
      <c r="B27" s="134" t="s">
        <v>202</v>
      </c>
      <c r="C27" s="40"/>
      <c r="D27" s="34"/>
      <c r="E27" s="48">
        <f>+E24</f>
        <v>-24574.33365975</v>
      </c>
    </row>
    <row r="28" spans="2:5" ht="15">
      <c r="B28" s="134" t="s">
        <v>203</v>
      </c>
      <c r="C28" s="40"/>
      <c r="D28" s="34"/>
      <c r="E28" s="48">
        <f>SUM(E26:E27)</f>
        <v>11870.155947928539</v>
      </c>
    </row>
    <row r="29" spans="2:5" ht="15">
      <c r="B29" s="134"/>
      <c r="C29" s="40"/>
      <c r="D29" s="34"/>
      <c r="E29" s="48"/>
    </row>
    <row r="30" spans="2:5" ht="15">
      <c r="B30" s="134" t="s">
        <v>204</v>
      </c>
      <c r="C30" s="40"/>
      <c r="D30" s="34"/>
      <c r="E30" s="55">
        <f>IRR(E24:O24)</f>
        <v>0.25971378638565534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I56"/>
  <sheetViews>
    <sheetView showGridLines="0" tabSelected="1" zoomScalePageLayoutView="0" workbookViewId="0" topLeftCell="A1">
      <selection activeCell="A4" sqref="A4:F57"/>
    </sheetView>
  </sheetViews>
  <sheetFormatPr defaultColWidth="11.421875" defaultRowHeight="15"/>
  <cols>
    <col min="1" max="1" width="4.140625" style="0" customWidth="1"/>
    <col min="3" max="3" width="22.140625" style="0" bestFit="1" customWidth="1"/>
    <col min="4" max="4" width="27.28125" style="0" customWidth="1"/>
    <col min="5" max="5" width="17.8515625" style="0" customWidth="1"/>
    <col min="6" max="6" width="4.421875" style="0" customWidth="1"/>
  </cols>
  <sheetData>
    <row r="5" spans="2:5" ht="15">
      <c r="B5" s="217" t="s">
        <v>219</v>
      </c>
      <c r="C5" s="218"/>
      <c r="D5" s="218"/>
      <c r="E5" s="218"/>
    </row>
    <row r="8" spans="2:5" ht="15">
      <c r="B8" s="219" t="s">
        <v>220</v>
      </c>
      <c r="C8" s="220"/>
      <c r="D8" s="223" t="s">
        <v>221</v>
      </c>
      <c r="E8" s="223" t="s">
        <v>222</v>
      </c>
    </row>
    <row r="9" spans="2:5" ht="15">
      <c r="B9" s="221"/>
      <c r="C9" s="222"/>
      <c r="D9" s="224"/>
      <c r="E9" s="224"/>
    </row>
    <row r="10" spans="2:5" ht="15">
      <c r="B10" s="9" t="s">
        <v>223</v>
      </c>
      <c r="C10" s="11"/>
      <c r="D10" s="183"/>
      <c r="E10" s="184">
        <f>+'COSTO MAT. Y M.O'!E126</f>
        <v>39001.49999999999</v>
      </c>
    </row>
    <row r="11" spans="2:5" ht="15">
      <c r="B11" s="9" t="s">
        <v>41</v>
      </c>
      <c r="C11" s="11"/>
      <c r="D11" s="184">
        <f>+'COSTO MAT. Y M.O'!$E$127</f>
        <v>44519.03999999999</v>
      </c>
      <c r="E11" s="184"/>
    </row>
    <row r="12" spans="2:5" ht="15">
      <c r="B12" s="9" t="s">
        <v>58</v>
      </c>
      <c r="C12" s="11"/>
      <c r="D12" s="183">
        <f>+'COSTO MAT. Y M.O'!E130</f>
        <v>4577.4</v>
      </c>
      <c r="E12" s="185"/>
    </row>
    <row r="13" spans="2:5" ht="15">
      <c r="B13" s="9" t="s">
        <v>31</v>
      </c>
      <c r="C13" s="11"/>
      <c r="D13" s="183">
        <f>+'COSTO MAT. Y M.O'!E131</f>
        <v>1317.41</v>
      </c>
      <c r="E13" s="185"/>
    </row>
    <row r="14" spans="2:6" ht="15">
      <c r="B14" s="9" t="s">
        <v>205</v>
      </c>
      <c r="C14" s="11"/>
      <c r="D14" s="183">
        <f>+'COSTO MAT. Y M.O'!E132</f>
        <v>234.04127295</v>
      </c>
      <c r="E14" s="185"/>
      <c r="F14" s="16"/>
    </row>
    <row r="15" spans="2:6" ht="15">
      <c r="B15" s="9" t="s">
        <v>52</v>
      </c>
      <c r="C15" s="11"/>
      <c r="D15" s="183"/>
      <c r="E15" s="184">
        <f>+'COSTO MAT. Y M.O'!E133</f>
        <v>864</v>
      </c>
      <c r="F15" s="16"/>
    </row>
    <row r="16" spans="2:6" ht="15">
      <c r="B16" s="9" t="s">
        <v>81</v>
      </c>
      <c r="C16" s="11"/>
      <c r="D16" s="183">
        <f>+'COSTO MAT. Y M.O'!E135</f>
        <v>300</v>
      </c>
      <c r="E16" s="185"/>
      <c r="F16" s="2"/>
    </row>
    <row r="17" spans="2:6" ht="15">
      <c r="B17" s="9" t="s">
        <v>224</v>
      </c>
      <c r="C17" s="11"/>
      <c r="D17" s="183">
        <f>+'COSTO MAT. Y M.O'!E134</f>
        <v>1317.411</v>
      </c>
      <c r="E17" s="185"/>
      <c r="F17" s="16"/>
    </row>
    <row r="18" spans="2:5" ht="15">
      <c r="B18" s="9" t="s">
        <v>57</v>
      </c>
      <c r="C18" s="11"/>
      <c r="D18" s="183">
        <f>+'COSTO MAT. Y M.O'!E142</f>
        <v>7447</v>
      </c>
      <c r="E18" s="185"/>
    </row>
    <row r="19" spans="2:6" ht="15">
      <c r="B19" s="9" t="s">
        <v>279</v>
      </c>
      <c r="C19" s="11"/>
      <c r="D19" s="186">
        <f>(+'TOTAL GASTOS DE VENTAS'!D18)*2-E19</f>
        <v>965.5750800000005</v>
      </c>
      <c r="E19" s="184">
        <f>(+'TOTAL GASTOS DE VENTAS'!D18-'TOTAL GASTOS DE VENTAS'!D14-'TOTAL GASTOS DE VENTAS'!D17)*2</f>
        <v>9089.38</v>
      </c>
      <c r="F19" s="2"/>
    </row>
    <row r="20" spans="2:6" ht="15">
      <c r="B20" s="9" t="s">
        <v>269</v>
      </c>
      <c r="C20" s="11"/>
      <c r="D20" s="186"/>
      <c r="E20" s="184">
        <f>+'TOTAL GASTOS DE VENTAS'!D29</f>
        <v>8000</v>
      </c>
      <c r="F20" s="2"/>
    </row>
    <row r="21" spans="2:5" ht="15">
      <c r="B21" s="9" t="s">
        <v>83</v>
      </c>
      <c r="C21" s="11"/>
      <c r="D21" s="187">
        <f>SUM(D10:D19)</f>
        <v>60677.87735295</v>
      </c>
      <c r="E21" s="184">
        <f>SUM(E10:E19)</f>
        <v>48954.87999999999</v>
      </c>
    </row>
    <row r="22" spans="2:5" ht="15">
      <c r="B22" s="8"/>
      <c r="C22" s="8"/>
      <c r="D22" s="188"/>
      <c r="E22" s="188"/>
    </row>
    <row r="23" ht="15">
      <c r="C23" s="68"/>
    </row>
    <row r="24" spans="2:4" ht="15">
      <c r="B24" s="39" t="s">
        <v>128</v>
      </c>
      <c r="C24" s="49">
        <f>+'ESTADO DE PERDIDAS Y GANANCIAS'!E5</f>
        <v>121500</v>
      </c>
      <c r="D24" s="16"/>
    </row>
    <row r="25" spans="2:4" ht="15">
      <c r="B25" s="39" t="s">
        <v>242</v>
      </c>
      <c r="C25" s="49">
        <f>+E21</f>
        <v>48954.87999999999</v>
      </c>
      <c r="D25" s="2"/>
    </row>
    <row r="26" spans="2:7" ht="15">
      <c r="B26" s="39" t="s">
        <v>221</v>
      </c>
      <c r="C26" s="49">
        <f>+D21</f>
        <v>60677.87735295</v>
      </c>
      <c r="D26" s="2"/>
      <c r="E26" s="16"/>
      <c r="G26" s="16"/>
    </row>
    <row r="27" spans="3:4" ht="15">
      <c r="C27" s="16"/>
      <c r="D27" s="2"/>
    </row>
    <row r="28" spans="3:6" ht="15">
      <c r="C28" s="16"/>
      <c r="D28" s="2"/>
      <c r="F28" s="15"/>
    </row>
    <row r="29" spans="3:4" ht="15">
      <c r="C29" s="12" t="s">
        <v>253</v>
      </c>
      <c r="D29" s="60" t="s">
        <v>221</v>
      </c>
    </row>
    <row r="30" spans="3:4" ht="15">
      <c r="C30" s="7"/>
      <c r="D30" s="61" t="s">
        <v>240</v>
      </c>
    </row>
    <row r="31" spans="3:4" ht="15">
      <c r="C31" s="9"/>
      <c r="D31" s="65" t="s">
        <v>254</v>
      </c>
    </row>
    <row r="33" spans="3:4" ht="15">
      <c r="C33" s="66" t="s">
        <v>243</v>
      </c>
      <c r="D33" s="67">
        <f>+C25/C24</f>
        <v>0.4029208230452674</v>
      </c>
    </row>
    <row r="35" spans="3:5" ht="15">
      <c r="C35" t="s">
        <v>241</v>
      </c>
      <c r="D35" s="62">
        <f>+C26</f>
        <v>60677.87735295</v>
      </c>
      <c r="E35" s="16"/>
    </row>
    <row r="36" ht="15">
      <c r="D36" s="58" t="s">
        <v>315</v>
      </c>
    </row>
    <row r="38" spans="4:9" ht="15">
      <c r="D38" s="62">
        <f>+D35</f>
        <v>60677.87735295</v>
      </c>
      <c r="F38" s="91"/>
      <c r="G38" s="91"/>
      <c r="H38" s="91"/>
      <c r="I38" s="91"/>
    </row>
    <row r="39" spans="4:9" ht="15">
      <c r="D39" s="58" t="s">
        <v>251</v>
      </c>
      <c r="F39" s="91">
        <f>1-0.4029</f>
        <v>0.5971</v>
      </c>
      <c r="G39" s="91"/>
      <c r="H39" s="91"/>
      <c r="I39" s="91"/>
    </row>
    <row r="40" spans="6:9" ht="15">
      <c r="F40" s="91"/>
      <c r="G40" s="91"/>
      <c r="H40" s="91"/>
      <c r="I40" s="91"/>
    </row>
    <row r="41" spans="3:9" ht="15">
      <c r="C41" s="69" t="s">
        <v>244</v>
      </c>
      <c r="D41" s="63">
        <f>D38/F39</f>
        <v>101620.96357888127</v>
      </c>
      <c r="F41" s="91"/>
      <c r="G41" s="91"/>
      <c r="H41" s="91"/>
      <c r="I41" s="91"/>
    </row>
    <row r="42" spans="6:9" ht="15">
      <c r="F42" s="91"/>
      <c r="G42" s="91"/>
      <c r="H42" s="91"/>
      <c r="I42" s="91"/>
    </row>
    <row r="43" spans="6:9" ht="15">
      <c r="F43" s="91"/>
      <c r="G43" s="91"/>
      <c r="H43" s="91"/>
      <c r="I43" s="91"/>
    </row>
    <row r="44" spans="3:9" ht="15">
      <c r="C44" s="64" t="s">
        <v>246</v>
      </c>
      <c r="D44" s="1" t="s">
        <v>247</v>
      </c>
      <c r="E44" s="1"/>
      <c r="F44" s="92"/>
      <c r="G44" s="91"/>
      <c r="H44" s="91"/>
      <c r="I44" s="91"/>
    </row>
    <row r="45" spans="3:9" ht="15">
      <c r="C45" s="64" t="s">
        <v>246</v>
      </c>
      <c r="D45" t="s">
        <v>248</v>
      </c>
      <c r="F45" s="91"/>
      <c r="G45" s="91"/>
      <c r="H45" s="91"/>
      <c r="I45" s="91"/>
    </row>
    <row r="46" spans="3:9" ht="15">
      <c r="C46" s="64" t="s">
        <v>245</v>
      </c>
      <c r="D46" s="16" t="s">
        <v>255</v>
      </c>
      <c r="E46" s="32">
        <f>+E21</f>
        <v>48954.87999999999</v>
      </c>
      <c r="F46" s="91"/>
      <c r="G46" s="91"/>
      <c r="H46" s="91"/>
      <c r="I46" s="91">
        <f>E46/E47</f>
        <v>6.043812345679011</v>
      </c>
    </row>
    <row r="47" spans="4:9" ht="15">
      <c r="D47" s="16" t="s">
        <v>256</v>
      </c>
      <c r="E47" s="16">
        <v>8100</v>
      </c>
      <c r="F47" s="91"/>
      <c r="G47" s="91"/>
      <c r="H47" s="91"/>
      <c r="I47" s="91">
        <f>15-I46</f>
        <v>8.956187654320988</v>
      </c>
    </row>
    <row r="48" spans="6:9" ht="15">
      <c r="F48" s="91"/>
      <c r="G48" s="91"/>
      <c r="H48" s="91"/>
      <c r="I48" s="91"/>
    </row>
    <row r="49" spans="4:9" ht="15">
      <c r="D49" t="s">
        <v>249</v>
      </c>
      <c r="E49" s="59">
        <f>E46/E47</f>
        <v>6.043812345679011</v>
      </c>
      <c r="F49" s="91"/>
      <c r="G49" s="91"/>
      <c r="H49" s="91"/>
      <c r="I49" s="91">
        <f>60677.88/I47</f>
        <v>6774.967468521659</v>
      </c>
    </row>
    <row r="50" spans="6:9" ht="15">
      <c r="F50" s="91"/>
      <c r="G50" s="91"/>
      <c r="H50" s="91"/>
      <c r="I50" s="91"/>
    </row>
    <row r="51" spans="3:9" ht="15">
      <c r="C51" s="1" t="s">
        <v>252</v>
      </c>
      <c r="D51" s="39" t="s">
        <v>316</v>
      </c>
      <c r="E51" s="7"/>
      <c r="F51" s="91"/>
      <c r="G51" s="91"/>
      <c r="H51" s="93">
        <f>D21+2218</f>
        <v>62895.87735295</v>
      </c>
      <c r="I51" s="91"/>
    </row>
    <row r="52" spans="3:9" ht="15">
      <c r="C52" s="1" t="s">
        <v>250</v>
      </c>
      <c r="D52" s="39" t="s">
        <v>317</v>
      </c>
      <c r="E52" s="7"/>
      <c r="F52" s="91"/>
      <c r="G52" s="91"/>
      <c r="H52" s="91">
        <f>H51/I47</f>
        <v>7022.617187191847</v>
      </c>
      <c r="I52" s="91"/>
    </row>
    <row r="53" spans="4:9" ht="15">
      <c r="D53" s="39" t="s">
        <v>318</v>
      </c>
      <c r="E53" s="7"/>
      <c r="F53" s="91"/>
      <c r="G53" s="91"/>
      <c r="H53" s="91"/>
      <c r="I53" s="91"/>
    </row>
    <row r="54" spans="4:9" ht="15">
      <c r="D54" s="39" t="s">
        <v>319</v>
      </c>
      <c r="E54" s="7"/>
      <c r="F54" s="91"/>
      <c r="G54" s="91"/>
      <c r="H54" s="91"/>
      <c r="I54" s="91"/>
    </row>
    <row r="55" spans="4:5" ht="15">
      <c r="D55" s="39" t="s">
        <v>320</v>
      </c>
      <c r="E55" s="7"/>
    </row>
    <row r="56" spans="4:5" ht="15">
      <c r="D56" s="39" t="s">
        <v>321</v>
      </c>
      <c r="E56" s="7"/>
    </row>
  </sheetData>
  <sheetProtection/>
  <mergeCells count="4">
    <mergeCell ref="B5:E5"/>
    <mergeCell ref="B8:C9"/>
    <mergeCell ref="D8:D9"/>
    <mergeCell ref="E8:E9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J65"/>
  <sheetViews>
    <sheetView showGridLines="0" zoomScalePageLayoutView="0" workbookViewId="0" topLeftCell="A13">
      <selection activeCell="D39" sqref="D39"/>
    </sheetView>
  </sheetViews>
  <sheetFormatPr defaultColWidth="11.421875" defaultRowHeight="15"/>
  <cols>
    <col min="1" max="1" width="3.421875" style="0" customWidth="1"/>
    <col min="2" max="2" width="22.140625" style="0" customWidth="1"/>
    <col min="3" max="3" width="12.28125" style="0" customWidth="1"/>
    <col min="4" max="4" width="10.7109375" style="0" customWidth="1"/>
    <col min="5" max="5" width="11.57421875" style="0" customWidth="1"/>
    <col min="7" max="7" width="11.8515625" style="0" customWidth="1"/>
    <col min="8" max="8" width="2.421875" style="0" customWidth="1"/>
    <col min="9" max="9" width="2.57421875" style="0" customWidth="1"/>
  </cols>
  <sheetData>
    <row r="5" spans="2:7" ht="15">
      <c r="B5" s="94"/>
      <c r="C5" s="94"/>
      <c r="D5" s="94"/>
      <c r="E5" s="94"/>
      <c r="F5" s="94"/>
      <c r="G5" s="94"/>
    </row>
    <row r="6" spans="2:8" ht="15">
      <c r="B6" s="94"/>
      <c r="C6" s="131">
        <f>C12/C11</f>
        <v>0.3797083333333333</v>
      </c>
      <c r="D6" s="94"/>
      <c r="E6" s="131">
        <f>E12/E11</f>
        <v>0.43033333333333335</v>
      </c>
      <c r="F6" s="94"/>
      <c r="G6" s="131">
        <f>G12/G11</f>
        <v>0.50625</v>
      </c>
      <c r="H6" s="91"/>
    </row>
    <row r="7" spans="2:8" ht="15">
      <c r="B7" s="207" t="s">
        <v>268</v>
      </c>
      <c r="C7" s="207"/>
      <c r="D7" s="207"/>
      <c r="E7" s="207"/>
      <c r="F7" s="207"/>
      <c r="G7" s="207"/>
      <c r="H7" s="207"/>
    </row>
    <row r="9" spans="3:8" ht="15">
      <c r="C9" s="207" t="s">
        <v>80</v>
      </c>
      <c r="D9" s="207"/>
      <c r="E9" s="207" t="s">
        <v>91</v>
      </c>
      <c r="F9" s="207"/>
      <c r="G9" s="208" t="s">
        <v>265</v>
      </c>
      <c r="H9" s="208"/>
    </row>
    <row r="10" spans="3:8" ht="15">
      <c r="C10" s="97" t="s">
        <v>264</v>
      </c>
      <c r="D10" s="97" t="s">
        <v>288</v>
      </c>
      <c r="E10" s="97" t="s">
        <v>264</v>
      </c>
      <c r="F10" s="97" t="s">
        <v>288</v>
      </c>
      <c r="G10" s="97" t="s">
        <v>264</v>
      </c>
      <c r="H10" s="97" t="s">
        <v>288</v>
      </c>
    </row>
    <row r="11" spans="2:8" ht="15">
      <c r="B11" s="44" t="s">
        <v>74</v>
      </c>
      <c r="C11" s="49">
        <v>240</v>
      </c>
      <c r="D11" s="49">
        <f>C11*12</f>
        <v>2880</v>
      </c>
      <c r="E11" s="49">
        <v>240</v>
      </c>
      <c r="F11" s="49">
        <f>E11*12</f>
        <v>2880</v>
      </c>
      <c r="G11" s="49">
        <v>240</v>
      </c>
      <c r="H11" s="49">
        <f>G11*12</f>
        <v>2880</v>
      </c>
    </row>
    <row r="12" spans="2:8" ht="15">
      <c r="B12" s="44" t="s">
        <v>72</v>
      </c>
      <c r="C12" s="49">
        <v>91.13</v>
      </c>
      <c r="D12" s="49">
        <f>C12*12</f>
        <v>1093.56</v>
      </c>
      <c r="E12" s="49">
        <v>103.28</v>
      </c>
      <c r="F12" s="49">
        <f>E12*12</f>
        <v>1239.3600000000001</v>
      </c>
      <c r="G12" s="49">
        <v>121.5</v>
      </c>
      <c r="H12" s="49">
        <f>G12*12</f>
        <v>1458</v>
      </c>
    </row>
    <row r="13" spans="2:8" ht="15">
      <c r="B13" s="44"/>
      <c r="C13" s="49">
        <f aca="true" t="shared" si="0" ref="C13:H13">SUM(C11:C12)</f>
        <v>331.13</v>
      </c>
      <c r="D13" s="49">
        <f t="shared" si="0"/>
        <v>3973.56</v>
      </c>
      <c r="E13" s="49">
        <f t="shared" si="0"/>
        <v>343.28</v>
      </c>
      <c r="F13" s="49">
        <f t="shared" si="0"/>
        <v>4119.360000000001</v>
      </c>
      <c r="G13" s="49">
        <f t="shared" si="0"/>
        <v>361.5</v>
      </c>
      <c r="H13" s="49">
        <f t="shared" si="0"/>
        <v>4338</v>
      </c>
    </row>
    <row r="14" spans="2:8" ht="15">
      <c r="B14" s="44" t="s">
        <v>21</v>
      </c>
      <c r="C14" s="49">
        <f>(C13*11.15%)</f>
        <v>36.920995</v>
      </c>
      <c r="D14" s="49">
        <f>D13*11.15%</f>
        <v>443.05194</v>
      </c>
      <c r="E14" s="49">
        <f>E13*11.15%</f>
        <v>38.27572</v>
      </c>
      <c r="F14" s="49">
        <f>E14*12</f>
        <v>459.30863999999997</v>
      </c>
      <c r="G14" s="49">
        <f>G13*11.15%</f>
        <v>40.30725</v>
      </c>
      <c r="H14" s="49">
        <f>G14*12</f>
        <v>483.687</v>
      </c>
    </row>
    <row r="15" spans="2:10" ht="15">
      <c r="B15" s="44" t="s">
        <v>19</v>
      </c>
      <c r="C15" s="49">
        <f>C13/12</f>
        <v>27.594166666666666</v>
      </c>
      <c r="D15" s="49">
        <f>C15*12</f>
        <v>331.13</v>
      </c>
      <c r="E15" s="49">
        <f>E13/12</f>
        <v>28.606666666666666</v>
      </c>
      <c r="F15" s="49">
        <f>E15*12</f>
        <v>343.28</v>
      </c>
      <c r="G15" s="49">
        <f>G13/12</f>
        <v>30.125</v>
      </c>
      <c r="H15" s="49">
        <f>+G13</f>
        <v>361.5</v>
      </c>
      <c r="J15">
        <f>C11</f>
        <v>240</v>
      </c>
    </row>
    <row r="16" spans="2:10" ht="15">
      <c r="B16" s="44" t="s">
        <v>73</v>
      </c>
      <c r="C16" s="49">
        <f>C11/12</f>
        <v>20</v>
      </c>
      <c r="D16" s="49">
        <f>C16*12</f>
        <v>240</v>
      </c>
      <c r="E16" s="49">
        <f>+E11/12</f>
        <v>20</v>
      </c>
      <c r="F16" s="49">
        <f>E16*12</f>
        <v>240</v>
      </c>
      <c r="G16" s="49">
        <f>+G11/12</f>
        <v>20</v>
      </c>
      <c r="H16" s="49">
        <f>+G16*12</f>
        <v>240</v>
      </c>
      <c r="J16">
        <f>C12</f>
        <v>91.13</v>
      </c>
    </row>
    <row r="17" spans="2:10" ht="15">
      <c r="B17" s="44" t="s">
        <v>22</v>
      </c>
      <c r="C17" s="49">
        <f>C13*1%</f>
        <v>3.3113</v>
      </c>
      <c r="D17" s="49">
        <f>D13*1%</f>
        <v>39.7356</v>
      </c>
      <c r="E17" s="49">
        <f>E13*1%</f>
        <v>3.4328</v>
      </c>
      <c r="F17" s="49">
        <f>E17*12</f>
        <v>41.193599999999996</v>
      </c>
      <c r="G17" s="49">
        <f>G13*1%</f>
        <v>3.615</v>
      </c>
      <c r="H17" s="49">
        <f>G17*12</f>
        <v>43.38</v>
      </c>
      <c r="J17" s="2">
        <f>C14</f>
        <v>36.920995</v>
      </c>
    </row>
    <row r="18" spans="2:10" ht="15">
      <c r="B18" s="44" t="s">
        <v>266</v>
      </c>
      <c r="C18" s="49">
        <f>SUM(C13:C17)</f>
        <v>418.9564616666667</v>
      </c>
      <c r="D18" s="49">
        <f>SUM(D13:D17)</f>
        <v>5027.47754</v>
      </c>
      <c r="E18" s="49">
        <f>SUM(E11:E17)</f>
        <v>776.8751866666667</v>
      </c>
      <c r="F18" s="49">
        <f>SUM(F11:F17)</f>
        <v>9322.502240000002</v>
      </c>
      <c r="G18" s="49">
        <f>SUM(G11:G17)</f>
        <v>817.04725</v>
      </c>
      <c r="H18" s="49">
        <f>SUM(H11:H17)</f>
        <v>9804.567</v>
      </c>
      <c r="J18" s="2">
        <f>C17</f>
        <v>3.3113</v>
      </c>
    </row>
    <row r="19" spans="8:10" ht="15">
      <c r="H19" s="16"/>
      <c r="J19">
        <f>SUM(J15:J18)</f>
        <v>371.362295</v>
      </c>
    </row>
    <row r="20" spans="2:5" ht="15">
      <c r="B20" s="44" t="s">
        <v>75</v>
      </c>
      <c r="C20" s="44" t="s">
        <v>75</v>
      </c>
      <c r="D20" s="44" t="s">
        <v>49</v>
      </c>
      <c r="E20" s="44" t="s">
        <v>18</v>
      </c>
    </row>
    <row r="21" spans="2:5" ht="15">
      <c r="B21" s="39" t="s">
        <v>80</v>
      </c>
      <c r="C21" s="39">
        <v>2</v>
      </c>
      <c r="D21" s="50">
        <f>C21*C18</f>
        <v>837.9129233333334</v>
      </c>
      <c r="E21" s="50">
        <f>D21*12</f>
        <v>10054.955080000002</v>
      </c>
    </row>
    <row r="22" spans="2:5" ht="15">
      <c r="B22" s="39" t="s">
        <v>158</v>
      </c>
      <c r="C22" s="39">
        <v>2</v>
      </c>
      <c r="D22" s="77">
        <f>E18*2</f>
        <v>1553.7503733333333</v>
      </c>
      <c r="E22" s="50">
        <f>D22*12</f>
        <v>18645.00448</v>
      </c>
    </row>
    <row r="23" spans="2:5" ht="15">
      <c r="B23" s="39" t="s">
        <v>267</v>
      </c>
      <c r="C23" s="39">
        <v>2</v>
      </c>
      <c r="D23" s="50">
        <f>G18*2</f>
        <v>1634.0945</v>
      </c>
      <c r="E23" s="50">
        <f>D23*12</f>
        <v>19609.134</v>
      </c>
    </row>
    <row r="25" spans="3:4" ht="15">
      <c r="C25" t="s">
        <v>49</v>
      </c>
      <c r="D25" t="s">
        <v>80</v>
      </c>
    </row>
    <row r="26" ht="15">
      <c r="B26" s="1" t="s">
        <v>269</v>
      </c>
    </row>
    <row r="27" spans="2:4" ht="15">
      <c r="B27" s="39" t="s">
        <v>277</v>
      </c>
      <c r="C27" s="39">
        <v>500</v>
      </c>
      <c r="D27" s="39">
        <f>C27*6</f>
        <v>3000</v>
      </c>
    </row>
    <row r="28" spans="2:4" ht="15">
      <c r="B28" s="39" t="s">
        <v>270</v>
      </c>
      <c r="C28" s="39">
        <f>30*7</f>
        <v>210</v>
      </c>
      <c r="D28" s="39">
        <f>C28*5</f>
        <v>1050</v>
      </c>
    </row>
    <row r="29" spans="2:4" ht="15">
      <c r="B29" s="39" t="s">
        <v>281</v>
      </c>
      <c r="C29" s="39"/>
      <c r="D29" s="39">
        <v>8000</v>
      </c>
    </row>
    <row r="31" spans="2:4" ht="15">
      <c r="B31" s="1" t="s">
        <v>269</v>
      </c>
      <c r="C31" t="s">
        <v>49</v>
      </c>
      <c r="D31" t="s">
        <v>278</v>
      </c>
    </row>
    <row r="32" spans="2:4" ht="15">
      <c r="B32" s="39" t="s">
        <v>277</v>
      </c>
      <c r="C32" s="39">
        <v>500</v>
      </c>
      <c r="D32" s="39">
        <f>C32*6</f>
        <v>3000</v>
      </c>
    </row>
    <row r="33" spans="2:4" ht="15">
      <c r="B33" s="39" t="s">
        <v>270</v>
      </c>
      <c r="C33" s="39">
        <f>30*7*3</f>
        <v>630</v>
      </c>
      <c r="D33" s="39">
        <f>C33*5</f>
        <v>3150</v>
      </c>
    </row>
    <row r="34" spans="2:4" ht="15">
      <c r="B34" s="39" t="s">
        <v>280</v>
      </c>
      <c r="C34" s="39"/>
      <c r="D34" s="39">
        <v>14000</v>
      </c>
    </row>
    <row r="35" spans="2:4" ht="15">
      <c r="B35" s="8"/>
      <c r="C35" s="8"/>
      <c r="D35" s="8"/>
    </row>
    <row r="36" spans="2:4" ht="15">
      <c r="B36" s="1" t="s">
        <v>269</v>
      </c>
      <c r="C36" t="s">
        <v>49</v>
      </c>
      <c r="D36" t="s">
        <v>101</v>
      </c>
    </row>
    <row r="37" spans="2:4" ht="15">
      <c r="B37" s="39" t="s">
        <v>277</v>
      </c>
      <c r="C37" s="39">
        <v>500</v>
      </c>
      <c r="D37" s="39">
        <f>C37*12</f>
        <v>6000</v>
      </c>
    </row>
    <row r="38" spans="2:4" ht="15">
      <c r="B38" s="39" t="s">
        <v>270</v>
      </c>
      <c r="C38" s="39">
        <f>30*7*6</f>
        <v>1260</v>
      </c>
      <c r="D38" s="39">
        <f>C38*12</f>
        <v>15120</v>
      </c>
    </row>
    <row r="39" spans="2:4" ht="15">
      <c r="B39" s="39" t="s">
        <v>282</v>
      </c>
      <c r="C39" s="39"/>
      <c r="D39" s="39">
        <v>29000</v>
      </c>
    </row>
    <row r="41" spans="2:8" ht="15">
      <c r="B41" s="209" t="s">
        <v>269</v>
      </c>
      <c r="C41" s="209"/>
      <c r="D41" s="209"/>
      <c r="E41" s="209"/>
      <c r="F41" s="209"/>
      <c r="G41" s="209"/>
      <c r="H41" s="209"/>
    </row>
    <row r="42" spans="2:8" ht="15">
      <c r="B42" s="200"/>
      <c r="C42" s="202" t="s">
        <v>289</v>
      </c>
      <c r="D42" s="202"/>
      <c r="E42" s="202"/>
      <c r="F42" s="202"/>
      <c r="G42" s="202"/>
      <c r="H42" s="98"/>
    </row>
    <row r="43" spans="2:8" ht="15">
      <c r="B43" s="200"/>
      <c r="C43" s="203" t="s">
        <v>290</v>
      </c>
      <c r="D43" s="203" t="s">
        <v>291</v>
      </c>
      <c r="E43" s="203" t="s">
        <v>292</v>
      </c>
      <c r="F43" s="205" t="s">
        <v>293</v>
      </c>
      <c r="G43" s="206"/>
      <c r="H43" s="98"/>
    </row>
    <row r="44" spans="2:8" ht="15">
      <c r="B44" s="201"/>
      <c r="C44" s="204"/>
      <c r="D44" s="204"/>
      <c r="E44" s="204"/>
      <c r="F44" s="99" t="s">
        <v>294</v>
      </c>
      <c r="G44" s="99" t="s">
        <v>295</v>
      </c>
      <c r="H44" s="98"/>
    </row>
    <row r="45" spans="2:8" ht="15">
      <c r="B45" s="100" t="s">
        <v>296</v>
      </c>
      <c r="C45" s="101">
        <v>0.19</v>
      </c>
      <c r="D45" s="102">
        <f>E45/12</f>
        <v>1543.9166666666667</v>
      </c>
      <c r="E45" s="102">
        <v>18527</v>
      </c>
      <c r="F45" s="103">
        <f>C45*D45</f>
        <v>293.3441666666667</v>
      </c>
      <c r="G45" s="103">
        <f>F45*12</f>
        <v>3520.13</v>
      </c>
      <c r="H45" s="104"/>
    </row>
    <row r="46" spans="2:8" ht="76.5">
      <c r="B46" s="100" t="s">
        <v>270</v>
      </c>
      <c r="C46" s="106" t="s">
        <v>300</v>
      </c>
      <c r="D46" s="106" t="s">
        <v>301</v>
      </c>
      <c r="E46" s="106" t="s">
        <v>302</v>
      </c>
      <c r="F46" s="107">
        <f>7*4*5*4</f>
        <v>560</v>
      </c>
      <c r="G46" s="107">
        <f>F46*8</f>
        <v>4480</v>
      </c>
      <c r="H46" s="104"/>
    </row>
    <row r="47" spans="2:8" ht="15">
      <c r="B47" s="100" t="s">
        <v>303</v>
      </c>
      <c r="C47" s="33"/>
      <c r="D47" s="40"/>
      <c r="E47" s="40"/>
      <c r="F47" s="45"/>
      <c r="G47" s="108">
        <f>SUM(G45:G46)</f>
        <v>8000.13</v>
      </c>
      <c r="H47" s="104"/>
    </row>
    <row r="49" spans="2:8" ht="15">
      <c r="B49" s="200"/>
      <c r="C49" s="202" t="s">
        <v>304</v>
      </c>
      <c r="D49" s="202"/>
      <c r="E49" s="202"/>
      <c r="F49" s="202"/>
      <c r="G49" s="202"/>
      <c r="H49" s="98"/>
    </row>
    <row r="50" spans="2:8" ht="15">
      <c r="B50" s="200"/>
      <c r="C50" s="203" t="s">
        <v>290</v>
      </c>
      <c r="D50" s="203" t="s">
        <v>291</v>
      </c>
      <c r="E50" s="203" t="s">
        <v>292</v>
      </c>
      <c r="F50" s="205" t="s">
        <v>293</v>
      </c>
      <c r="G50" s="206"/>
      <c r="H50" s="98"/>
    </row>
    <row r="51" spans="2:8" ht="15">
      <c r="B51" s="201"/>
      <c r="C51" s="204"/>
      <c r="D51" s="204"/>
      <c r="E51" s="204"/>
      <c r="F51" s="99" t="s">
        <v>294</v>
      </c>
      <c r="G51" s="99" t="s">
        <v>295</v>
      </c>
      <c r="H51" s="98"/>
    </row>
    <row r="52" spans="2:8" ht="15">
      <c r="B52" s="100" t="s">
        <v>296</v>
      </c>
      <c r="C52" s="101">
        <v>0.19</v>
      </c>
      <c r="D52" s="102">
        <f>E52/12</f>
        <v>2368.5833333333335</v>
      </c>
      <c r="E52" s="102">
        <v>28423</v>
      </c>
      <c r="F52" s="103">
        <f>G52/12</f>
        <v>450.0308333333333</v>
      </c>
      <c r="G52" s="103">
        <f>C52*E52</f>
        <v>5400.37</v>
      </c>
      <c r="H52" s="104"/>
    </row>
    <row r="53" spans="2:8" ht="15">
      <c r="B53" s="100" t="s">
        <v>297</v>
      </c>
      <c r="C53" s="101">
        <v>1680</v>
      </c>
      <c r="D53" s="105"/>
      <c r="E53" s="101" t="s">
        <v>299</v>
      </c>
      <c r="F53" s="103">
        <f>G53/12</f>
        <v>280</v>
      </c>
      <c r="G53" s="103">
        <f>C53*2</f>
        <v>3360</v>
      </c>
      <c r="H53" s="104"/>
    </row>
    <row r="54" spans="2:8" ht="15">
      <c r="B54" s="100" t="s">
        <v>298</v>
      </c>
      <c r="C54" s="101">
        <v>1500</v>
      </c>
      <c r="D54" s="105"/>
      <c r="E54" s="105" t="s">
        <v>299</v>
      </c>
      <c r="F54" s="103">
        <v>1500</v>
      </c>
      <c r="G54" s="103">
        <f>F54*2</f>
        <v>3000</v>
      </c>
      <c r="H54" s="104"/>
    </row>
    <row r="55" spans="2:8" ht="76.5">
      <c r="B55" s="100" t="s">
        <v>270</v>
      </c>
      <c r="C55" s="106" t="s">
        <v>300</v>
      </c>
      <c r="D55" s="106" t="s">
        <v>305</v>
      </c>
      <c r="E55" s="106" t="s">
        <v>302</v>
      </c>
      <c r="F55" s="107">
        <f>7*4*4*4</f>
        <v>448</v>
      </c>
      <c r="G55" s="107">
        <f>F55*5</f>
        <v>2240</v>
      </c>
      <c r="H55" s="104"/>
    </row>
    <row r="56" spans="2:8" ht="15">
      <c r="B56" s="100" t="s">
        <v>306</v>
      </c>
      <c r="C56" s="33"/>
      <c r="D56" s="40"/>
      <c r="E56" s="40"/>
      <c r="F56" s="45"/>
      <c r="G56" s="108">
        <f>SUM(G52:G55)</f>
        <v>14000.369999999999</v>
      </c>
      <c r="H56" s="104"/>
    </row>
    <row r="58" spans="2:7" ht="15">
      <c r="B58" s="200"/>
      <c r="C58" s="202" t="s">
        <v>307</v>
      </c>
      <c r="D58" s="202"/>
      <c r="E58" s="202"/>
      <c r="F58" s="202"/>
      <c r="G58" s="202"/>
    </row>
    <row r="59" spans="2:7" ht="15">
      <c r="B59" s="200"/>
      <c r="C59" s="203" t="s">
        <v>290</v>
      </c>
      <c r="D59" s="203" t="s">
        <v>291</v>
      </c>
      <c r="E59" s="203" t="s">
        <v>292</v>
      </c>
      <c r="F59" s="205" t="s">
        <v>293</v>
      </c>
      <c r="G59" s="206"/>
    </row>
    <row r="60" spans="2:7" ht="15">
      <c r="B60" s="201"/>
      <c r="C60" s="204"/>
      <c r="D60" s="204"/>
      <c r="E60" s="204"/>
      <c r="F60" s="99" t="s">
        <v>294</v>
      </c>
      <c r="G60" s="99" t="s">
        <v>295</v>
      </c>
    </row>
    <row r="61" spans="2:7" ht="15">
      <c r="B61" s="100" t="s">
        <v>296</v>
      </c>
      <c r="C61" s="101">
        <v>0.19</v>
      </c>
      <c r="D61" s="102">
        <f>E61/12</f>
        <v>3043.9166666666665</v>
      </c>
      <c r="E61" s="102">
        <v>36527</v>
      </c>
      <c r="F61" s="103">
        <f>G61/12</f>
        <v>578.3441666666666</v>
      </c>
      <c r="G61" s="103">
        <f>C61*E61</f>
        <v>6940.13</v>
      </c>
    </row>
    <row r="62" spans="2:7" ht="15">
      <c r="B62" s="100" t="s">
        <v>297</v>
      </c>
      <c r="C62" s="101">
        <v>1680</v>
      </c>
      <c r="D62" s="105"/>
      <c r="E62" s="101" t="s">
        <v>310</v>
      </c>
      <c r="F62" s="103">
        <f>G62/12</f>
        <v>840</v>
      </c>
      <c r="G62" s="103">
        <f>C62*6</f>
        <v>10080</v>
      </c>
    </row>
    <row r="63" spans="2:7" ht="15">
      <c r="B63" s="100" t="s">
        <v>298</v>
      </c>
      <c r="C63" s="101">
        <v>1500</v>
      </c>
      <c r="D63" s="105"/>
      <c r="E63" s="105" t="s">
        <v>310</v>
      </c>
      <c r="F63" s="103">
        <v>1500</v>
      </c>
      <c r="G63" s="103">
        <f>F63*5</f>
        <v>7500</v>
      </c>
    </row>
    <row r="64" spans="2:7" ht="76.5">
      <c r="B64" s="100" t="s">
        <v>270</v>
      </c>
      <c r="C64" s="106" t="s">
        <v>300</v>
      </c>
      <c r="D64" s="106" t="s">
        <v>308</v>
      </c>
      <c r="E64" s="106" t="s">
        <v>302</v>
      </c>
      <c r="F64" s="39">
        <f>7*5*4*4</f>
        <v>560</v>
      </c>
      <c r="G64" s="39">
        <f>F64*8</f>
        <v>4480</v>
      </c>
    </row>
    <row r="65" spans="2:7" ht="15">
      <c r="B65" s="100" t="s">
        <v>309</v>
      </c>
      <c r="C65" s="33"/>
      <c r="D65" s="40"/>
      <c r="E65" s="40"/>
      <c r="F65" s="45"/>
      <c r="G65" s="108">
        <f>SUM(G61:G64)</f>
        <v>29000.13</v>
      </c>
    </row>
  </sheetData>
  <sheetProtection/>
  <mergeCells count="23">
    <mergeCell ref="B7:H7"/>
    <mergeCell ref="C9:D9"/>
    <mergeCell ref="E9:F9"/>
    <mergeCell ref="G9:H9"/>
    <mergeCell ref="B41:H41"/>
    <mergeCell ref="F43:G43"/>
    <mergeCell ref="B49:B51"/>
    <mergeCell ref="C49:G49"/>
    <mergeCell ref="C50:C51"/>
    <mergeCell ref="D50:D51"/>
    <mergeCell ref="E50:E51"/>
    <mergeCell ref="F50:G50"/>
    <mergeCell ref="B42:B44"/>
    <mergeCell ref="C42:G42"/>
    <mergeCell ref="C43:C44"/>
    <mergeCell ref="D43:D44"/>
    <mergeCell ref="E43:E44"/>
    <mergeCell ref="B58:B60"/>
    <mergeCell ref="C58:G58"/>
    <mergeCell ref="C59:C60"/>
    <mergeCell ref="D59:D60"/>
    <mergeCell ref="E59:E60"/>
    <mergeCell ref="F59:G5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11"/>
  <sheetViews>
    <sheetView zoomScalePageLayoutView="0" workbookViewId="0" topLeftCell="A1">
      <selection activeCell="E22" sqref="E22"/>
    </sheetView>
  </sheetViews>
  <sheetFormatPr defaultColWidth="11.421875" defaultRowHeight="15"/>
  <sheetData>
    <row r="4" spans="1:6" ht="15">
      <c r="A4" t="s">
        <v>107</v>
      </c>
      <c r="B4" t="s">
        <v>108</v>
      </c>
      <c r="F4" t="s">
        <v>122</v>
      </c>
    </row>
    <row r="6" spans="2:5" ht="15">
      <c r="B6" t="s">
        <v>110</v>
      </c>
      <c r="C6" t="s">
        <v>6</v>
      </c>
      <c r="D6">
        <v>2.78</v>
      </c>
      <c r="E6">
        <f>9*2.78</f>
        <v>25.02</v>
      </c>
    </row>
    <row r="7" spans="2:5" ht="15">
      <c r="B7" t="s">
        <v>32</v>
      </c>
      <c r="C7" t="s">
        <v>111</v>
      </c>
      <c r="D7">
        <v>1.62</v>
      </c>
      <c r="E7">
        <v>167</v>
      </c>
    </row>
    <row r="8" spans="2:5" ht="15">
      <c r="B8" t="s">
        <v>112</v>
      </c>
      <c r="C8">
        <v>675</v>
      </c>
      <c r="D8">
        <v>0.18</v>
      </c>
      <c r="E8">
        <v>121.5</v>
      </c>
    </row>
    <row r="9" spans="2:5" ht="15">
      <c r="B9" t="s">
        <v>113</v>
      </c>
      <c r="C9">
        <v>2025</v>
      </c>
      <c r="D9">
        <v>0.06</v>
      </c>
      <c r="E9">
        <v>121.5</v>
      </c>
    </row>
    <row r="10" spans="2:5" ht="15">
      <c r="B10" t="s">
        <v>36</v>
      </c>
      <c r="C10" t="s">
        <v>119</v>
      </c>
      <c r="E10" s="17">
        <f>(333*0.05)*675</f>
        <v>11238.750000000002</v>
      </c>
    </row>
    <row r="11" spans="2:5" ht="15">
      <c r="B11" t="s">
        <v>120</v>
      </c>
      <c r="C11" t="s">
        <v>121</v>
      </c>
      <c r="E11" s="18">
        <f>SUM(E6:E10)</f>
        <v>11673.770000000002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8"/>
  <sheetViews>
    <sheetView showGridLines="0" zoomScalePageLayoutView="0" workbookViewId="0" topLeftCell="J19">
      <selection activeCell="P32" sqref="A1:P32"/>
    </sheetView>
  </sheetViews>
  <sheetFormatPr defaultColWidth="11.421875" defaultRowHeight="15"/>
  <cols>
    <col min="1" max="1" width="2.421875" style="0" customWidth="1"/>
    <col min="2" max="2" width="34.421875" style="0" customWidth="1"/>
    <col min="3" max="3" width="23.28125" style="0" hidden="1" customWidth="1"/>
    <col min="4" max="4" width="0" style="0" hidden="1" customWidth="1"/>
    <col min="5" max="8" width="12.28125" style="0" customWidth="1"/>
    <col min="9" max="10" width="15.8515625" style="0" customWidth="1"/>
    <col min="11" max="11" width="14.8515625" style="0" customWidth="1"/>
    <col min="12" max="15" width="12.28125" style="0" bestFit="1" customWidth="1"/>
    <col min="16" max="16" width="1.28515625" style="0" customWidth="1"/>
  </cols>
  <sheetData>
    <row r="2" spans="2:15" ht="15">
      <c r="B2" s="210" t="s">
        <v>311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4" spans="3:15" ht="15">
      <c r="C4" s="132"/>
      <c r="D4" s="132"/>
      <c r="E4" s="132" t="s">
        <v>200</v>
      </c>
      <c r="F4" s="132" t="s">
        <v>80</v>
      </c>
      <c r="G4" s="133" t="s">
        <v>91</v>
      </c>
      <c r="H4" s="133" t="s">
        <v>101</v>
      </c>
      <c r="I4" s="133" t="s">
        <v>102</v>
      </c>
      <c r="J4" s="133" t="s">
        <v>103</v>
      </c>
      <c r="K4" s="133" t="s">
        <v>104</v>
      </c>
      <c r="L4" s="133" t="s">
        <v>105</v>
      </c>
      <c r="M4" s="133" t="s">
        <v>170</v>
      </c>
      <c r="N4" s="133" t="s">
        <v>106</v>
      </c>
      <c r="O4" s="132" t="s">
        <v>123</v>
      </c>
    </row>
    <row r="5" spans="2:15" ht="15">
      <c r="B5" s="134" t="s">
        <v>95</v>
      </c>
      <c r="C5" s="135"/>
      <c r="D5" s="48"/>
      <c r="E5" s="48"/>
      <c r="F5" s="48">
        <f>+VENTAS!F8</f>
        <v>121500</v>
      </c>
      <c r="G5" s="48">
        <f>+VENTAS!F9</f>
        <v>137700</v>
      </c>
      <c r="H5" s="48">
        <f>+VENTAS!$F$10</f>
        <v>162000</v>
      </c>
      <c r="I5" s="48">
        <f>+VENTAS!$F$10</f>
        <v>162000</v>
      </c>
      <c r="J5" s="48">
        <f>+VENTAS!$F$10</f>
        <v>162000</v>
      </c>
      <c r="K5" s="48">
        <f>+VENTAS!$F$10</f>
        <v>162000</v>
      </c>
      <c r="L5" s="48">
        <f>+VENTAS!$F$10</f>
        <v>162000</v>
      </c>
      <c r="M5" s="48">
        <f>+VENTAS!$F$10</f>
        <v>162000</v>
      </c>
      <c r="N5" s="48">
        <f>+VENTAS!$F$10</f>
        <v>162000</v>
      </c>
      <c r="O5" s="48">
        <f>+VENTAS!$F$10</f>
        <v>162000</v>
      </c>
    </row>
    <row r="6" spans="2:15" ht="15">
      <c r="B6" s="134" t="s">
        <v>96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5">
      <c r="B7" s="134" t="s">
        <v>97</v>
      </c>
      <c r="C7" s="39"/>
      <c r="D7" s="48"/>
      <c r="E7" s="48"/>
      <c r="F7" s="48">
        <f>+F5</f>
        <v>121500</v>
      </c>
      <c r="G7" s="48">
        <f>+G5</f>
        <v>137700</v>
      </c>
      <c r="H7" s="48">
        <f>+H5</f>
        <v>162000</v>
      </c>
      <c r="I7" s="48">
        <f>+I5</f>
        <v>162000</v>
      </c>
      <c r="J7" s="48">
        <f>+J5</f>
        <v>162000</v>
      </c>
      <c r="K7" s="48">
        <f>SUM(K5:K6)</f>
        <v>162000</v>
      </c>
      <c r="L7" s="48">
        <f>SUM(L5:L6)</f>
        <v>162000</v>
      </c>
      <c r="M7" s="48">
        <f>SUM(M5:M6)</f>
        <v>162000</v>
      </c>
      <c r="N7" s="48">
        <f>SUM(N5:N6)</f>
        <v>162000</v>
      </c>
      <c r="O7" s="48">
        <f>SUM(O5:O6)</f>
        <v>162000</v>
      </c>
    </row>
    <row r="8" spans="2:15" ht="15">
      <c r="B8" s="134" t="s">
        <v>98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2:15" ht="15">
      <c r="B9" s="134" t="s">
        <v>99</v>
      </c>
      <c r="C9" s="39"/>
      <c r="D9" s="48"/>
      <c r="E9" s="49"/>
      <c r="F9" s="49">
        <f>+'COSTO MAT. Y M.O'!E126</f>
        <v>39001.49999999999</v>
      </c>
      <c r="G9" s="49">
        <f>+'COSTO MAT. Y M.O'!F126</f>
        <v>44201.7</v>
      </c>
      <c r="H9" s="49">
        <f>+'COSTO MAT. Y M.O'!$G$126</f>
        <v>52001.99999999999</v>
      </c>
      <c r="I9" s="49">
        <f>+'COSTO MAT. Y M.O'!$G$126</f>
        <v>52001.99999999999</v>
      </c>
      <c r="J9" s="49">
        <f>+'COSTO MAT. Y M.O'!$G$126</f>
        <v>52001.99999999999</v>
      </c>
      <c r="K9" s="49">
        <f>+'COSTO MAT. Y M.O'!$G$126</f>
        <v>52001.99999999999</v>
      </c>
      <c r="L9" s="49">
        <f>+'COSTO MAT. Y M.O'!$G$126</f>
        <v>52001.99999999999</v>
      </c>
      <c r="M9" s="49">
        <f>+'COSTO MAT. Y M.O'!$G$126</f>
        <v>52001.99999999999</v>
      </c>
      <c r="N9" s="49">
        <f>+'COSTO MAT. Y M.O'!$G$126</f>
        <v>52001.99999999999</v>
      </c>
      <c r="O9" s="49">
        <f>+'COSTO MAT. Y M.O'!$G$126</f>
        <v>52001.99999999999</v>
      </c>
    </row>
    <row r="10" spans="2:15" ht="15">
      <c r="B10" s="134" t="s">
        <v>41</v>
      </c>
      <c r="C10" s="39"/>
      <c r="D10" s="49"/>
      <c r="E10" s="49"/>
      <c r="F10" s="49">
        <f>+'COSTO MAT. Y M.O'!$E$127</f>
        <v>44519.03999999999</v>
      </c>
      <c r="G10" s="49">
        <f>+'COSTO MAT. Y M.O'!$E$127</f>
        <v>44519.03999999999</v>
      </c>
      <c r="H10" s="49">
        <f>+'COSTO MAT. Y M.O'!$E$127</f>
        <v>44519.03999999999</v>
      </c>
      <c r="I10" s="49">
        <f>+'COSTO MAT. Y M.O'!$E$127</f>
        <v>44519.03999999999</v>
      </c>
      <c r="J10" s="49">
        <f>+'COSTO MAT. Y M.O'!$E$127</f>
        <v>44519.03999999999</v>
      </c>
      <c r="K10" s="49">
        <f>+'COSTO MAT. Y M.O'!$E$127</f>
        <v>44519.03999999999</v>
      </c>
      <c r="L10" s="49">
        <f>+'COSTO MAT. Y M.O'!$E$127</f>
        <v>44519.03999999999</v>
      </c>
      <c r="M10" s="49">
        <f>+'COSTO MAT. Y M.O'!$E$127</f>
        <v>44519.03999999999</v>
      </c>
      <c r="N10" s="49">
        <f>+'COSTO MAT. Y M.O'!$E$127</f>
        <v>44519.03999999999</v>
      </c>
      <c r="O10" s="49">
        <f>+'COSTO MAT. Y M.O'!$E$127</f>
        <v>44519.03999999999</v>
      </c>
    </row>
    <row r="11" spans="2:15" ht="15">
      <c r="B11" s="134" t="s">
        <v>58</v>
      </c>
      <c r="C11" s="39"/>
      <c r="D11" s="49"/>
      <c r="E11" s="49"/>
      <c r="F11" s="49">
        <f>+'COSTO MAT. Y M.O'!$E$130</f>
        <v>4577.4</v>
      </c>
      <c r="G11" s="49">
        <f>+'COSTO MAT. Y M.O'!$E$130</f>
        <v>4577.4</v>
      </c>
      <c r="H11" s="49">
        <f>+'COSTO MAT. Y M.O'!$E$130</f>
        <v>4577.4</v>
      </c>
      <c r="I11" s="49">
        <f>+'COSTO MAT. Y M.O'!$E$130</f>
        <v>4577.4</v>
      </c>
      <c r="J11" s="49">
        <f>+'COSTO MAT. Y M.O'!$E$130</f>
        <v>4577.4</v>
      </c>
      <c r="K11" s="49">
        <f>+'COSTO MAT. Y M.O'!$E$130</f>
        <v>4577.4</v>
      </c>
      <c r="L11" s="49">
        <f>+'COSTO MAT. Y M.O'!$E$130</f>
        <v>4577.4</v>
      </c>
      <c r="M11" s="49">
        <f>+'COSTO MAT. Y M.O'!$E$130</f>
        <v>4577.4</v>
      </c>
      <c r="N11" s="49">
        <f>+'COSTO MAT. Y M.O'!$E$130</f>
        <v>4577.4</v>
      </c>
      <c r="O11" s="49">
        <f>+'COSTO MAT. Y M.O'!$E$130</f>
        <v>4577.4</v>
      </c>
    </row>
    <row r="12" spans="2:15" ht="15">
      <c r="B12" s="134" t="s">
        <v>161</v>
      </c>
      <c r="C12" s="39"/>
      <c r="D12" s="49"/>
      <c r="E12" s="49"/>
      <c r="F12" s="49">
        <f>+'COSTO MAT. Y M.O'!$E$133+'COSTO MAT. Y M.O'!$E$134+'COSTO MAT. Y M.O'!$E$135</f>
        <v>2481.411</v>
      </c>
      <c r="G12" s="49">
        <f>+'COSTO MAT. Y M.O'!$F$133+'COSTO MAT. Y M.O'!$E$134+'COSTO MAT. Y M.O'!$E$135</f>
        <v>2661.331</v>
      </c>
      <c r="H12" s="49">
        <f>+'COSTO MAT. Y M.O'!$G$133+'COSTO MAT. Y M.O'!$E$134+'COSTO MAT. Y M.O'!$E$135</f>
        <v>2913.411</v>
      </c>
      <c r="I12" s="49">
        <f>+'COSTO MAT. Y M.O'!$G$133+'COSTO MAT. Y M.O'!$E$134+'COSTO MAT. Y M.O'!$E$135</f>
        <v>2913.411</v>
      </c>
      <c r="J12" s="49">
        <f>+'COSTO MAT. Y M.O'!$G$133+'COSTO MAT. Y M.O'!$E$134+'COSTO MAT. Y M.O'!$E$135</f>
        <v>2913.411</v>
      </c>
      <c r="K12" s="49">
        <f>+'COSTO MAT. Y M.O'!$G$133+'COSTO MAT. Y M.O'!$E$134+'COSTO MAT. Y M.O'!$E$135</f>
        <v>2913.411</v>
      </c>
      <c r="L12" s="49">
        <f>+'COSTO MAT. Y M.O'!$G$133+'COSTO MAT. Y M.O'!$E$134+'COSTO MAT. Y M.O'!$E$135</f>
        <v>2913.411</v>
      </c>
      <c r="M12" s="49">
        <f>+'COSTO MAT. Y M.O'!$G$133+'COSTO MAT. Y M.O'!$E$134+'COSTO MAT. Y M.O'!$E$135</f>
        <v>2913.411</v>
      </c>
      <c r="N12" s="49">
        <f>+'COSTO MAT. Y M.O'!$G$133+'COSTO MAT. Y M.O'!$E$134+'COSTO MAT. Y M.O'!$E$135</f>
        <v>2913.411</v>
      </c>
      <c r="O12" s="49">
        <f>+'COSTO MAT. Y M.O'!$G$133+'COSTO MAT. Y M.O'!$E$134+'COSTO MAT. Y M.O'!$E$135</f>
        <v>2913.411</v>
      </c>
    </row>
    <row r="13" spans="2:15" ht="15">
      <c r="B13" s="134" t="s">
        <v>31</v>
      </c>
      <c r="C13" s="39"/>
      <c r="D13" s="49"/>
      <c r="E13" s="49"/>
      <c r="F13" s="49">
        <f>+'COSTO MAT. Y M.O'!E134</f>
        <v>1317.411</v>
      </c>
      <c r="G13" s="49">
        <f>+'COSTO MAT. Y M.O'!F131</f>
        <v>1317.41</v>
      </c>
      <c r="H13" s="49">
        <f>+'COSTO MAT. Y M.O'!$G$131</f>
        <v>1317.41</v>
      </c>
      <c r="I13" s="49">
        <f>+'COSTO MAT. Y M.O'!$G$131</f>
        <v>1317.41</v>
      </c>
      <c r="J13" s="49">
        <f>+'COSTO MAT. Y M.O'!$G$131</f>
        <v>1317.41</v>
      </c>
      <c r="K13" s="49">
        <f>+'COSTO MAT. Y M.O'!$G$131</f>
        <v>1317.41</v>
      </c>
      <c r="L13" s="49">
        <f>+'COSTO MAT. Y M.O'!$G$131</f>
        <v>1317.41</v>
      </c>
      <c r="M13" s="49">
        <f>+'COSTO MAT. Y M.O'!$G$131</f>
        <v>1317.41</v>
      </c>
      <c r="N13" s="49">
        <f>+'COSTO MAT. Y M.O'!$G$131</f>
        <v>1317.41</v>
      </c>
      <c r="O13" s="49">
        <f>+'COSTO MAT. Y M.O'!$G$131</f>
        <v>1317.41</v>
      </c>
    </row>
    <row r="14" spans="2:15" ht="15">
      <c r="B14" s="134" t="s">
        <v>205</v>
      </c>
      <c r="C14" s="39"/>
      <c r="D14" s="49"/>
      <c r="E14" s="49"/>
      <c r="F14" s="49">
        <f>-$E$30*20%</f>
        <v>234.04127295</v>
      </c>
      <c r="G14" s="49">
        <f>-$E$30*20%</f>
        <v>234.04127295</v>
      </c>
      <c r="H14" s="49">
        <f>-$E$30*20%</f>
        <v>234.04127295</v>
      </c>
      <c r="I14" s="49">
        <f>-$E$30*20%</f>
        <v>234.04127295</v>
      </c>
      <c r="J14" s="49">
        <f>-$E$30*20%</f>
        <v>234.04127295</v>
      </c>
      <c r="K14" s="49"/>
      <c r="L14" s="49"/>
      <c r="M14" s="49"/>
      <c r="N14" s="49"/>
      <c r="O14" s="49"/>
    </row>
    <row r="15" spans="2:15" ht="15">
      <c r="B15" s="134" t="s">
        <v>100</v>
      </c>
      <c r="C15" s="39"/>
      <c r="D15" s="49"/>
      <c r="E15" s="49"/>
      <c r="F15" s="49">
        <f>+'COSTO MAT. Y M.O'!E146</f>
        <v>18054.95508</v>
      </c>
      <c r="G15" s="49">
        <f>+'COSTO MAT. Y M.O'!F146</f>
        <v>32645.00448</v>
      </c>
      <c r="H15" s="49">
        <f>+'COSTO MAT. Y M.O'!$G$146</f>
        <v>48609.134</v>
      </c>
      <c r="I15" s="49">
        <f>+'COSTO MAT. Y M.O'!$G$146</f>
        <v>48609.134</v>
      </c>
      <c r="J15" s="49">
        <f>+'COSTO MAT. Y M.O'!$G$146</f>
        <v>48609.134</v>
      </c>
      <c r="K15" s="49">
        <f>+'COSTO MAT. Y M.O'!$G$146</f>
        <v>48609.134</v>
      </c>
      <c r="L15" s="49">
        <f>+'COSTO MAT. Y M.O'!$G$146</f>
        <v>48609.134</v>
      </c>
      <c r="M15" s="49">
        <f>+'COSTO MAT. Y M.O'!$G$146</f>
        <v>48609.134</v>
      </c>
      <c r="N15" s="49">
        <f>+'COSTO MAT. Y M.O'!$G$146</f>
        <v>48609.134</v>
      </c>
      <c r="O15" s="49">
        <f>+'COSTO MAT. Y M.O'!$G$146</f>
        <v>48609.134</v>
      </c>
    </row>
    <row r="16" spans="2:15" ht="15">
      <c r="B16" s="134" t="s">
        <v>94</v>
      </c>
      <c r="C16" s="39"/>
      <c r="D16" s="49"/>
      <c r="E16" s="49"/>
      <c r="F16" s="49">
        <f>+'COSTO MAT. Y M.O'!$E$142</f>
        <v>7447</v>
      </c>
      <c r="G16" s="49">
        <f>+'COSTO MAT. Y M.O'!$E$142</f>
        <v>7447</v>
      </c>
      <c r="H16" s="49">
        <f>+'COSTO MAT. Y M.O'!$E$142</f>
        <v>7447</v>
      </c>
      <c r="I16" s="49">
        <f>+'COSTO MAT. Y M.O'!$E$142</f>
        <v>7447</v>
      </c>
      <c r="J16" s="49">
        <f>+'COSTO MAT. Y M.O'!$E$142</f>
        <v>7447</v>
      </c>
      <c r="K16" s="49">
        <f>+'COSTO MAT. Y M.O'!$E$142</f>
        <v>7447</v>
      </c>
      <c r="L16" s="49">
        <f>+'COSTO MAT. Y M.O'!$E$142</f>
        <v>7447</v>
      </c>
      <c r="M16" s="49">
        <f>+'COSTO MAT. Y M.O'!$E$142</f>
        <v>7447</v>
      </c>
      <c r="N16" s="49">
        <f>+'COSTO MAT. Y M.O'!$E$142</f>
        <v>7447</v>
      </c>
      <c r="O16" s="49">
        <f>+'COSTO MAT. Y M.O'!$E$142</f>
        <v>7447</v>
      </c>
    </row>
    <row r="17" spans="2:15" ht="15">
      <c r="B17" s="134" t="s">
        <v>160</v>
      </c>
      <c r="C17" s="3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2:15" ht="15">
      <c r="B18" s="134" t="s">
        <v>139</v>
      </c>
      <c r="C18" s="39"/>
      <c r="D18" s="49"/>
      <c r="E18" s="49"/>
      <c r="F18" s="49"/>
      <c r="G18" s="49">
        <f>+'ESTADO DE PERDIDAS Y GANANCIAS'!E11</f>
        <v>580.0863970575032</v>
      </c>
      <c r="H18" s="49">
        <f>+'ESTADO DE PERDIDAS Y GANANCIAS'!F11</f>
        <v>14.560987057501734</v>
      </c>
      <c r="I18" s="49">
        <f>+'ESTADO DE PERDIDAS Y GANANCIAS'!G11</f>
        <v>57.08455905750343</v>
      </c>
      <c r="J18" s="49">
        <f>+'ESTADO DE PERDIDAS Y GANANCIAS'!$G$11</f>
        <v>57.08455905750343</v>
      </c>
      <c r="K18" s="49">
        <f>+'ESTADO DE PERDIDAS Y GANANCIAS'!$G$11</f>
        <v>57.08455905750343</v>
      </c>
      <c r="L18" s="49">
        <f>+'ESTADO DE PERDIDAS Y GANANCIAS'!$J$11</f>
        <v>92.19075000000267</v>
      </c>
      <c r="M18" s="49">
        <f>+'ESTADO DE PERDIDAS Y GANANCIAS'!$J$11</f>
        <v>92.19075000000267</v>
      </c>
      <c r="N18" s="49">
        <f>+'ESTADO DE PERDIDAS Y GANANCIAS'!$J$11</f>
        <v>92.19075000000267</v>
      </c>
      <c r="O18" s="49">
        <f>+'ESTADO DE PERDIDAS Y GANANCIAS'!$J$11</f>
        <v>92.19075000000267</v>
      </c>
    </row>
    <row r="19" spans="2:15" ht="15">
      <c r="B19" s="134" t="s">
        <v>141</v>
      </c>
      <c r="C19" s="39"/>
      <c r="D19" s="49"/>
      <c r="E19" s="49"/>
      <c r="F19" s="49"/>
      <c r="G19" s="49">
        <f>+'ESTADO DE PERDIDAS Y GANANCIAS'!E13</f>
        <v>821.7890624981295</v>
      </c>
      <c r="H19" s="49">
        <f>+'ESTADO DE PERDIDAS Y GANANCIAS'!F13</f>
        <v>20.628064998127456</v>
      </c>
      <c r="I19" s="49">
        <f>+'ESTADO DE PERDIDAS Y GANANCIAS'!G13</f>
        <v>80.86979199812986</v>
      </c>
      <c r="J19" s="49">
        <f>+'ESTADO DE PERDIDAS Y GANANCIAS'!$G$13</f>
        <v>80.86979199812986</v>
      </c>
      <c r="K19" s="49">
        <f>+'ESTADO DE PERDIDAS Y GANANCIAS'!$G$13</f>
        <v>80.86979199812986</v>
      </c>
      <c r="L19" s="49">
        <f>+'ESTADO DE PERDIDAS Y GANANCIAS'!$J$13</f>
        <v>130.60356250000376</v>
      </c>
      <c r="M19" s="49">
        <f>+'ESTADO DE PERDIDAS Y GANANCIAS'!$J$13</f>
        <v>130.60356250000376</v>
      </c>
      <c r="N19" s="49">
        <f>+'ESTADO DE PERDIDAS Y GANANCIAS'!$J$13</f>
        <v>130.60356250000376</v>
      </c>
      <c r="O19" s="49">
        <f>+'ESTADO DE PERDIDAS Y GANANCIAS'!$J$13</f>
        <v>130.60356250000376</v>
      </c>
    </row>
    <row r="20" spans="2:15" ht="15">
      <c r="B20" s="134" t="s">
        <v>140</v>
      </c>
      <c r="C20" s="39"/>
      <c r="D20" s="49"/>
      <c r="E20" s="49"/>
      <c r="F20" s="49"/>
      <c r="G20" s="49"/>
      <c r="H20" s="49"/>
      <c r="I20" s="49"/>
      <c r="J20" s="49"/>
      <c r="K20" s="49"/>
      <c r="L20" s="49"/>
      <c r="M20" s="39"/>
      <c r="N20" s="39"/>
      <c r="O20" s="39"/>
    </row>
    <row r="21" spans="2:15" ht="15">
      <c r="B21" s="134" t="s">
        <v>276</v>
      </c>
      <c r="C21" s="39"/>
      <c r="D21" s="49"/>
      <c r="E21" s="49"/>
      <c r="F21" s="49"/>
      <c r="G21" s="49">
        <f>+'ESTADO DE PERDIDAS Y GANANCIAS'!E16</f>
        <v>2218.8304687449495</v>
      </c>
      <c r="H21" s="49">
        <f>+'ESTADO DE PERDIDAS Y GANANCIAS'!F16</f>
        <v>55.69577549494413</v>
      </c>
      <c r="I21" s="49">
        <f>+'ESTADO DE PERDIDAS Y GANANCIAS'!G16</f>
        <v>218.3484383949506</v>
      </c>
      <c r="J21" s="49">
        <f>+'ESTADO DE PERDIDAS Y GANANCIAS'!H16</f>
        <v>218.3484383949506</v>
      </c>
      <c r="K21" s="49">
        <f>+'ESTADO DE PERDIDAS Y GANANCIAS'!I16</f>
        <v>218.3484383949506</v>
      </c>
      <c r="L21" s="49">
        <f>+'ESTADO DE PERDIDAS Y GANANCIAS'!$J$16</f>
        <v>352.62961875001014</v>
      </c>
      <c r="M21" s="49">
        <f>+'ESTADO DE PERDIDAS Y GANANCIAS'!$J$16</f>
        <v>352.62961875001014</v>
      </c>
      <c r="N21" s="49">
        <f>+'ESTADO DE PERDIDAS Y GANANCIAS'!$J$16</f>
        <v>352.62961875001014</v>
      </c>
      <c r="O21" s="49">
        <f>+'ESTADO DE PERDIDAS Y GANANCIAS'!$J$16</f>
        <v>352.62961875001014</v>
      </c>
    </row>
    <row r="22" spans="2:15" ht="15">
      <c r="B22" s="134" t="s">
        <v>124</v>
      </c>
      <c r="C22" s="39"/>
      <c r="D22" s="54"/>
      <c r="E22" s="54"/>
      <c r="F22" s="54">
        <f aca="true" t="shared" si="0" ref="F22:K22">SUM(F9:F21)</f>
        <v>117632.75835294995</v>
      </c>
      <c r="G22" s="54">
        <f t="shared" si="0"/>
        <v>141223.6326812506</v>
      </c>
      <c r="H22" s="54">
        <f t="shared" si="0"/>
        <v>161710.32110050056</v>
      </c>
      <c r="I22" s="54">
        <f t="shared" si="0"/>
        <v>161975.73906240053</v>
      </c>
      <c r="J22" s="54">
        <f t="shared" si="0"/>
        <v>161975.73906240053</v>
      </c>
      <c r="K22" s="54">
        <f t="shared" si="0"/>
        <v>161741.69778945053</v>
      </c>
      <c r="L22" s="54">
        <f>SUM(L9:L21)</f>
        <v>161960.81893125</v>
      </c>
      <c r="M22" s="54">
        <f>SUM(M9:M21)</f>
        <v>161960.81893125</v>
      </c>
      <c r="N22" s="54">
        <f>SUM(N9:N21)</f>
        <v>161960.81893125</v>
      </c>
      <c r="O22" s="54">
        <f>SUM(O9:O21)</f>
        <v>161960.81893125</v>
      </c>
    </row>
    <row r="23" spans="2:15" ht="15">
      <c r="B23" s="134" t="s">
        <v>126</v>
      </c>
      <c r="C23" s="39"/>
      <c r="D23" s="48"/>
      <c r="E23" s="49"/>
      <c r="F23" s="49">
        <f aca="true" t="shared" si="1" ref="F23:O23">+F7-F22</f>
        <v>3867.2416470500466</v>
      </c>
      <c r="G23" s="49">
        <f>+G7-G22</f>
        <v>-3523.6326812506013</v>
      </c>
      <c r="H23" s="49">
        <f t="shared" si="1"/>
        <v>289.6788994994422</v>
      </c>
      <c r="I23" s="49">
        <f t="shared" si="1"/>
        <v>24.26093759946525</v>
      </c>
      <c r="J23" s="49">
        <f t="shared" si="1"/>
        <v>24.26093759946525</v>
      </c>
      <c r="K23" s="49">
        <f t="shared" si="1"/>
        <v>258.3022105494747</v>
      </c>
      <c r="L23" s="49">
        <f t="shared" si="1"/>
        <v>39.181068750011036</v>
      </c>
      <c r="M23" s="49">
        <f t="shared" si="1"/>
        <v>39.181068750011036</v>
      </c>
      <c r="N23" s="49">
        <f t="shared" si="1"/>
        <v>39.181068750011036</v>
      </c>
      <c r="O23" s="49">
        <f t="shared" si="1"/>
        <v>39.181068750011036</v>
      </c>
    </row>
    <row r="24" spans="2:15" ht="15">
      <c r="B24" s="134" t="s">
        <v>127</v>
      </c>
      <c r="C24" s="39"/>
      <c r="D24" s="48"/>
      <c r="E24" s="49"/>
      <c r="F24" s="49"/>
      <c r="G24" s="49">
        <f aca="true" t="shared" si="2" ref="G24:O24">+F31</f>
        <v>5418.692920000047</v>
      </c>
      <c r="H24" s="49">
        <f t="shared" si="2"/>
        <v>3446.5115116994452</v>
      </c>
      <c r="I24" s="49">
        <f t="shared" si="2"/>
        <v>5287.641684148888</v>
      </c>
      <c r="J24" s="49">
        <f t="shared" si="2"/>
        <v>6863.3538946983535</v>
      </c>
      <c r="K24" s="49">
        <f t="shared" si="2"/>
        <v>8439.066105247819</v>
      </c>
      <c r="L24" s="49">
        <f t="shared" si="2"/>
        <v>10014.778315797294</v>
      </c>
      <c r="M24" s="49">
        <f t="shared" si="2"/>
        <v>11371.369384547304</v>
      </c>
      <c r="N24" s="49">
        <f t="shared" si="2"/>
        <v>12727.960453297315</v>
      </c>
      <c r="O24" s="49">
        <f t="shared" si="2"/>
        <v>14084.551522047326</v>
      </c>
    </row>
    <row r="25" spans="2:15" ht="15">
      <c r="B25" s="134" t="s">
        <v>125</v>
      </c>
      <c r="C25" s="39"/>
      <c r="D25" s="48"/>
      <c r="E25" s="49"/>
      <c r="F25" s="49">
        <f aca="true" t="shared" si="3" ref="F25:O25">SUM(F23:F24)</f>
        <v>3867.2416470500466</v>
      </c>
      <c r="G25" s="49">
        <f t="shared" si="3"/>
        <v>1895.0602387494455</v>
      </c>
      <c r="H25" s="49">
        <f t="shared" si="3"/>
        <v>3736.1904111988874</v>
      </c>
      <c r="I25" s="49">
        <f t="shared" si="3"/>
        <v>5311.902621748353</v>
      </c>
      <c r="J25" s="49">
        <f t="shared" si="3"/>
        <v>6887.614832297819</v>
      </c>
      <c r="K25" s="49">
        <f t="shared" si="3"/>
        <v>8697.368315797294</v>
      </c>
      <c r="L25" s="49">
        <f t="shared" si="3"/>
        <v>10053.959384547305</v>
      </c>
      <c r="M25" s="49">
        <f t="shared" si="3"/>
        <v>11410.550453297315</v>
      </c>
      <c r="N25" s="49">
        <f t="shared" si="3"/>
        <v>12767.141522047326</v>
      </c>
      <c r="O25" s="49">
        <f t="shared" si="3"/>
        <v>14123.732590797337</v>
      </c>
    </row>
    <row r="26" spans="2:15" ht="15">
      <c r="B26" s="134" t="s">
        <v>162</v>
      </c>
      <c r="C26" s="39"/>
      <c r="D26" s="48"/>
      <c r="E26" s="48"/>
      <c r="F26" s="48">
        <v>1317.41</v>
      </c>
      <c r="G26" s="48">
        <v>1317.41</v>
      </c>
      <c r="H26" s="48">
        <v>1317.41</v>
      </c>
      <c r="I26" s="48">
        <v>1317.41</v>
      </c>
      <c r="J26" s="48">
        <v>1317.41</v>
      </c>
      <c r="K26" s="48">
        <v>1317.41</v>
      </c>
      <c r="L26" s="48">
        <v>1317.41</v>
      </c>
      <c r="M26" s="48">
        <v>1317.41</v>
      </c>
      <c r="N26" s="48">
        <v>1317.41</v>
      </c>
      <c r="O26" s="48">
        <v>1317.41</v>
      </c>
    </row>
    <row r="27" spans="2:15" ht="15">
      <c r="B27" s="134" t="s">
        <v>206</v>
      </c>
      <c r="C27" s="39"/>
      <c r="D27" s="48"/>
      <c r="E27" s="48"/>
      <c r="F27" s="48">
        <f>+F14</f>
        <v>234.04127295</v>
      </c>
      <c r="G27" s="48">
        <f>+G14</f>
        <v>234.04127295</v>
      </c>
      <c r="H27" s="48">
        <f>+H14</f>
        <v>234.04127295</v>
      </c>
      <c r="I27" s="48">
        <f>+I14</f>
        <v>234.04127295</v>
      </c>
      <c r="J27" s="48">
        <f>+J14</f>
        <v>234.04127295</v>
      </c>
      <c r="K27" s="48"/>
      <c r="L27" s="48"/>
      <c r="M27" s="48"/>
      <c r="N27" s="48"/>
      <c r="O27" s="48"/>
    </row>
    <row r="28" spans="2:15" ht="15">
      <c r="B28" s="134" t="s">
        <v>189</v>
      </c>
      <c r="C28" s="48"/>
      <c r="D28" s="48"/>
      <c r="E28" s="48">
        <f>-13174.11</f>
        <v>-13174.11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2:15" ht="15">
      <c r="B29" s="134" t="s">
        <v>191</v>
      </c>
      <c r="C29" s="48"/>
      <c r="D29" s="48"/>
      <c r="E29" s="48">
        <f>-+'COSTO MAT. Y M.O'!L44</f>
        <v>-10230.017295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2:15" ht="15">
      <c r="B30" s="134" t="s">
        <v>190</v>
      </c>
      <c r="C30" s="48"/>
      <c r="D30" s="48"/>
      <c r="E30" s="48">
        <f>-'COSTO MAT. Y M.O'!D98</f>
        <v>-1170.20636475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2:15" ht="15">
      <c r="B31" s="134" t="s">
        <v>163</v>
      </c>
      <c r="C31" s="48"/>
      <c r="D31" s="48"/>
      <c r="E31" s="48">
        <f>SUM(E28:E30)</f>
        <v>-24574.33365975</v>
      </c>
      <c r="F31" s="48">
        <f>SUM(F25:F27)</f>
        <v>5418.692920000047</v>
      </c>
      <c r="G31" s="48">
        <f aca="true" t="shared" si="4" ref="G31:O31">SUM(G25:G27)</f>
        <v>3446.5115116994452</v>
      </c>
      <c r="H31" s="48">
        <f t="shared" si="4"/>
        <v>5287.641684148888</v>
      </c>
      <c r="I31" s="48">
        <f t="shared" si="4"/>
        <v>6863.3538946983535</v>
      </c>
      <c r="J31" s="48">
        <f t="shared" si="4"/>
        <v>8439.066105247819</v>
      </c>
      <c r="K31" s="48">
        <f t="shared" si="4"/>
        <v>10014.778315797294</v>
      </c>
      <c r="L31" s="48">
        <f t="shared" si="4"/>
        <v>11371.369384547304</v>
      </c>
      <c r="M31" s="48">
        <f t="shared" si="4"/>
        <v>12727.960453297315</v>
      </c>
      <c r="N31" s="48">
        <f t="shared" si="4"/>
        <v>14084.551522047326</v>
      </c>
      <c r="O31" s="48">
        <f t="shared" si="4"/>
        <v>15441.142590797337</v>
      </c>
    </row>
    <row r="36" spans="6:8" ht="15">
      <c r="F36">
        <v>8000</v>
      </c>
      <c r="G36">
        <v>8000</v>
      </c>
      <c r="H36">
        <v>8000</v>
      </c>
    </row>
    <row r="37" spans="6:8" ht="15">
      <c r="F37">
        <v>-1440</v>
      </c>
      <c r="G37">
        <f>8700*0.2</f>
        <v>1740</v>
      </c>
      <c r="H37">
        <f>10800*0.2</f>
        <v>2160</v>
      </c>
    </row>
    <row r="38" spans="6:8" ht="15">
      <c r="F38">
        <f>SUM(F36:F37)</f>
        <v>6560</v>
      </c>
      <c r="G38">
        <f>SUM(G36:G37)</f>
        <v>9740</v>
      </c>
      <c r="H38">
        <f>SUM(H36:H37)</f>
        <v>10160</v>
      </c>
    </row>
  </sheetData>
  <sheetProtection/>
  <mergeCells count="1">
    <mergeCell ref="B2:O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M151"/>
  <sheetViews>
    <sheetView showGridLines="0" zoomScalePageLayoutView="0" workbookViewId="0" topLeftCell="A108">
      <selection activeCell="B121" sqref="B121:K152"/>
    </sheetView>
  </sheetViews>
  <sheetFormatPr defaultColWidth="11.421875" defaultRowHeight="15"/>
  <cols>
    <col min="2" max="2" width="2.57421875" style="0" customWidth="1"/>
    <col min="3" max="3" width="39.28125" style="0" customWidth="1"/>
    <col min="4" max="4" width="13.421875" style="0" hidden="1" customWidth="1"/>
    <col min="5" max="5" width="12.7109375" style="0" bestFit="1" customWidth="1"/>
    <col min="6" max="7" width="10.8515625" style="0" customWidth="1"/>
    <col min="8" max="8" width="10.140625" style="0" customWidth="1"/>
    <col min="9" max="9" width="10.28125" style="0" customWidth="1"/>
    <col min="10" max="10" width="16.7109375" style="0" customWidth="1"/>
    <col min="11" max="11" width="4.28125" style="0" customWidth="1"/>
    <col min="13" max="13" width="2.7109375" style="0" customWidth="1"/>
  </cols>
  <sheetData>
    <row r="4" spans="3:6" ht="15">
      <c r="C4" s="72" t="s">
        <v>0</v>
      </c>
      <c r="D4" s="72" t="s">
        <v>2</v>
      </c>
      <c r="F4" s="72" t="s">
        <v>10</v>
      </c>
    </row>
    <row r="5" spans="4:6" ht="15">
      <c r="D5" s="72" t="s">
        <v>3</v>
      </c>
      <c r="F5" s="72" t="s">
        <v>257</v>
      </c>
    </row>
    <row r="6" spans="3:6" ht="15">
      <c r="C6" s="44" t="s">
        <v>7</v>
      </c>
      <c r="D6" s="39"/>
      <c r="E6" s="39"/>
      <c r="F6" s="39"/>
    </row>
    <row r="7" spans="3:6" ht="15">
      <c r="C7" s="44" t="s">
        <v>1</v>
      </c>
      <c r="D7" s="57" t="s">
        <v>4</v>
      </c>
      <c r="E7" s="57">
        <v>334</v>
      </c>
      <c r="F7" s="57">
        <v>6.68</v>
      </c>
    </row>
    <row r="8" spans="3:6" ht="15">
      <c r="C8" s="44" t="s">
        <v>5</v>
      </c>
      <c r="D8" s="57" t="s">
        <v>4</v>
      </c>
      <c r="E8" s="57">
        <v>242</v>
      </c>
      <c r="F8" s="57">
        <v>4.84</v>
      </c>
    </row>
    <row r="9" spans="3:6" ht="15">
      <c r="C9" s="44"/>
      <c r="D9" s="57"/>
      <c r="E9" s="57"/>
      <c r="F9" s="57"/>
    </row>
    <row r="10" spans="3:6" ht="15">
      <c r="C10" s="44" t="s">
        <v>8</v>
      </c>
      <c r="D10" s="57"/>
      <c r="E10" s="57"/>
      <c r="F10" s="57"/>
    </row>
    <row r="11" spans="3:6" ht="15">
      <c r="C11" s="44" t="s">
        <v>9</v>
      </c>
      <c r="D11" s="57" t="s">
        <v>6</v>
      </c>
      <c r="E11" s="57">
        <v>525</v>
      </c>
      <c r="F11" s="57">
        <f>525/120</f>
        <v>4.375</v>
      </c>
    </row>
    <row r="12" spans="3:6" ht="15">
      <c r="C12" s="44" t="s">
        <v>5</v>
      </c>
      <c r="D12" s="57" t="s">
        <v>11</v>
      </c>
      <c r="E12" s="57">
        <v>333.6</v>
      </c>
      <c r="F12" s="57">
        <f>333.6/120</f>
        <v>2.7800000000000002</v>
      </c>
    </row>
    <row r="13" spans="3:6" ht="15">
      <c r="C13" s="44"/>
      <c r="D13" s="57"/>
      <c r="E13" s="57"/>
      <c r="F13" s="57"/>
    </row>
    <row r="14" spans="3:6" ht="15">
      <c r="C14" s="44" t="s">
        <v>12</v>
      </c>
      <c r="D14" s="57"/>
      <c r="E14" s="57"/>
      <c r="F14" s="57"/>
    </row>
    <row r="15" spans="3:6" ht="15">
      <c r="C15" s="44" t="s">
        <v>5</v>
      </c>
      <c r="D15" s="57" t="s">
        <v>13</v>
      </c>
      <c r="E15" s="57">
        <v>165</v>
      </c>
      <c r="F15" s="57">
        <v>5.5</v>
      </c>
    </row>
    <row r="16" spans="3:6" ht="15">
      <c r="C16" s="44" t="s">
        <v>14</v>
      </c>
      <c r="D16" s="57" t="s">
        <v>15</v>
      </c>
      <c r="E16" s="57">
        <v>195</v>
      </c>
      <c r="F16" s="57">
        <v>6.5</v>
      </c>
    </row>
    <row r="17" spans="3:6" ht="15">
      <c r="C17" s="44"/>
      <c r="D17" s="57"/>
      <c r="E17" s="57"/>
      <c r="F17" s="57"/>
    </row>
    <row r="18" spans="3:6" ht="15">
      <c r="C18" s="44" t="s">
        <v>32</v>
      </c>
      <c r="D18" s="57" t="s">
        <v>33</v>
      </c>
      <c r="E18" s="57">
        <v>162</v>
      </c>
      <c r="F18" s="57">
        <v>1.62</v>
      </c>
    </row>
    <row r="19" spans="3:6" ht="15">
      <c r="C19" s="44"/>
      <c r="D19" s="57"/>
      <c r="E19" s="57"/>
      <c r="F19" s="57"/>
    </row>
    <row r="20" spans="3:6" ht="15">
      <c r="C20" s="44" t="s">
        <v>36</v>
      </c>
      <c r="D20" s="57" t="s">
        <v>37</v>
      </c>
      <c r="E20" s="57">
        <v>1.79</v>
      </c>
      <c r="F20" s="57" t="s">
        <v>114</v>
      </c>
    </row>
    <row r="21" spans="3:6" ht="15">
      <c r="C21" s="44" t="s">
        <v>36</v>
      </c>
      <c r="D21" s="57" t="s">
        <v>116</v>
      </c>
      <c r="E21" s="57">
        <v>1.65</v>
      </c>
      <c r="F21" s="57" t="s">
        <v>115</v>
      </c>
    </row>
    <row r="22" spans="3:6" ht="15">
      <c r="C22" s="5"/>
      <c r="D22" s="8"/>
      <c r="E22" s="8"/>
      <c r="F22" s="8"/>
    </row>
    <row r="24" spans="3:6" ht="15">
      <c r="C24" s="44" t="s">
        <v>34</v>
      </c>
      <c r="D24" s="39"/>
      <c r="E24" s="39"/>
      <c r="F24" s="39"/>
    </row>
    <row r="25" spans="3:6" ht="15">
      <c r="C25" s="44" t="s">
        <v>35</v>
      </c>
      <c r="D25" s="72" t="s">
        <v>2</v>
      </c>
      <c r="E25" s="72" t="s">
        <v>38</v>
      </c>
      <c r="F25" s="39"/>
    </row>
    <row r="26" spans="3:6" ht="15">
      <c r="C26" s="39" t="s">
        <v>109</v>
      </c>
      <c r="D26" s="57" t="s">
        <v>40</v>
      </c>
      <c r="E26" s="39">
        <v>4.17</v>
      </c>
      <c r="F26" s="39"/>
    </row>
    <row r="27" spans="3:6" ht="15">
      <c r="C27" s="39" t="s">
        <v>39</v>
      </c>
      <c r="D27" s="57">
        <v>1</v>
      </c>
      <c r="E27" s="39">
        <v>0.18</v>
      </c>
      <c r="F27" s="39"/>
    </row>
    <row r="28" spans="3:6" ht="15">
      <c r="C28" s="39" t="s">
        <v>86</v>
      </c>
      <c r="D28" s="57">
        <v>3</v>
      </c>
      <c r="E28" s="39">
        <f>0.02*3</f>
        <v>0.06</v>
      </c>
      <c r="F28" s="39"/>
    </row>
    <row r="29" spans="3:6" ht="15">
      <c r="C29" s="39" t="s">
        <v>32</v>
      </c>
      <c r="D29" s="57" t="s">
        <v>87</v>
      </c>
      <c r="E29" s="70">
        <f>1.62/4</f>
        <v>0.405</v>
      </c>
      <c r="F29" s="39"/>
    </row>
    <row r="30" spans="3:6" ht="15">
      <c r="C30" s="39" t="s">
        <v>118</v>
      </c>
      <c r="D30" s="57" t="s">
        <v>117</v>
      </c>
      <c r="E30" s="70">
        <f>((1.65/10000)*333)</f>
        <v>0.054945</v>
      </c>
      <c r="F30" s="39"/>
    </row>
    <row r="31" spans="3:6" ht="15">
      <c r="C31" s="44" t="s">
        <v>92</v>
      </c>
      <c r="D31" s="57"/>
      <c r="E31" s="71">
        <f>SUM(E26:E29)</f>
        <v>4.8149999999999995</v>
      </c>
      <c r="F31" s="39"/>
    </row>
    <row r="32" spans="3:6" ht="15">
      <c r="C32" s="39"/>
      <c r="D32" s="39"/>
      <c r="E32" s="39"/>
      <c r="F32" s="39"/>
    </row>
    <row r="34" spans="3:9" ht="15">
      <c r="C34" s="207" t="s">
        <v>41</v>
      </c>
      <c r="D34" s="207"/>
      <c r="E34" s="207"/>
      <c r="F34" s="207"/>
      <c r="G34" s="94"/>
      <c r="H34" s="94"/>
      <c r="I34" s="94"/>
    </row>
    <row r="35" spans="4:12" ht="15">
      <c r="D35" s="73" t="s">
        <v>258</v>
      </c>
      <c r="E35" s="73" t="s">
        <v>17</v>
      </c>
      <c r="F35" s="73" t="s">
        <v>43</v>
      </c>
      <c r="G35" s="94"/>
      <c r="H35" s="95" t="s">
        <v>191</v>
      </c>
      <c r="I35" s="95"/>
      <c r="K35" s="211" t="s">
        <v>191</v>
      </c>
      <c r="L35" s="212"/>
    </row>
    <row r="36" spans="3:12" ht="15">
      <c r="C36" s="44" t="s">
        <v>42</v>
      </c>
      <c r="D36" s="49">
        <v>8</v>
      </c>
      <c r="E36" s="49">
        <v>240</v>
      </c>
      <c r="F36" s="41">
        <f>($D$36*E36)*12</f>
        <v>23040</v>
      </c>
      <c r="G36" s="94"/>
      <c r="H36" s="96">
        <f>E36</f>
        <v>240</v>
      </c>
      <c r="I36" s="94"/>
      <c r="K36" s="44" t="s">
        <v>226</v>
      </c>
      <c r="L36" s="45">
        <f>+E126/12</f>
        <v>3250.1249999999995</v>
      </c>
    </row>
    <row r="37" spans="3:12" ht="15">
      <c r="C37" s="39" t="s">
        <v>19</v>
      </c>
      <c r="D37" s="49"/>
      <c r="E37" s="49">
        <f>+E36/12</f>
        <v>20</v>
      </c>
      <c r="F37" s="41">
        <f>($D$36*E36)</f>
        <v>1920</v>
      </c>
      <c r="G37" s="94"/>
      <c r="H37" s="96">
        <f>E39</f>
        <v>26.76</v>
      </c>
      <c r="I37" s="94"/>
      <c r="K37" s="44" t="s">
        <v>225</v>
      </c>
      <c r="L37" s="45">
        <f>+I39+I48</f>
        <v>3229.9199999999996</v>
      </c>
    </row>
    <row r="38" spans="3:12" ht="15">
      <c r="C38" s="39" t="s">
        <v>20</v>
      </c>
      <c r="D38" s="49"/>
      <c r="E38" s="49">
        <f>+$E$36/12</f>
        <v>20</v>
      </c>
      <c r="F38" s="41">
        <f>($D$36*E36)</f>
        <v>1920</v>
      </c>
      <c r="G38" s="94"/>
      <c r="H38" s="96">
        <f>E40</f>
        <v>2.4</v>
      </c>
      <c r="I38" s="94"/>
      <c r="K38" s="44" t="s">
        <v>227</v>
      </c>
      <c r="L38" s="45">
        <f>+I60</f>
        <v>336.45</v>
      </c>
    </row>
    <row r="39" spans="3:12" ht="15">
      <c r="C39" s="39" t="s">
        <v>44</v>
      </c>
      <c r="D39" s="55">
        <v>0.1115</v>
      </c>
      <c r="E39" s="49">
        <f>D39*E36</f>
        <v>26.76</v>
      </c>
      <c r="F39" s="41">
        <f>(E39*12)*$D$36</f>
        <v>2568.96</v>
      </c>
      <c r="G39" s="94" t="s">
        <v>225</v>
      </c>
      <c r="H39" s="94">
        <f>SUM(H36:H38)</f>
        <v>269.15999999999997</v>
      </c>
      <c r="I39" s="94">
        <f>H39*D36</f>
        <v>2153.2799999999997</v>
      </c>
      <c r="K39" s="44" t="s">
        <v>229</v>
      </c>
      <c r="L39" s="45">
        <f>+L61</f>
        <v>864</v>
      </c>
    </row>
    <row r="40" spans="3:12" ht="15">
      <c r="C40" s="39" t="s">
        <v>45</v>
      </c>
      <c r="D40" s="55">
        <v>0.01</v>
      </c>
      <c r="E40" s="49">
        <f>E36*D40</f>
        <v>2.4</v>
      </c>
      <c r="F40" s="41">
        <f>($D$36*E40)*12</f>
        <v>230.39999999999998</v>
      </c>
      <c r="G40" s="94"/>
      <c r="H40" s="94"/>
      <c r="I40" s="94"/>
      <c r="K40" s="44" t="s">
        <v>224</v>
      </c>
      <c r="L40" s="45">
        <v>1317.41</v>
      </c>
    </row>
    <row r="41" spans="3:12" ht="15">
      <c r="C41" s="39"/>
      <c r="D41" s="49"/>
      <c r="E41" s="49">
        <f>SUM(E36:E40)</f>
        <v>309.15999999999997</v>
      </c>
      <c r="F41" s="41">
        <f>($D$36*E41)*12</f>
        <v>29679.359999999997</v>
      </c>
      <c r="G41" s="94"/>
      <c r="H41" s="94"/>
      <c r="I41" s="94"/>
      <c r="K41" s="44" t="s">
        <v>228</v>
      </c>
      <c r="L41" s="45">
        <f>+L63</f>
        <v>300</v>
      </c>
    </row>
    <row r="42" spans="3:12" ht="15">
      <c r="C42" s="44" t="s">
        <v>46</v>
      </c>
      <c r="D42" s="48">
        <f>+E41</f>
        <v>309.15999999999997</v>
      </c>
      <c r="E42" s="39"/>
      <c r="F42" s="39"/>
      <c r="G42" s="94"/>
      <c r="H42" s="94"/>
      <c r="I42" s="94"/>
      <c r="K42" s="44" t="s">
        <v>230</v>
      </c>
      <c r="L42" s="45">
        <f>+K61</f>
        <v>560.75</v>
      </c>
    </row>
    <row r="43" spans="3:12" ht="15">
      <c r="C43" s="39"/>
      <c r="D43" s="39"/>
      <c r="E43" s="39"/>
      <c r="F43" s="39"/>
      <c r="G43" s="94"/>
      <c r="H43" s="94"/>
      <c r="I43" s="94"/>
      <c r="K43" s="44" t="s">
        <v>132</v>
      </c>
      <c r="L43" s="45">
        <f>+L78</f>
        <v>371.362295</v>
      </c>
    </row>
    <row r="44" spans="3:12" ht="15">
      <c r="C44" s="39"/>
      <c r="D44" s="73" t="s">
        <v>258</v>
      </c>
      <c r="E44" s="74" t="s">
        <v>17</v>
      </c>
      <c r="F44" s="74" t="s">
        <v>43</v>
      </c>
      <c r="G44" s="94"/>
      <c r="H44" s="94"/>
      <c r="I44" s="94"/>
      <c r="K44" s="44" t="s">
        <v>83</v>
      </c>
      <c r="L44" s="45">
        <f>SUM(L36:L43)</f>
        <v>10230.017295</v>
      </c>
    </row>
    <row r="45" spans="3:11" ht="15">
      <c r="C45" s="44" t="s">
        <v>259</v>
      </c>
      <c r="D45" s="39">
        <v>4</v>
      </c>
      <c r="E45" s="39">
        <v>240</v>
      </c>
      <c r="F45" s="41">
        <f>($D$45*E45)*12</f>
        <v>11520</v>
      </c>
      <c r="G45" s="94" t="s">
        <v>225</v>
      </c>
      <c r="H45" s="96">
        <f>E45</f>
        <v>240</v>
      </c>
      <c r="I45" s="94"/>
      <c r="K45" s="8"/>
    </row>
    <row r="46" spans="3:9" ht="15">
      <c r="C46" s="39" t="s">
        <v>19</v>
      </c>
      <c r="D46" s="39"/>
      <c r="E46" s="49">
        <f>+E45/12</f>
        <v>20</v>
      </c>
      <c r="F46" s="41">
        <f>($D$45*E46*12)</f>
        <v>960</v>
      </c>
      <c r="G46" s="94"/>
      <c r="H46" s="96">
        <f>E48</f>
        <v>26.76</v>
      </c>
      <c r="I46" s="94"/>
    </row>
    <row r="47" spans="3:9" ht="15">
      <c r="C47" s="39" t="s">
        <v>20</v>
      </c>
      <c r="D47" s="39"/>
      <c r="E47" s="49">
        <f>+$E$36/12</f>
        <v>20</v>
      </c>
      <c r="F47" s="41">
        <f>($D$45*E47*12)</f>
        <v>960</v>
      </c>
      <c r="G47" s="94"/>
      <c r="H47" s="96">
        <f>E49</f>
        <v>2.4</v>
      </c>
      <c r="I47" s="94"/>
    </row>
    <row r="48" spans="3:9" ht="15">
      <c r="C48" s="39" t="s">
        <v>44</v>
      </c>
      <c r="D48" s="55">
        <v>0.1115</v>
      </c>
      <c r="E48" s="50">
        <f>D48*E45</f>
        <v>26.76</v>
      </c>
      <c r="F48" s="41">
        <f>+(E48*12*D45)</f>
        <v>1284.48</v>
      </c>
      <c r="G48" s="94"/>
      <c r="H48" s="94">
        <f>SUM(H45:H47)</f>
        <v>269.15999999999997</v>
      </c>
      <c r="I48" s="94">
        <f>H48*4</f>
        <v>1076.6399999999999</v>
      </c>
    </row>
    <row r="49" spans="3:9" ht="15">
      <c r="C49" s="39" t="s">
        <v>45</v>
      </c>
      <c r="D49" s="56">
        <v>0.01</v>
      </c>
      <c r="E49" s="39">
        <f>D49*E45</f>
        <v>2.4</v>
      </c>
      <c r="F49" s="41">
        <f>(($D$49*F45))</f>
        <v>115.2</v>
      </c>
      <c r="G49" s="94"/>
      <c r="H49" s="94"/>
      <c r="I49" s="94"/>
    </row>
    <row r="50" spans="3:9" ht="15">
      <c r="C50" s="39"/>
      <c r="D50" s="39"/>
      <c r="E50" s="50">
        <f>SUM(E45:E49)</f>
        <v>309.15999999999997</v>
      </c>
      <c r="F50" s="41">
        <f>SUM(F45:F49)</f>
        <v>14839.68</v>
      </c>
      <c r="G50" s="94"/>
      <c r="H50" s="94"/>
      <c r="I50" s="94"/>
    </row>
    <row r="51" spans="3:9" ht="15">
      <c r="C51" s="39" t="s">
        <v>88</v>
      </c>
      <c r="D51" s="48">
        <f>+E50</f>
        <v>309.15999999999997</v>
      </c>
      <c r="E51" s="39"/>
      <c r="F51" s="39"/>
      <c r="G51" s="94"/>
      <c r="H51" s="94"/>
      <c r="I51" s="94"/>
    </row>
    <row r="52" spans="3:9" ht="15">
      <c r="C52" s="39"/>
      <c r="D52" s="39"/>
      <c r="E52" s="39"/>
      <c r="F52" s="44"/>
      <c r="G52" s="94"/>
      <c r="H52" s="94"/>
      <c r="I52" s="94"/>
    </row>
    <row r="55" spans="3:6" ht="15">
      <c r="C55" s="198" t="s">
        <v>58</v>
      </c>
      <c r="D55" s="198"/>
      <c r="E55" s="198"/>
      <c r="F55" s="198"/>
    </row>
    <row r="56" spans="3:8" ht="15">
      <c r="C56" s="72" t="s">
        <v>59</v>
      </c>
      <c r="D56" s="72" t="s">
        <v>54</v>
      </c>
      <c r="E56" s="72" t="s">
        <v>49</v>
      </c>
      <c r="F56" s="72" t="s">
        <v>18</v>
      </c>
      <c r="G56" s="91"/>
      <c r="H56" s="91"/>
    </row>
    <row r="57" spans="3:8" ht="15">
      <c r="C57" s="39" t="s">
        <v>60</v>
      </c>
      <c r="D57" s="39">
        <v>1</v>
      </c>
      <c r="E57" s="41">
        <v>300</v>
      </c>
      <c r="F57" s="41">
        <f>E57*12</f>
        <v>3600</v>
      </c>
      <c r="G57" s="91" t="s">
        <v>231</v>
      </c>
      <c r="H57" s="91">
        <v>300</v>
      </c>
    </row>
    <row r="58" spans="3:8" ht="15">
      <c r="C58" s="39" t="s">
        <v>19</v>
      </c>
      <c r="D58" s="39"/>
      <c r="E58" s="49">
        <f>+E57/12</f>
        <v>25</v>
      </c>
      <c r="F58" s="41">
        <v>300</v>
      </c>
      <c r="G58" s="91"/>
      <c r="H58" s="91">
        <v>33.45</v>
      </c>
    </row>
    <row r="59" spans="3:8" ht="15">
      <c r="C59" s="39" t="s">
        <v>20</v>
      </c>
      <c r="D59" s="39"/>
      <c r="E59" s="49">
        <f>+$E$36/12</f>
        <v>20</v>
      </c>
      <c r="F59" s="41">
        <v>240</v>
      </c>
      <c r="G59" s="91"/>
      <c r="H59" s="91">
        <v>3</v>
      </c>
    </row>
    <row r="60" spans="3:12" ht="15">
      <c r="C60" s="39" t="s">
        <v>21</v>
      </c>
      <c r="D60" s="39"/>
      <c r="E60" s="41">
        <f>E57*11.15%</f>
        <v>33.45</v>
      </c>
      <c r="F60" s="41">
        <f>F57*11.15%</f>
        <v>401.40000000000003</v>
      </c>
      <c r="G60" s="91" t="s">
        <v>231</v>
      </c>
      <c r="H60" s="91">
        <f>SUM(H57:H59)</f>
        <v>336.45</v>
      </c>
      <c r="I60">
        <v>336.45</v>
      </c>
      <c r="J60" s="33">
        <f>SUM(I39:I60)</f>
        <v>3566.3699999999994</v>
      </c>
      <c r="L60">
        <f>SUM(J60:K60)</f>
        <v>3566.3699999999994</v>
      </c>
    </row>
    <row r="61" spans="3:13" ht="15">
      <c r="C61" s="39" t="s">
        <v>45</v>
      </c>
      <c r="D61" s="56">
        <v>0.01</v>
      </c>
      <c r="E61" s="41">
        <f>E57*D61</f>
        <v>3</v>
      </c>
      <c r="F61" s="41">
        <f>(F58*1%)*12</f>
        <v>36</v>
      </c>
      <c r="G61" s="91"/>
      <c r="H61" s="91"/>
      <c r="J61" t="s">
        <v>232</v>
      </c>
      <c r="K61" s="34">
        <f>+'GASTOS ADMINISTRATIVOS'!I10</f>
        <v>560.75</v>
      </c>
      <c r="L61">
        <v>864</v>
      </c>
      <c r="M61" t="s">
        <v>233</v>
      </c>
    </row>
    <row r="62" spans="3:13" ht="15">
      <c r="C62" s="39"/>
      <c r="D62" s="39"/>
      <c r="E62" s="49">
        <f>SUM(E57:E61)</f>
        <v>381.45</v>
      </c>
      <c r="F62" s="49">
        <f>SUM(F57:F61)</f>
        <v>4577.4</v>
      </c>
      <c r="L62">
        <v>1317.41</v>
      </c>
      <c r="M62" t="s">
        <v>224</v>
      </c>
    </row>
    <row r="63" spans="9:13" ht="15">
      <c r="I63" s="1" t="s">
        <v>31</v>
      </c>
      <c r="L63">
        <v>300</v>
      </c>
      <c r="M63" t="s">
        <v>234</v>
      </c>
    </row>
    <row r="64" ht="15">
      <c r="I64" s="1"/>
    </row>
    <row r="65" ht="15">
      <c r="I65" s="1"/>
    </row>
    <row r="66" spans="4:9" ht="15">
      <c r="D66" s="1" t="s">
        <v>54</v>
      </c>
      <c r="E66" s="1" t="s">
        <v>272</v>
      </c>
      <c r="F66" s="1" t="s">
        <v>257</v>
      </c>
      <c r="I66" s="1"/>
    </row>
    <row r="67" spans="3:9" ht="15">
      <c r="C67" s="44" t="s">
        <v>271</v>
      </c>
      <c r="D67" s="41"/>
      <c r="E67" s="41"/>
      <c r="F67" s="41"/>
      <c r="I67" s="1"/>
    </row>
    <row r="68" spans="3:9" ht="15">
      <c r="C68" s="39" t="s">
        <v>273</v>
      </c>
      <c r="D68" s="41">
        <v>7200</v>
      </c>
      <c r="E68" s="41">
        <v>0.2</v>
      </c>
      <c r="F68" s="41">
        <f>D68*E68</f>
        <v>1440</v>
      </c>
      <c r="I68" s="1"/>
    </row>
    <row r="69" spans="3:9" ht="15">
      <c r="C69" s="39" t="s">
        <v>274</v>
      </c>
      <c r="D69" s="41">
        <v>8700</v>
      </c>
      <c r="E69" s="41">
        <v>0.2</v>
      </c>
      <c r="F69" s="41">
        <f>D69*E69</f>
        <v>1740</v>
      </c>
      <c r="I69" s="1"/>
    </row>
    <row r="70" spans="3:9" ht="15">
      <c r="C70" s="39" t="s">
        <v>275</v>
      </c>
      <c r="D70" s="41">
        <v>10800</v>
      </c>
      <c r="E70" s="41">
        <v>0.2</v>
      </c>
      <c r="F70" s="41">
        <f>D70*E70</f>
        <v>2160</v>
      </c>
      <c r="I70" s="1"/>
    </row>
    <row r="71" ht="15">
      <c r="I71" s="1"/>
    </row>
    <row r="72" ht="15">
      <c r="I72" s="1"/>
    </row>
    <row r="73" ht="15">
      <c r="I73" s="1"/>
    </row>
    <row r="74" ht="15">
      <c r="I74" s="1"/>
    </row>
    <row r="75" ht="15">
      <c r="I75" s="1"/>
    </row>
    <row r="76" ht="15">
      <c r="I76" s="1"/>
    </row>
    <row r="77" ht="15">
      <c r="I77" s="1"/>
    </row>
    <row r="78" spans="4:13" ht="15">
      <c r="D78" s="1"/>
      <c r="E78" s="1"/>
      <c r="I78" s="1" t="s">
        <v>18</v>
      </c>
      <c r="L78">
        <f>'TOTAL GASTOS DE VENTAS'!J19</f>
        <v>371.362295</v>
      </c>
      <c r="M78" t="s">
        <v>235</v>
      </c>
    </row>
    <row r="79" spans="3:12" ht="15">
      <c r="C79" s="1" t="s">
        <v>260</v>
      </c>
      <c r="L79">
        <f>SUM(L60:L78)</f>
        <v>6419.142294999999</v>
      </c>
    </row>
    <row r="80" spans="3:13" ht="15">
      <c r="C80" s="33" t="s">
        <v>24</v>
      </c>
      <c r="D80" s="40"/>
      <c r="E80" s="40"/>
      <c r="F80" s="34"/>
      <c r="G80" s="41">
        <v>725</v>
      </c>
      <c r="I80" s="2">
        <f>725/12</f>
        <v>60.416666666666664</v>
      </c>
      <c r="L80" s="16">
        <v>3250.3</v>
      </c>
      <c r="M80" t="s">
        <v>226</v>
      </c>
    </row>
    <row r="81" spans="3:9" ht="15">
      <c r="C81" s="33" t="s">
        <v>25</v>
      </c>
      <c r="D81" s="40"/>
      <c r="E81" s="40"/>
      <c r="F81" s="34"/>
      <c r="G81" s="41">
        <v>2219</v>
      </c>
      <c r="I81" s="2">
        <f aca="true" t="shared" si="0" ref="I81:I86">G81/12</f>
        <v>184.91666666666666</v>
      </c>
    </row>
    <row r="82" spans="3:9" ht="15">
      <c r="C82" s="33" t="s">
        <v>26</v>
      </c>
      <c r="D82" s="40"/>
      <c r="E82" s="40"/>
      <c r="F82" s="34"/>
      <c r="G82" s="41">
        <v>1870.11</v>
      </c>
      <c r="I82" s="2">
        <f t="shared" si="0"/>
        <v>155.8425</v>
      </c>
    </row>
    <row r="83" spans="3:9" ht="15">
      <c r="C83" s="33" t="s">
        <v>27</v>
      </c>
      <c r="D83" s="40"/>
      <c r="E83" s="40"/>
      <c r="F83" s="34"/>
      <c r="G83" s="41">
        <v>3390</v>
      </c>
      <c r="I83" s="2">
        <f t="shared" si="0"/>
        <v>282.5</v>
      </c>
    </row>
    <row r="84" spans="3:9" ht="15">
      <c r="C84" s="33" t="s">
        <v>28</v>
      </c>
      <c r="D84" s="40"/>
      <c r="E84" s="40"/>
      <c r="F84" s="34"/>
      <c r="G84" s="41">
        <v>2200</v>
      </c>
      <c r="I84" s="2">
        <f t="shared" si="0"/>
        <v>183.33333333333334</v>
      </c>
    </row>
    <row r="85" spans="3:9" ht="15">
      <c r="C85" s="33" t="s">
        <v>29</v>
      </c>
      <c r="D85" s="40"/>
      <c r="E85" s="40"/>
      <c r="F85" s="34"/>
      <c r="G85" s="41">
        <v>1270</v>
      </c>
      <c r="H85" s="16"/>
      <c r="I85" s="2">
        <f t="shared" si="0"/>
        <v>105.83333333333333</v>
      </c>
    </row>
    <row r="86" spans="3:9" ht="15">
      <c r="C86" s="33" t="s">
        <v>30</v>
      </c>
      <c r="D86" s="40"/>
      <c r="E86" s="40"/>
      <c r="F86" s="34"/>
      <c r="G86" s="41">
        <v>1500</v>
      </c>
      <c r="I86" s="2">
        <f t="shared" si="0"/>
        <v>125</v>
      </c>
    </row>
    <row r="87" spans="6:9" ht="15">
      <c r="F87" s="16">
        <f>SUM(G80:G86)</f>
        <v>13174.11</v>
      </c>
      <c r="G87" s="41">
        <v>13174.11</v>
      </c>
      <c r="H87">
        <v>1317.41</v>
      </c>
      <c r="I87" s="2">
        <f>SUM(I80:I86)</f>
        <v>1097.8425000000002</v>
      </c>
    </row>
    <row r="88" spans="7:9" ht="15">
      <c r="G88" s="16">
        <f>G86-G87</f>
        <v>-11674.11</v>
      </c>
      <c r="I88" s="2">
        <f>I87/1.12</f>
        <v>980.2165178571429</v>
      </c>
    </row>
    <row r="89" spans="3:6" ht="15">
      <c r="C89" t="s">
        <v>82</v>
      </c>
      <c r="D89" t="s">
        <v>18</v>
      </c>
      <c r="E89" t="s">
        <v>54</v>
      </c>
      <c r="F89" t="s">
        <v>83</v>
      </c>
    </row>
    <row r="90" spans="4:8" ht="15">
      <c r="D90" s="14">
        <v>50</v>
      </c>
      <c r="E90">
        <v>6</v>
      </c>
      <c r="F90">
        <f>300</f>
        <v>300</v>
      </c>
      <c r="H90" s="16"/>
    </row>
    <row r="91" ht="15">
      <c r="D91" s="14"/>
    </row>
    <row r="92" ht="15">
      <c r="D92" s="14"/>
    </row>
    <row r="93" spans="3:4" ht="15">
      <c r="C93" s="213" t="s">
        <v>190</v>
      </c>
      <c r="D93" s="214"/>
    </row>
    <row r="94" spans="3:4" ht="15">
      <c r="C94" s="39" t="s">
        <v>207</v>
      </c>
      <c r="D94" s="37">
        <f>+G87</f>
        <v>13174.11</v>
      </c>
    </row>
    <row r="95" spans="3:4" ht="15">
      <c r="C95" s="39" t="s">
        <v>208</v>
      </c>
      <c r="D95" s="36">
        <f>+L44</f>
        <v>10230.017295</v>
      </c>
    </row>
    <row r="96" spans="3:4" ht="15">
      <c r="C96" s="39" t="s">
        <v>209</v>
      </c>
      <c r="D96" s="36">
        <f>SUM(D94:D95)</f>
        <v>23404.127295</v>
      </c>
    </row>
    <row r="97" spans="3:4" ht="15">
      <c r="C97" s="39" t="s">
        <v>210</v>
      </c>
      <c r="D97" s="36">
        <f>5%*D96</f>
        <v>1170.20636475</v>
      </c>
    </row>
    <row r="98" spans="3:4" ht="15">
      <c r="C98" s="39" t="s">
        <v>190</v>
      </c>
      <c r="D98" s="36">
        <f>D96*5%</f>
        <v>1170.20636475</v>
      </c>
    </row>
    <row r="99" spans="3:4" ht="15">
      <c r="C99" s="46" t="s">
        <v>211</v>
      </c>
      <c r="D99" s="36">
        <f>20%*D98</f>
        <v>234.04127295</v>
      </c>
    </row>
    <row r="100" ht="15">
      <c r="D100" s="14"/>
    </row>
    <row r="101" ht="15">
      <c r="D101" s="14"/>
    </row>
    <row r="102" ht="15">
      <c r="C102" s="1" t="s">
        <v>261</v>
      </c>
    </row>
    <row r="103" spans="3:8" ht="15">
      <c r="C103" s="12" t="s">
        <v>80</v>
      </c>
      <c r="D103" s="3"/>
      <c r="E103" s="3"/>
      <c r="F103" s="3"/>
      <c r="G103" s="3"/>
      <c r="H103" s="4"/>
    </row>
    <row r="104" spans="3:8" ht="15">
      <c r="C104" s="12" t="s">
        <v>52</v>
      </c>
      <c r="D104" s="3"/>
      <c r="E104" s="3"/>
      <c r="F104" s="3" t="s">
        <v>54</v>
      </c>
      <c r="G104" s="3" t="s">
        <v>55</v>
      </c>
      <c r="H104" s="4" t="s">
        <v>56</v>
      </c>
    </row>
    <row r="105" spans="3:8" ht="15">
      <c r="C105" s="7"/>
      <c r="D105" s="8"/>
      <c r="E105" s="8"/>
      <c r="F105" s="8"/>
      <c r="G105" s="8"/>
      <c r="H105" s="6"/>
    </row>
    <row r="106" spans="3:8" ht="15">
      <c r="C106" s="9" t="s">
        <v>53</v>
      </c>
      <c r="D106" s="10"/>
      <c r="E106" s="10"/>
      <c r="F106" s="10">
        <v>10800</v>
      </c>
      <c r="G106" s="10">
        <v>0.08</v>
      </c>
      <c r="H106" s="11">
        <f>F106*G106</f>
        <v>864</v>
      </c>
    </row>
    <row r="109" spans="3:8" ht="15">
      <c r="C109" s="12" t="s">
        <v>91</v>
      </c>
      <c r="D109" s="3"/>
      <c r="E109" s="3"/>
      <c r="F109" s="3"/>
      <c r="G109" s="3"/>
      <c r="H109" s="4"/>
    </row>
    <row r="110" spans="3:8" ht="15">
      <c r="C110" s="12" t="s">
        <v>52</v>
      </c>
      <c r="D110" s="3"/>
      <c r="E110" s="3"/>
      <c r="F110" s="3" t="s">
        <v>54</v>
      </c>
      <c r="G110" s="3" t="s">
        <v>55</v>
      </c>
      <c r="H110" s="4" t="s">
        <v>56</v>
      </c>
    </row>
    <row r="111" spans="3:8" ht="15">
      <c r="C111" s="7"/>
      <c r="D111" s="8"/>
      <c r="E111" s="8"/>
      <c r="F111" s="8"/>
      <c r="G111" s="8"/>
      <c r="H111" s="6"/>
    </row>
    <row r="112" spans="3:8" ht="15">
      <c r="C112" s="9" t="s">
        <v>53</v>
      </c>
      <c r="D112" s="10"/>
      <c r="E112" s="10"/>
      <c r="F112" s="10">
        <v>13049</v>
      </c>
      <c r="G112" s="10">
        <v>0.08</v>
      </c>
      <c r="H112" s="11">
        <f>F112*G112</f>
        <v>1043.92</v>
      </c>
    </row>
    <row r="115" spans="3:8" ht="15">
      <c r="C115" s="12" t="s">
        <v>101</v>
      </c>
      <c r="D115" s="3"/>
      <c r="E115" s="3"/>
      <c r="F115" s="3"/>
      <c r="G115" s="3"/>
      <c r="H115" s="4"/>
    </row>
    <row r="116" spans="3:8" ht="15">
      <c r="C116" s="12" t="s">
        <v>52</v>
      </c>
      <c r="D116" s="3"/>
      <c r="E116" s="3"/>
      <c r="F116" s="3" t="s">
        <v>54</v>
      </c>
      <c r="G116" s="3" t="s">
        <v>55</v>
      </c>
      <c r="H116" s="4" t="s">
        <v>56</v>
      </c>
    </row>
    <row r="117" spans="3:8" ht="15">
      <c r="C117" s="7"/>
      <c r="D117" s="8"/>
      <c r="E117" s="8"/>
      <c r="F117" s="8"/>
      <c r="G117" s="8"/>
      <c r="H117" s="6"/>
    </row>
    <row r="118" spans="3:8" ht="15">
      <c r="C118" s="9" t="s">
        <v>53</v>
      </c>
      <c r="D118" s="10"/>
      <c r="E118" s="10"/>
      <c r="F118" s="10">
        <v>16200</v>
      </c>
      <c r="G118" s="10">
        <v>0.08</v>
      </c>
      <c r="H118" s="11">
        <f>F118*G118</f>
        <v>1296</v>
      </c>
    </row>
    <row r="122" spans="3:10" ht="15">
      <c r="C122" s="207" t="s">
        <v>262</v>
      </c>
      <c r="D122" s="207"/>
      <c r="E122" s="207"/>
      <c r="F122" s="207"/>
      <c r="G122" s="207"/>
      <c r="H122" s="207"/>
      <c r="I122" s="207"/>
      <c r="J122" s="207"/>
    </row>
    <row r="124" spans="3:10" ht="15">
      <c r="C124" s="109"/>
      <c r="D124" s="110"/>
      <c r="E124" s="111" t="s">
        <v>80</v>
      </c>
      <c r="F124" s="112" t="s">
        <v>91</v>
      </c>
      <c r="G124" s="112" t="s">
        <v>217</v>
      </c>
      <c r="H124" s="112" t="s">
        <v>218</v>
      </c>
      <c r="I124" s="112" t="s">
        <v>216</v>
      </c>
      <c r="J124" s="112" t="s">
        <v>263</v>
      </c>
    </row>
    <row r="125" spans="3:10" ht="15">
      <c r="C125" s="33" t="s">
        <v>93</v>
      </c>
      <c r="D125" s="6"/>
      <c r="E125" s="113">
        <v>8100</v>
      </c>
      <c r="F125" s="75">
        <v>9180</v>
      </c>
      <c r="G125" s="75">
        <v>10800</v>
      </c>
      <c r="H125" s="75">
        <v>10800</v>
      </c>
      <c r="I125" s="75">
        <v>10800</v>
      </c>
      <c r="J125" s="75">
        <v>10800</v>
      </c>
    </row>
    <row r="126" spans="3:10" ht="15">
      <c r="C126" s="33" t="s">
        <v>62</v>
      </c>
      <c r="D126" s="34"/>
      <c r="E126" s="45">
        <f>8100*E31</f>
        <v>39001.49999999999</v>
      </c>
      <c r="F126" s="49">
        <f>9180*E31</f>
        <v>44201.7</v>
      </c>
      <c r="G126" s="49">
        <f>10800*$E$31</f>
        <v>52001.99999999999</v>
      </c>
      <c r="H126" s="49">
        <f>10800*$E$31</f>
        <v>52001.99999999999</v>
      </c>
      <c r="I126" s="49">
        <f>10800*$E$31</f>
        <v>52001.99999999999</v>
      </c>
      <c r="J126" s="49">
        <f>10800*$E$31</f>
        <v>52001.99999999999</v>
      </c>
    </row>
    <row r="127" spans="3:10" ht="15">
      <c r="C127" s="33" t="s">
        <v>50</v>
      </c>
      <c r="D127" s="6"/>
      <c r="E127" s="114">
        <f>+F41+F50</f>
        <v>44519.03999999999</v>
      </c>
      <c r="F127" s="49">
        <f>+E127</f>
        <v>44519.03999999999</v>
      </c>
      <c r="G127" s="49">
        <f>+$F$127</f>
        <v>44519.03999999999</v>
      </c>
      <c r="H127" s="49">
        <f>+$F$127</f>
        <v>44519.03999999999</v>
      </c>
      <c r="I127" s="49">
        <f>+$F$127</f>
        <v>44519.03999999999</v>
      </c>
      <c r="J127" s="49">
        <f>+$F$127</f>
        <v>44519.03999999999</v>
      </c>
    </row>
    <row r="128" spans="3:10" ht="15">
      <c r="C128" s="115" t="s">
        <v>63</v>
      </c>
      <c r="D128" s="116"/>
      <c r="E128" s="117">
        <f>SUM(E126:E127)</f>
        <v>83520.53999999998</v>
      </c>
      <c r="F128" s="118">
        <f>SUM(F126:F127)</f>
        <v>88720.73999999999</v>
      </c>
      <c r="G128" s="118">
        <f>SUM(G126:G127)</f>
        <v>96521.03999999998</v>
      </c>
      <c r="H128" s="118">
        <f>SUM(H126:H127)</f>
        <v>96521.03999999998</v>
      </c>
      <c r="I128" s="118">
        <f>SUM(I126:I127)</f>
        <v>96521.03999999998</v>
      </c>
      <c r="J128" s="118">
        <f>SUM(J126:J127)</f>
        <v>96521.03999999998</v>
      </c>
    </row>
    <row r="129" spans="3:10" ht="15">
      <c r="C129" s="33"/>
      <c r="D129" s="6"/>
      <c r="E129" s="114"/>
      <c r="F129" s="39"/>
      <c r="G129" s="39"/>
      <c r="H129" s="39"/>
      <c r="I129" s="39"/>
      <c r="J129" s="39"/>
    </row>
    <row r="130" spans="3:10" ht="15">
      <c r="C130" s="33" t="s">
        <v>51</v>
      </c>
      <c r="D130" s="34"/>
      <c r="E130" s="114">
        <f>+$F$62</f>
        <v>4577.4</v>
      </c>
      <c r="F130" s="41">
        <f>+$F$62</f>
        <v>4577.4</v>
      </c>
      <c r="G130" s="41">
        <f>+$F$62</f>
        <v>4577.4</v>
      </c>
      <c r="H130" s="41">
        <f>+$F$62</f>
        <v>4577.4</v>
      </c>
      <c r="I130" s="41">
        <f>+$F$62</f>
        <v>4577.4</v>
      </c>
      <c r="J130" s="41">
        <f>+$F$62</f>
        <v>4577.4</v>
      </c>
    </row>
    <row r="131" spans="3:10" ht="15">
      <c r="C131" s="33" t="s">
        <v>61</v>
      </c>
      <c r="D131" s="6"/>
      <c r="E131" s="114">
        <v>1317.41</v>
      </c>
      <c r="F131" s="41">
        <v>1317.41</v>
      </c>
      <c r="G131" s="41">
        <v>1317.41</v>
      </c>
      <c r="H131" s="41">
        <v>1317.41</v>
      </c>
      <c r="I131" s="41">
        <v>1317.41</v>
      </c>
      <c r="J131" s="41">
        <v>1317.41</v>
      </c>
    </row>
    <row r="132" spans="3:10" ht="15">
      <c r="C132" s="33" t="s">
        <v>212</v>
      </c>
      <c r="D132" s="34"/>
      <c r="E132" s="114">
        <f>+$D$99</f>
        <v>234.04127295</v>
      </c>
      <c r="F132" s="41">
        <f>+$D$99</f>
        <v>234.04127295</v>
      </c>
      <c r="G132" s="41">
        <f>+$D$99</f>
        <v>234.04127295</v>
      </c>
      <c r="H132" s="41">
        <f>+$D$99</f>
        <v>234.04127295</v>
      </c>
      <c r="I132" s="41">
        <f>+$D$99</f>
        <v>234.04127295</v>
      </c>
      <c r="J132" s="41"/>
    </row>
    <row r="133" spans="3:10" ht="15">
      <c r="C133" s="33" t="s">
        <v>52</v>
      </c>
      <c r="D133" s="6"/>
      <c r="E133" s="114">
        <f>+H106</f>
        <v>864</v>
      </c>
      <c r="F133" s="41">
        <f>+H112</f>
        <v>1043.92</v>
      </c>
      <c r="G133" s="41">
        <f>+$H$118</f>
        <v>1296</v>
      </c>
      <c r="H133" s="41">
        <f>+$H$118</f>
        <v>1296</v>
      </c>
      <c r="I133" s="41">
        <f>+$H$118</f>
        <v>1296</v>
      </c>
      <c r="J133" s="41">
        <f>+$H$118</f>
        <v>1296</v>
      </c>
    </row>
    <row r="134" spans="3:10" ht="15">
      <c r="C134" s="33" t="s">
        <v>79</v>
      </c>
      <c r="D134" s="119"/>
      <c r="E134" s="114">
        <f aca="true" t="shared" si="1" ref="E134:J134">0.1*$G$87</f>
        <v>1317.411</v>
      </c>
      <c r="F134" s="41">
        <f t="shared" si="1"/>
        <v>1317.411</v>
      </c>
      <c r="G134" s="41">
        <f t="shared" si="1"/>
        <v>1317.411</v>
      </c>
      <c r="H134" s="41">
        <f t="shared" si="1"/>
        <v>1317.411</v>
      </c>
      <c r="I134" s="41">
        <f t="shared" si="1"/>
        <v>1317.411</v>
      </c>
      <c r="J134" s="41">
        <f t="shared" si="1"/>
        <v>1317.411</v>
      </c>
    </row>
    <row r="135" spans="3:10" ht="15">
      <c r="C135" s="33" t="s">
        <v>81</v>
      </c>
      <c r="D135" s="120"/>
      <c r="E135" s="114">
        <v>300</v>
      </c>
      <c r="F135" s="41">
        <v>300</v>
      </c>
      <c r="G135" s="41">
        <v>300</v>
      </c>
      <c r="H135" s="41">
        <v>300</v>
      </c>
      <c r="I135" s="41">
        <v>300</v>
      </c>
      <c r="J135" s="41">
        <v>300</v>
      </c>
    </row>
    <row r="136" spans="3:10" ht="15">
      <c r="C136" s="115" t="s">
        <v>64</v>
      </c>
      <c r="D136" s="116"/>
      <c r="E136" s="117">
        <f>SUM(E130:E135)</f>
        <v>8610.26227295</v>
      </c>
      <c r="F136" s="121">
        <f>SUM(F130:F135)</f>
        <v>8790.18227295</v>
      </c>
      <c r="G136" s="121">
        <f>SUM(G130:G135)</f>
        <v>9042.26227295</v>
      </c>
      <c r="H136" s="121">
        <f>SUM(H130:H135)</f>
        <v>9042.26227295</v>
      </c>
      <c r="I136" s="121">
        <f>SUM(I130:I135)</f>
        <v>9042.26227295</v>
      </c>
      <c r="J136" s="121">
        <f>SUM(J130:J135)</f>
        <v>8808.221</v>
      </c>
    </row>
    <row r="137" spans="3:10" ht="15">
      <c r="C137" s="122" t="s">
        <v>84</v>
      </c>
      <c r="D137" s="123"/>
      <c r="E137" s="124">
        <f aca="true" t="shared" si="2" ref="E137:J137">+E128+E136</f>
        <v>92130.80227294998</v>
      </c>
      <c r="F137" s="125">
        <f t="shared" si="2"/>
        <v>97510.92227294999</v>
      </c>
      <c r="G137" s="125">
        <f t="shared" si="2"/>
        <v>105563.30227294998</v>
      </c>
      <c r="H137" s="125">
        <f t="shared" si="2"/>
        <v>105563.30227294998</v>
      </c>
      <c r="I137" s="125">
        <f t="shared" si="2"/>
        <v>105563.30227294998</v>
      </c>
      <c r="J137" s="125">
        <f t="shared" si="2"/>
        <v>105329.26099999998</v>
      </c>
    </row>
    <row r="138" spans="3:10" ht="15">
      <c r="C138" s="33"/>
      <c r="D138" s="34"/>
      <c r="E138" s="34"/>
      <c r="F138" s="39"/>
      <c r="G138" s="39"/>
      <c r="H138" s="39"/>
      <c r="I138" s="39"/>
      <c r="J138" s="39"/>
    </row>
    <row r="139" spans="3:10" ht="15">
      <c r="C139" s="115" t="s">
        <v>57</v>
      </c>
      <c r="D139" s="116"/>
      <c r="E139" s="117">
        <v>7447</v>
      </c>
      <c r="F139" s="121">
        <v>7447</v>
      </c>
      <c r="G139" s="121">
        <v>7447</v>
      </c>
      <c r="H139" s="121">
        <v>7447</v>
      </c>
      <c r="I139" s="121">
        <v>7447</v>
      </c>
      <c r="J139" s="121">
        <v>7447</v>
      </c>
    </row>
    <row r="140" spans="3:10" ht="15">
      <c r="C140" s="33"/>
      <c r="D140" s="34"/>
      <c r="E140" s="114"/>
      <c r="F140" s="41"/>
      <c r="G140" s="41"/>
      <c r="H140" s="41"/>
      <c r="I140" s="41"/>
      <c r="J140" s="41"/>
    </row>
    <row r="141" spans="3:10" ht="15">
      <c r="C141" s="33"/>
      <c r="D141" s="120"/>
      <c r="E141" s="114"/>
      <c r="F141" s="39"/>
      <c r="G141" s="39"/>
      <c r="H141" s="39"/>
      <c r="I141" s="39"/>
      <c r="J141" s="39"/>
    </row>
    <row r="142" spans="3:10" ht="15">
      <c r="C142" s="122" t="s">
        <v>78</v>
      </c>
      <c r="D142" s="126"/>
      <c r="E142" s="124">
        <f>SUM(E139:E141)</f>
        <v>7447</v>
      </c>
      <c r="F142" s="125">
        <f>SUM(F139:F141)</f>
        <v>7447</v>
      </c>
      <c r="G142" s="125">
        <f>SUM(G139:G141)</f>
        <v>7447</v>
      </c>
      <c r="H142" s="125">
        <f>SUM(H139:H141)</f>
        <v>7447</v>
      </c>
      <c r="I142" s="125">
        <f>SUM(I139:I141)</f>
        <v>7447</v>
      </c>
      <c r="J142" s="125">
        <f>SUM(J139:J141)</f>
        <v>7447</v>
      </c>
    </row>
    <row r="143" spans="3:10" ht="15">
      <c r="C143" s="33"/>
      <c r="D143" s="6"/>
      <c r="E143" s="34"/>
      <c r="F143" s="39"/>
      <c r="G143" s="39"/>
      <c r="H143" s="39"/>
      <c r="I143" s="39"/>
      <c r="J143" s="39"/>
    </row>
    <row r="144" spans="3:10" ht="15">
      <c r="C144" s="33" t="s">
        <v>77</v>
      </c>
      <c r="D144" s="34"/>
      <c r="E144" s="114">
        <f>+'TOTAL GASTOS DE VENTAS'!E21</f>
        <v>10054.955080000002</v>
      </c>
      <c r="F144" s="41">
        <f>+'TOTAL GASTOS DE VENTAS'!E22</f>
        <v>18645.00448</v>
      </c>
      <c r="G144" s="41">
        <f>+'TOTAL GASTOS DE VENTAS'!$E$23</f>
        <v>19609.134</v>
      </c>
      <c r="H144" s="41">
        <f>+'TOTAL GASTOS DE VENTAS'!$E$23</f>
        <v>19609.134</v>
      </c>
      <c r="I144" s="41">
        <f>+'TOTAL GASTOS DE VENTAS'!$E$23</f>
        <v>19609.134</v>
      </c>
      <c r="J144" s="41">
        <f>+'TOTAL GASTOS DE VENTAS'!$E$23</f>
        <v>19609.134</v>
      </c>
    </row>
    <row r="145" spans="3:10" ht="15">
      <c r="C145" s="33" t="s">
        <v>269</v>
      </c>
      <c r="D145" s="6"/>
      <c r="E145" s="114">
        <f>+'TOTAL GASTOS DE VENTAS'!D29</f>
        <v>8000</v>
      </c>
      <c r="F145" s="41">
        <f>+'TOTAL GASTOS DE VENTAS'!D34</f>
        <v>14000</v>
      </c>
      <c r="G145" s="41">
        <f>+'TOTAL GASTOS DE VENTAS'!$D$39</f>
        <v>29000</v>
      </c>
      <c r="H145" s="41">
        <f>+'TOTAL GASTOS DE VENTAS'!$D$39</f>
        <v>29000</v>
      </c>
      <c r="I145" s="41">
        <f>+'TOTAL GASTOS DE VENTAS'!$D$39</f>
        <v>29000</v>
      </c>
      <c r="J145" s="41">
        <f>+'TOTAL GASTOS DE VENTAS'!$D$39</f>
        <v>29000</v>
      </c>
    </row>
    <row r="146" spans="3:10" ht="15">
      <c r="C146" s="122" t="s">
        <v>76</v>
      </c>
      <c r="D146" s="126"/>
      <c r="E146" s="124">
        <f aca="true" t="shared" si="3" ref="E146:J146">SUM(E144:E145)</f>
        <v>18054.95508</v>
      </c>
      <c r="F146" s="125">
        <f t="shared" si="3"/>
        <v>32645.00448</v>
      </c>
      <c r="G146" s="125">
        <f t="shared" si="3"/>
        <v>48609.134</v>
      </c>
      <c r="H146" s="125">
        <f t="shared" si="3"/>
        <v>48609.134</v>
      </c>
      <c r="I146" s="125">
        <f t="shared" si="3"/>
        <v>48609.134</v>
      </c>
      <c r="J146" s="125">
        <f t="shared" si="3"/>
        <v>48609.134</v>
      </c>
    </row>
    <row r="147" spans="3:10" ht="15">
      <c r="C147" s="122" t="s">
        <v>90</v>
      </c>
      <c r="D147" s="123"/>
      <c r="E147" s="124">
        <f aca="true" t="shared" si="4" ref="E147:J147">+E137+E142+E146</f>
        <v>117632.75735294998</v>
      </c>
      <c r="F147" s="125">
        <f t="shared" si="4"/>
        <v>137602.92675294998</v>
      </c>
      <c r="G147" s="125">
        <f t="shared" si="4"/>
        <v>161619.43627294997</v>
      </c>
      <c r="H147" s="125">
        <f t="shared" si="4"/>
        <v>161619.43627294997</v>
      </c>
      <c r="I147" s="125">
        <f t="shared" si="4"/>
        <v>161619.43627294997</v>
      </c>
      <c r="J147" s="125">
        <f t="shared" si="4"/>
        <v>161385.395</v>
      </c>
    </row>
    <row r="148" spans="3:10" ht="15">
      <c r="C148" s="33"/>
      <c r="D148" s="34"/>
      <c r="E148" s="34"/>
      <c r="F148" s="39"/>
      <c r="G148" s="39"/>
      <c r="H148" s="39"/>
      <c r="I148" s="39"/>
      <c r="J148" s="39"/>
    </row>
    <row r="149" spans="3:10" ht="15">
      <c r="C149" s="127" t="s">
        <v>85</v>
      </c>
      <c r="D149" s="128"/>
      <c r="E149" s="129">
        <f>E137/VENTAS!C8</f>
        <v>11.374173120117282</v>
      </c>
      <c r="F149" s="130">
        <f>F137/VENTAS!C8</f>
        <v>12.038385465796296</v>
      </c>
      <c r="G149" s="130">
        <f>G137/VENTAS!$C$8</f>
        <v>13.032506453450615</v>
      </c>
      <c r="H149" s="130">
        <f>H137/VENTAS!$C$8</f>
        <v>13.032506453450615</v>
      </c>
      <c r="I149" s="130">
        <f>I137/VENTAS!$C$8</f>
        <v>13.032506453450615</v>
      </c>
      <c r="J149" s="130">
        <f>J137/VENTAS!$C$8</f>
        <v>13.0036124691358</v>
      </c>
    </row>
    <row r="150" spans="3:10" ht="15">
      <c r="C150" s="33"/>
      <c r="D150" s="34"/>
      <c r="E150" s="34"/>
      <c r="F150" s="39"/>
      <c r="G150" s="39"/>
      <c r="H150" s="39"/>
      <c r="I150" s="39"/>
      <c r="J150" s="39"/>
    </row>
    <row r="151" spans="3:10" ht="15">
      <c r="C151" s="127" t="s">
        <v>89</v>
      </c>
      <c r="D151" s="110"/>
      <c r="E151" s="129">
        <f>+E147/VENTAS!$C$8</f>
        <v>14.522562636166665</v>
      </c>
      <c r="F151" s="130">
        <f>+F147/VENTAS!$C$8</f>
        <v>16.98801564851234</v>
      </c>
      <c r="G151" s="130">
        <f>+G147/VENTAS!$C$8</f>
        <v>19.953016823820985</v>
      </c>
      <c r="H151" s="130">
        <f>+H147/VENTAS!$C$8</f>
        <v>19.953016823820985</v>
      </c>
      <c r="I151" s="130">
        <f>+I147/VENTAS!$C$8</f>
        <v>19.953016823820985</v>
      </c>
      <c r="J151" s="130">
        <f>+J147/VENTAS!$C$8</f>
        <v>19.924122839506172</v>
      </c>
    </row>
  </sheetData>
  <sheetProtection/>
  <mergeCells count="5">
    <mergeCell ref="K35:L35"/>
    <mergeCell ref="C93:D93"/>
    <mergeCell ref="C34:F34"/>
    <mergeCell ref="C55:F55"/>
    <mergeCell ref="C122:J12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2"/>
  <sheetViews>
    <sheetView showGridLines="0" zoomScalePageLayoutView="0" workbookViewId="0" topLeftCell="A1">
      <selection activeCell="A1" sqref="A1:R26"/>
    </sheetView>
  </sheetViews>
  <sheetFormatPr defaultColWidth="12.8515625" defaultRowHeight="15"/>
  <cols>
    <col min="1" max="1" width="0.9921875" style="0" customWidth="1"/>
    <col min="2" max="9" width="12.8515625" style="0" customWidth="1"/>
    <col min="10" max="10" width="0" style="0" hidden="1" customWidth="1"/>
    <col min="11" max="11" width="12.8515625" style="0" customWidth="1"/>
    <col min="12" max="12" width="0" style="0" hidden="1" customWidth="1"/>
    <col min="13" max="13" width="12.8515625" style="0" customWidth="1"/>
    <col min="14" max="14" width="0" style="0" hidden="1" customWidth="1"/>
    <col min="15" max="15" width="12.8515625" style="0" customWidth="1"/>
    <col min="16" max="16" width="0" style="0" hidden="1" customWidth="1"/>
    <col min="17" max="17" width="12.8515625" style="0" customWidth="1"/>
    <col min="18" max="18" width="4.28125" style="0" customWidth="1"/>
  </cols>
  <sheetData>
    <row r="2" spans="2:17" ht="15">
      <c r="B2" s="207" t="s">
        <v>287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2:17" ht="15">
      <c r="B3" s="142" t="s">
        <v>142</v>
      </c>
      <c r="C3" s="143"/>
      <c r="D3" s="144" t="s">
        <v>166</v>
      </c>
      <c r="E3" s="145" t="s">
        <v>70</v>
      </c>
      <c r="F3" s="145" t="s">
        <v>71</v>
      </c>
      <c r="G3" s="145" t="s">
        <v>174</v>
      </c>
      <c r="H3" s="145" t="s">
        <v>165</v>
      </c>
      <c r="I3" s="145" t="s">
        <v>167</v>
      </c>
      <c r="J3" s="145" t="s">
        <v>168</v>
      </c>
      <c r="K3" s="145" t="s">
        <v>175</v>
      </c>
      <c r="L3" s="145" t="s">
        <v>169</v>
      </c>
      <c r="M3" s="145" t="s">
        <v>176</v>
      </c>
      <c r="N3" s="145" t="s">
        <v>171</v>
      </c>
      <c r="O3" s="145" t="s">
        <v>171</v>
      </c>
      <c r="P3" s="145" t="s">
        <v>172</v>
      </c>
      <c r="Q3" s="145" t="s">
        <v>172</v>
      </c>
    </row>
    <row r="4" spans="2:17" ht="15">
      <c r="B4" s="146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2:17" ht="15">
      <c r="B5" s="149" t="s">
        <v>143</v>
      </c>
      <c r="C5" s="150"/>
      <c r="D5" s="151">
        <f>+'PRESUPUESTO FINANCIERO'!F31</f>
        <v>5418.692920000047</v>
      </c>
      <c r="E5" s="152">
        <f>+'PRESUPUESTO FINANCIERO'!G31</f>
        <v>3446.5115116994452</v>
      </c>
      <c r="F5" s="153">
        <f>+'PRESUPUESTO FINANCIERO'!H31</f>
        <v>5287.641684148888</v>
      </c>
      <c r="G5" s="152">
        <f>+'PRESUPUESTO FINANCIERO'!I31</f>
        <v>6863.3538946983535</v>
      </c>
      <c r="H5" s="154">
        <f>+'PRESUPUESTO FINANCIERO'!J31</f>
        <v>8439.066105247819</v>
      </c>
      <c r="I5" s="152">
        <f>+'PRESUPUESTO FINANCIERO'!K31</f>
        <v>10014.778315797294</v>
      </c>
      <c r="J5" s="153"/>
      <c r="K5" s="152">
        <f>+'PRESUPUESTO FINANCIERO'!L31</f>
        <v>11371.369384547304</v>
      </c>
      <c r="L5" s="154"/>
      <c r="M5" s="152">
        <f>+'PRESUPUESTO FINANCIERO'!M31</f>
        <v>12727.960453297315</v>
      </c>
      <c r="N5" s="154"/>
      <c r="O5" s="152">
        <f>+'PRESUPUESTO FINANCIERO'!N31</f>
        <v>14084.551522047326</v>
      </c>
      <c r="P5" s="154"/>
      <c r="Q5" s="152">
        <f>+'PRESUPUESTO FINANCIERO'!O31</f>
        <v>15441.142590797337</v>
      </c>
    </row>
    <row r="6" spans="2:17" ht="15">
      <c r="B6" s="149"/>
      <c r="C6" s="150"/>
      <c r="D6" s="154"/>
      <c r="E6" s="151"/>
      <c r="F6" s="154"/>
      <c r="G6" s="151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2:17" ht="15">
      <c r="B7" s="155"/>
      <c r="C7" s="156"/>
      <c r="D7" s="157"/>
      <c r="E7" s="158"/>
      <c r="F7" s="157"/>
      <c r="G7" s="158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1:17" ht="15">
      <c r="A8" s="172"/>
      <c r="B8" s="159" t="s">
        <v>144</v>
      </c>
      <c r="C8" s="160"/>
      <c r="D8" s="161">
        <f>SUM(D9:D10)</f>
        <v>11856.7</v>
      </c>
      <c r="E8" s="162">
        <f>SUM(E9:E10)</f>
        <v>10539.288</v>
      </c>
      <c r="F8" s="161">
        <f>SUM(F9:F10)</f>
        <v>9221.877</v>
      </c>
      <c r="G8" s="162">
        <f>SUM(G9:G10)</f>
        <v>7904.466</v>
      </c>
      <c r="H8" s="161">
        <f>SUM(H9:H10)+0.01</f>
        <v>6587.0650000000005</v>
      </c>
      <c r="I8" s="162">
        <f>SUM(I9:I10)</f>
        <v>5269.644</v>
      </c>
      <c r="J8" s="161"/>
      <c r="K8" s="162">
        <f>SUM(K9:K10)</f>
        <v>3952.233</v>
      </c>
      <c r="L8" s="161"/>
      <c r="M8" s="163">
        <f>SUM(M9:M10)</f>
        <v>2634.83</v>
      </c>
      <c r="N8" s="161"/>
      <c r="O8" s="163">
        <f>SUM(O9:O10)</f>
        <v>1317.411</v>
      </c>
      <c r="P8" s="161"/>
      <c r="Q8" s="163"/>
    </row>
    <row r="9" spans="2:17" ht="15">
      <c r="B9" s="164" t="s">
        <v>145</v>
      </c>
      <c r="C9" s="165"/>
      <c r="D9" s="39">
        <v>13174.11</v>
      </c>
      <c r="E9" s="166">
        <f>+D9</f>
        <v>13174.11</v>
      </c>
      <c r="F9" s="39">
        <f>+D9</f>
        <v>13174.11</v>
      </c>
      <c r="G9" s="166">
        <v>13174.11</v>
      </c>
      <c r="H9" s="39">
        <v>13174.11</v>
      </c>
      <c r="I9" s="166">
        <v>13174.11</v>
      </c>
      <c r="J9" s="39"/>
      <c r="K9" s="166">
        <v>13174.11</v>
      </c>
      <c r="L9" s="39"/>
      <c r="M9" s="103">
        <v>13174.11</v>
      </c>
      <c r="N9" s="39"/>
      <c r="O9" s="103">
        <v>13174.11</v>
      </c>
      <c r="P9" s="39"/>
      <c r="Q9" s="103"/>
    </row>
    <row r="10" spans="2:17" ht="15">
      <c r="B10" s="164" t="s">
        <v>152</v>
      </c>
      <c r="C10" s="165"/>
      <c r="D10" s="39">
        <v>-1317.41</v>
      </c>
      <c r="E10" s="166">
        <f>-('PRESUPUESTO FINANCIERO'!F13*2)</f>
        <v>-2634.822</v>
      </c>
      <c r="F10" s="39">
        <f>-+'PRESUPUESTO FINANCIERO'!F13*3</f>
        <v>-3952.233</v>
      </c>
      <c r="G10" s="166">
        <f>-+'PRESUPUESTO FINANCIERO'!F13*4</f>
        <v>-5269.644</v>
      </c>
      <c r="H10" s="39">
        <f>-'PRESUPUESTO FINANCIERO'!F13*5</f>
        <v>-6587.055</v>
      </c>
      <c r="I10" s="166">
        <f>-+'PRESUPUESTO FINANCIERO'!F13*6</f>
        <v>-7904.466</v>
      </c>
      <c r="J10" s="39"/>
      <c r="K10" s="166">
        <f>-'PRESUPUESTO FINANCIERO'!F13*7</f>
        <v>-9221.877</v>
      </c>
      <c r="L10" s="39"/>
      <c r="M10" s="166">
        <f>-'PRESUPUESTO FINANCIERO'!G13*8</f>
        <v>-10539.28</v>
      </c>
      <c r="N10" s="39"/>
      <c r="O10" s="166">
        <f>-+'PRESUPUESTO FINANCIERO'!F13*9</f>
        <v>-11856.699</v>
      </c>
      <c r="P10" s="39"/>
      <c r="Q10" s="166"/>
    </row>
    <row r="11" spans="2:17" ht="15">
      <c r="B11" s="159" t="s">
        <v>213</v>
      </c>
      <c r="C11" s="160"/>
      <c r="D11" s="162">
        <f>SUM(D12:D13)</f>
        <v>936.1650917999999</v>
      </c>
      <c r="E11" s="167">
        <f>SUM(E12:E13)</f>
        <v>702.1238188499999</v>
      </c>
      <c r="F11" s="162">
        <f>SUM(F12:F13)</f>
        <v>468.0825458999999</v>
      </c>
      <c r="G11" s="167">
        <f>SUM(G12:G13)</f>
        <v>234.0412729499999</v>
      </c>
      <c r="H11" s="162"/>
      <c r="I11" s="167"/>
      <c r="J11" s="162"/>
      <c r="K11" s="167"/>
      <c r="L11" s="162"/>
      <c r="M11" s="167"/>
      <c r="N11" s="162"/>
      <c r="O11" s="167"/>
      <c r="P11" s="162"/>
      <c r="Q11" s="167"/>
    </row>
    <row r="12" spans="2:17" ht="15">
      <c r="B12" s="164" t="s">
        <v>190</v>
      </c>
      <c r="C12" s="165"/>
      <c r="D12" s="39">
        <f>-(+'PRESUPUESTO FINANCIERO'!E30)</f>
        <v>1170.20636475</v>
      </c>
      <c r="E12" s="166">
        <f>+D12</f>
        <v>1170.20636475</v>
      </c>
      <c r="F12" s="39">
        <f>+D12</f>
        <v>1170.20636475</v>
      </c>
      <c r="G12" s="166">
        <f>+D12</f>
        <v>1170.20636475</v>
      </c>
      <c r="H12" s="166">
        <v>232.83</v>
      </c>
      <c r="I12" s="166"/>
      <c r="J12" s="39"/>
      <c r="K12" s="166"/>
      <c r="L12" s="39"/>
      <c r="M12" s="166"/>
      <c r="N12" s="166"/>
      <c r="O12" s="105"/>
      <c r="P12" s="166"/>
      <c r="Q12" s="105"/>
    </row>
    <row r="13" spans="2:17" ht="15">
      <c r="B13" s="164" t="s">
        <v>214</v>
      </c>
      <c r="C13" s="165"/>
      <c r="D13" s="39">
        <f>-+'PRESUPUESTO FINANCIERO'!F14</f>
        <v>-234.04127295</v>
      </c>
      <c r="E13" s="166">
        <f>-+'PRESUPUESTO FINANCIERO'!G14*2</f>
        <v>-468.0825459</v>
      </c>
      <c r="F13" s="39">
        <f>-'PRESUPUESTO FINANCIERO'!F14*3</f>
        <v>-702.12381885</v>
      </c>
      <c r="G13" s="166">
        <f>-+'PRESUPUESTO FINANCIERO'!G14*4</f>
        <v>-936.1650918</v>
      </c>
      <c r="H13" s="166">
        <v>-232.83</v>
      </c>
      <c r="I13" s="166"/>
      <c r="J13" s="39"/>
      <c r="K13" s="166"/>
      <c r="L13" s="39"/>
      <c r="M13" s="166"/>
      <c r="N13" s="166"/>
      <c r="O13" s="105"/>
      <c r="P13" s="166"/>
      <c r="Q13" s="105"/>
    </row>
    <row r="14" spans="2:17" ht="15">
      <c r="B14" s="164" t="s">
        <v>215</v>
      </c>
      <c r="C14" s="165"/>
      <c r="D14" s="166"/>
      <c r="E14" s="105"/>
      <c r="F14" s="166"/>
      <c r="G14" s="166"/>
      <c r="H14" s="105"/>
      <c r="I14" s="103"/>
      <c r="J14" s="105"/>
      <c r="K14" s="105"/>
      <c r="L14" s="105"/>
      <c r="M14" s="105"/>
      <c r="N14" s="105"/>
      <c r="O14" s="105"/>
      <c r="P14" s="105"/>
      <c r="Q14" s="105"/>
    </row>
    <row r="15" spans="2:17" ht="15">
      <c r="B15" s="142" t="s">
        <v>149</v>
      </c>
      <c r="C15" s="143"/>
      <c r="D15" s="168">
        <f aca="true" t="shared" si="0" ref="D15:I15">D5+D8+D11</f>
        <v>18211.55801180005</v>
      </c>
      <c r="E15" s="169">
        <f t="shared" si="0"/>
        <v>14687.923330549445</v>
      </c>
      <c r="F15" s="170">
        <f t="shared" si="0"/>
        <v>14977.60123004889</v>
      </c>
      <c r="G15" s="169">
        <f t="shared" si="0"/>
        <v>15001.861167648354</v>
      </c>
      <c r="H15" s="169">
        <f t="shared" si="0"/>
        <v>15026.13110524782</v>
      </c>
      <c r="I15" s="169">
        <f t="shared" si="0"/>
        <v>15284.422315797294</v>
      </c>
      <c r="J15" s="169"/>
      <c r="K15" s="169">
        <f>K5+K8+K11</f>
        <v>15323.602384547305</v>
      </c>
      <c r="L15" s="169"/>
      <c r="M15" s="169">
        <f>M5+M8+M11</f>
        <v>15362.790453297315</v>
      </c>
      <c r="N15" s="169"/>
      <c r="O15" s="169">
        <f>O5+O8+O11</f>
        <v>15401.962522047326</v>
      </c>
      <c r="P15" s="169"/>
      <c r="Q15" s="169">
        <f>SUM(Q5:Q14)</f>
        <v>15441.142590797337</v>
      </c>
    </row>
    <row r="16" spans="2:17" ht="15">
      <c r="B16" s="159" t="s">
        <v>146</v>
      </c>
      <c r="C16" s="160"/>
      <c r="D16" s="162"/>
      <c r="E16" s="162"/>
      <c r="F16" s="162"/>
      <c r="G16" s="162"/>
      <c r="H16" s="162"/>
      <c r="I16" s="162"/>
      <c r="J16" s="162"/>
      <c r="K16" s="163"/>
      <c r="L16" s="161"/>
      <c r="M16" s="163"/>
      <c r="N16" s="161"/>
      <c r="O16" s="163"/>
      <c r="P16" s="161"/>
      <c r="Q16" s="163"/>
    </row>
    <row r="17" spans="2:17" ht="15">
      <c r="B17" s="164" t="s">
        <v>150</v>
      </c>
      <c r="C17" s="165"/>
      <c r="D17" s="39">
        <f>+'ESTADO DE PERDIDAS Y GANANCIAS'!E11</f>
        <v>580.0863970575032</v>
      </c>
      <c r="E17" s="166">
        <f>+'ESTADO DE PERDIDAS Y GANANCIAS'!F11</f>
        <v>14.560987057501734</v>
      </c>
      <c r="F17" s="39">
        <f>+'ESTADO DE PERDIDAS Y GANANCIAS'!G11</f>
        <v>57.08455905750343</v>
      </c>
      <c r="G17" s="166">
        <f>+'PRESUPUESTO FINANCIERO'!J18</f>
        <v>57.08455905750343</v>
      </c>
      <c r="H17" s="39">
        <f>+'ESTADO DE PERDIDAS Y GANANCIAS'!G11</f>
        <v>57.08455905750343</v>
      </c>
      <c r="I17" s="166">
        <f>+'ESTADO DE PERDIDAS Y GANANCIAS'!J11</f>
        <v>92.19075000000267</v>
      </c>
      <c r="J17" s="39"/>
      <c r="K17" s="166">
        <f>+'ESTADO DE PERDIDAS Y GANANCIAS'!J11</f>
        <v>92.19075000000267</v>
      </c>
      <c r="L17" s="39"/>
      <c r="M17" s="103">
        <f>+'ESTADO DE PERDIDAS Y GANANCIAS'!J11</f>
        <v>92.19075000000267</v>
      </c>
      <c r="N17" s="39"/>
      <c r="O17" s="103">
        <f>+'ESTADO DE PERDIDAS Y GANANCIAS'!J11</f>
        <v>92.19075000000267</v>
      </c>
      <c r="P17" s="39"/>
      <c r="Q17" s="103">
        <f>+'ESTADO DE PERDIDAS Y GANANCIAS'!J11</f>
        <v>92.19075000000267</v>
      </c>
    </row>
    <row r="18" spans="2:17" ht="15">
      <c r="B18" s="164" t="s">
        <v>151</v>
      </c>
      <c r="C18" s="165"/>
      <c r="D18" s="39">
        <f>+'ESTADO DE PERDIDAS Y GANANCIAS'!E13</f>
        <v>821.7890624981295</v>
      </c>
      <c r="E18" s="166">
        <f>+'ESTADO DE PERDIDAS Y GANANCIAS'!F13</f>
        <v>20.628064998127456</v>
      </c>
      <c r="F18" s="39">
        <f>+'ESTADO DE PERDIDAS Y GANANCIAS'!G13</f>
        <v>80.86979199812986</v>
      </c>
      <c r="G18" s="166">
        <f>+'PRESUPUESTO FINANCIERO'!J19</f>
        <v>80.86979199812986</v>
      </c>
      <c r="H18" s="39">
        <f>+'ESTADO DE PERDIDAS Y GANANCIAS'!G13</f>
        <v>80.86979199812986</v>
      </c>
      <c r="I18" s="166">
        <f>+'ESTADO DE PERDIDAS Y GANANCIAS'!J13</f>
        <v>130.60356250000376</v>
      </c>
      <c r="J18" s="39"/>
      <c r="K18" s="166">
        <f>+'ESTADO DE PERDIDAS Y GANANCIAS'!J13</f>
        <v>130.60356250000376</v>
      </c>
      <c r="L18" s="39"/>
      <c r="M18" s="103">
        <f>+'ESTADO DE PERDIDAS Y GANANCIAS'!J13</f>
        <v>130.60356250000376</v>
      </c>
      <c r="N18" s="39"/>
      <c r="O18" s="103">
        <f>+'ESTADO DE PERDIDAS Y GANANCIAS'!J13</f>
        <v>130.60356250000376</v>
      </c>
      <c r="P18" s="39"/>
      <c r="Q18" s="103">
        <f>+'ESTADO DE PERDIDAS Y GANANCIAS'!J13</f>
        <v>130.60356250000376</v>
      </c>
    </row>
    <row r="19" spans="2:17" ht="15">
      <c r="B19" s="159" t="s">
        <v>153</v>
      </c>
      <c r="C19" s="160"/>
      <c r="D19" s="161">
        <f aca="true" t="shared" si="1" ref="D19:I19">SUM(D17:D18)</f>
        <v>1401.8754595556327</v>
      </c>
      <c r="E19" s="162">
        <f t="shared" si="1"/>
        <v>35.18905205562919</v>
      </c>
      <c r="F19" s="162">
        <f t="shared" si="1"/>
        <v>137.95435105563328</v>
      </c>
      <c r="G19" s="162">
        <f t="shared" si="1"/>
        <v>137.95435105563328</v>
      </c>
      <c r="H19" s="162">
        <f t="shared" si="1"/>
        <v>137.95435105563328</v>
      </c>
      <c r="I19" s="163">
        <f t="shared" si="1"/>
        <v>222.7943125000064</v>
      </c>
      <c r="J19" s="162"/>
      <c r="K19" s="163">
        <f>SUM(K17:K18)</f>
        <v>222.7943125000064</v>
      </c>
      <c r="L19" s="161"/>
      <c r="M19" s="171">
        <f>SUM(M17:M18)</f>
        <v>222.7943125000064</v>
      </c>
      <c r="N19" s="161"/>
      <c r="O19" s="171">
        <f>SUM(O17:O18)</f>
        <v>222.7943125000064</v>
      </c>
      <c r="P19" s="161"/>
      <c r="Q19" s="163">
        <f>SUM(Q17:Q18)</f>
        <v>222.7943125000064</v>
      </c>
    </row>
    <row r="20" spans="2:17" ht="15">
      <c r="B20" s="164" t="s">
        <v>147</v>
      </c>
      <c r="C20" s="165"/>
      <c r="D20" s="39">
        <f aca="true" t="shared" si="2" ref="D20:I20">SUM(D21:D24)</f>
        <v>16809.68355224439</v>
      </c>
      <c r="E20" s="166">
        <f t="shared" si="2"/>
        <v>14652.737278493822</v>
      </c>
      <c r="F20" s="39">
        <f t="shared" si="2"/>
        <v>14839.650878993267</v>
      </c>
      <c r="G20" s="166">
        <f t="shared" si="2"/>
        <v>14863.911816592707</v>
      </c>
      <c r="H20" s="39">
        <f t="shared" si="2"/>
        <v>14888.172754192145</v>
      </c>
      <c r="I20" s="166">
        <f t="shared" si="2"/>
        <v>15061.635003297206</v>
      </c>
      <c r="J20" s="39"/>
      <c r="K20" s="166">
        <f>SUM(K21:K24)</f>
        <v>15100.816072047206</v>
      </c>
      <c r="L20" s="39"/>
      <c r="M20" s="103">
        <f>SUM(M21:M24)</f>
        <v>15139.997140797208</v>
      </c>
      <c r="N20" s="39"/>
      <c r="O20" s="103">
        <f>SUM(O21:O24)</f>
        <v>15179.17820954721</v>
      </c>
      <c r="P20" s="39"/>
      <c r="Q20" s="103">
        <f>SUM(Q21:Q24)</f>
        <v>15218.35927829721</v>
      </c>
    </row>
    <row r="21" spans="2:17" ht="15">
      <c r="B21" s="164" t="s">
        <v>148</v>
      </c>
      <c r="C21" s="165"/>
      <c r="D21" s="39">
        <f>+D9+D12</f>
        <v>14344.31636475</v>
      </c>
      <c r="E21" s="166">
        <f>+D21</f>
        <v>14344.31636475</v>
      </c>
      <c r="F21" s="39">
        <f>+E21</f>
        <v>14344.31636475</v>
      </c>
      <c r="G21" s="166">
        <f>+F21</f>
        <v>14344.31636475</v>
      </c>
      <c r="H21" s="39">
        <f>+G21</f>
        <v>14344.31636475</v>
      </c>
      <c r="I21" s="166">
        <f>+H21</f>
        <v>14344.31636475</v>
      </c>
      <c r="J21" s="39"/>
      <c r="K21" s="166">
        <f>+I21</f>
        <v>14344.31636475</v>
      </c>
      <c r="L21" s="39"/>
      <c r="M21" s="103">
        <f>+I21</f>
        <v>14344.31636475</v>
      </c>
      <c r="N21" s="39"/>
      <c r="O21" s="103">
        <f>+M21</f>
        <v>14344.31636475</v>
      </c>
      <c r="P21" s="39"/>
      <c r="Q21" s="103">
        <f>+O21</f>
        <v>14344.31636475</v>
      </c>
    </row>
    <row r="22" spans="2:17" ht="15">
      <c r="B22" s="164" t="s">
        <v>140</v>
      </c>
      <c r="C22" s="165"/>
      <c r="D22" s="39">
        <f>+'ESTADO DE PERDIDAS Y GANANCIAS'!$E$15</f>
        <v>246.53671874943885</v>
      </c>
      <c r="E22" s="166">
        <f>+'ESTADO DE PERDIDAS Y GANANCIAS'!E15+'ESTADO DE PERDIDAS Y GANANCIAS'!F15</f>
        <v>252.72513824887707</v>
      </c>
      <c r="F22" s="39">
        <f>+'ESTADO DE PERDIDAS Y GANANCIAS'!G15+E22</f>
        <v>276.98607584831603</v>
      </c>
      <c r="G22" s="166">
        <f>+F22+'ESTADO DE PERDIDAS Y GANANCIAS'!G15</f>
        <v>301.24701344775497</v>
      </c>
      <c r="H22" s="39">
        <f>+'ESTADO DE PERDIDAS Y GANANCIAS'!G15+G22</f>
        <v>325.5079510471939</v>
      </c>
      <c r="I22" s="166">
        <f>+'ESTADO DE PERDIDAS Y GANANCIAS'!J15+H22</f>
        <v>364.68901979719504</v>
      </c>
      <c r="J22" s="39"/>
      <c r="K22" s="166">
        <f>+'ESTADO DE PERDIDAS Y GANANCIAS'!J15+I22</f>
        <v>403.8700885471962</v>
      </c>
      <c r="L22" s="39"/>
      <c r="M22" s="103">
        <f>+'ESTADO DE PERDIDAS Y GANANCIAS'!J15+K22</f>
        <v>443.05115729719734</v>
      </c>
      <c r="N22" s="39"/>
      <c r="O22" s="103">
        <f>+'ESTADO DE PERDIDAS Y GANANCIAS'!J15+M22</f>
        <v>482.2322260471985</v>
      </c>
      <c r="P22" s="39"/>
      <c r="Q22" s="103">
        <f>+'ESTADO DE PERDIDAS Y GANANCIAS'!J15+O22</f>
        <v>521.4132947971996</v>
      </c>
    </row>
    <row r="23" spans="2:17" ht="15">
      <c r="B23" s="164" t="s">
        <v>157</v>
      </c>
      <c r="C23" s="165"/>
      <c r="D23" s="39"/>
      <c r="E23" s="166"/>
      <c r="F23" s="39"/>
      <c r="G23" s="166"/>
      <c r="H23" s="39"/>
      <c r="I23" s="166"/>
      <c r="J23" s="39"/>
      <c r="K23" s="166"/>
      <c r="L23" s="39"/>
      <c r="M23" s="103"/>
      <c r="N23" s="39"/>
      <c r="O23" s="103"/>
      <c r="P23" s="39"/>
      <c r="Q23" s="103"/>
    </row>
    <row r="24" spans="2:17" ht="15">
      <c r="B24" s="142" t="s">
        <v>138</v>
      </c>
      <c r="C24" s="143"/>
      <c r="D24" s="168">
        <f>+'ESTADO DE PERDIDAS Y GANANCIAS'!E16</f>
        <v>2218.8304687449495</v>
      </c>
      <c r="E24" s="169">
        <f>+'ESTADO DE PERDIDAS Y GANANCIAS'!F16</f>
        <v>55.69577549494413</v>
      </c>
      <c r="F24" s="170">
        <f>+'ESTADO DE PERDIDAS Y GANANCIAS'!G16</f>
        <v>218.3484383949506</v>
      </c>
      <c r="G24" s="169">
        <f>+'ESTADO DE PERDIDAS Y GANANCIAS'!G16</f>
        <v>218.3484383949506</v>
      </c>
      <c r="H24" s="169">
        <f>+'ESTADO DE PERDIDAS Y GANANCIAS'!G16</f>
        <v>218.3484383949506</v>
      </c>
      <c r="I24" s="169">
        <f>+'ESTADO DE PERDIDAS Y GANANCIAS'!J16</f>
        <v>352.62961875001014</v>
      </c>
      <c r="J24" s="169"/>
      <c r="K24" s="169">
        <f>+'ESTADO DE PERDIDAS Y GANANCIAS'!J16</f>
        <v>352.62961875001014</v>
      </c>
      <c r="L24" s="169"/>
      <c r="M24" s="169">
        <f>+'ESTADO DE PERDIDAS Y GANANCIAS'!J16</f>
        <v>352.62961875001014</v>
      </c>
      <c r="N24" s="169"/>
      <c r="O24" s="169">
        <f>+'ESTADO DE PERDIDAS Y GANANCIAS'!J16</f>
        <v>352.62961875001014</v>
      </c>
      <c r="P24" s="169"/>
      <c r="Q24" s="169">
        <f>+'ESTADO DE PERDIDAS Y GANANCIAS'!J16</f>
        <v>352.62961875001014</v>
      </c>
    </row>
    <row r="25" spans="2:17" ht="15">
      <c r="B25" s="142" t="s">
        <v>154</v>
      </c>
      <c r="C25" s="143"/>
      <c r="D25" s="168">
        <f>D19+D20</f>
        <v>18211.559011800022</v>
      </c>
      <c r="E25" s="169">
        <f>SUM(E19:E20)</f>
        <v>14687.926330549451</v>
      </c>
      <c r="F25" s="170">
        <f>SUM(F19:F20)</f>
        <v>14977.605230048901</v>
      </c>
      <c r="G25" s="169">
        <f>SUM(G19:G20)</f>
        <v>15001.86616764834</v>
      </c>
      <c r="H25" s="169">
        <f>SUM(H19:H20)</f>
        <v>15026.127105247779</v>
      </c>
      <c r="I25" s="169">
        <f>SUM(I19:I20)</f>
        <v>15284.429315797212</v>
      </c>
      <c r="J25" s="169"/>
      <c r="K25" s="169">
        <f>SUM(K19:K20)</f>
        <v>15323.610384547212</v>
      </c>
      <c r="L25" s="169"/>
      <c r="M25" s="169">
        <f>SUM(M19:M20)</f>
        <v>15362.791453297214</v>
      </c>
      <c r="N25" s="169"/>
      <c r="O25" s="169">
        <f>SUM(O19:O20)</f>
        <v>15401.972522047216</v>
      </c>
      <c r="P25" s="169"/>
      <c r="Q25" s="169">
        <f>SUM(Q19:Q20)</f>
        <v>15441.153590797216</v>
      </c>
    </row>
    <row r="27" spans="4:5" ht="15">
      <c r="D27" s="141"/>
      <c r="E27" s="2"/>
    </row>
    <row r="28" spans="4:18" ht="15">
      <c r="D28" s="14">
        <f>D15-D25</f>
        <v>-0.0009999999710998964</v>
      </c>
      <c r="E28" s="14">
        <f aca="true" t="shared" si="3" ref="E28:R28">E15-E25</f>
        <v>-0.0030000000060681487</v>
      </c>
      <c r="F28" s="14">
        <f t="shared" si="3"/>
        <v>-0.004000000011728844</v>
      </c>
      <c r="G28" s="14">
        <f t="shared" si="3"/>
        <v>-0.004999999986466719</v>
      </c>
      <c r="H28" s="14">
        <f t="shared" si="3"/>
        <v>0.004000000040832674</v>
      </c>
      <c r="I28" s="14">
        <f t="shared" si="3"/>
        <v>-0.006999999917752575</v>
      </c>
      <c r="J28" s="14">
        <f t="shared" si="3"/>
        <v>0</v>
      </c>
      <c r="K28" s="14">
        <f t="shared" si="3"/>
        <v>-0.007999999907042366</v>
      </c>
      <c r="L28" s="14">
        <f t="shared" si="3"/>
        <v>0</v>
      </c>
      <c r="M28" s="14">
        <f t="shared" si="3"/>
        <v>-0.0009999998983403202</v>
      </c>
      <c r="N28" s="14">
        <f t="shared" si="3"/>
        <v>0</v>
      </c>
      <c r="O28" s="14">
        <f t="shared" si="3"/>
        <v>-0.009999999889259925</v>
      </c>
      <c r="P28" s="14">
        <f t="shared" si="3"/>
        <v>0</v>
      </c>
      <c r="Q28" s="14">
        <f t="shared" si="3"/>
        <v>-0.010999999878549716</v>
      </c>
      <c r="R28" s="14">
        <f t="shared" si="3"/>
        <v>0</v>
      </c>
    </row>
    <row r="30" ht="15">
      <c r="E30" s="14"/>
    </row>
    <row r="31" ht="15">
      <c r="E31" s="14"/>
    </row>
    <row r="32" ht="15">
      <c r="E32" s="14"/>
    </row>
  </sheetData>
  <sheetProtection/>
  <mergeCells count="1">
    <mergeCell ref="B2:Q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2"/>
  <sheetViews>
    <sheetView zoomScale="90" zoomScaleNormal="90" zoomScalePageLayoutView="0" workbookViewId="0" topLeftCell="B1">
      <selection activeCell="E26" sqref="E26"/>
    </sheetView>
  </sheetViews>
  <sheetFormatPr defaultColWidth="11.421875" defaultRowHeight="15"/>
  <cols>
    <col min="2" max="2" width="10.7109375" style="0" customWidth="1"/>
    <col min="3" max="3" width="14.00390625" style="0" customWidth="1"/>
    <col min="4" max="4" width="10.8515625" style="0" hidden="1" customWidth="1"/>
    <col min="5" max="15" width="10.7109375" style="0" customWidth="1"/>
    <col min="16" max="16" width="11.421875" style="0" customWidth="1"/>
    <col min="17" max="17" width="12.28125" style="0" customWidth="1"/>
    <col min="18" max="18" width="12.00390625" style="0" customWidth="1"/>
    <col min="19" max="19" width="12.140625" style="0" customWidth="1"/>
    <col min="20" max="20" width="11.140625" style="0" customWidth="1"/>
    <col min="21" max="21" width="12.8515625" style="0" customWidth="1"/>
    <col min="22" max="22" width="10.140625" style="0" bestFit="1" customWidth="1"/>
    <col min="23" max="23" width="12.28125" style="0" bestFit="1" customWidth="1"/>
  </cols>
  <sheetData>
    <row r="2" spans="2:20" ht="15">
      <c r="B2" s="1" t="s">
        <v>287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3" ht="15">
      <c r="B3" s="78" t="s">
        <v>142</v>
      </c>
      <c r="C3" s="79"/>
      <c r="D3" s="80" t="s">
        <v>173</v>
      </c>
      <c r="E3" s="80" t="s">
        <v>166</v>
      </c>
      <c r="F3" s="80" t="s">
        <v>155</v>
      </c>
      <c r="G3" s="80" t="s">
        <v>70</v>
      </c>
      <c r="H3" s="80" t="s">
        <v>71</v>
      </c>
      <c r="I3" s="80" t="s">
        <v>71</v>
      </c>
      <c r="J3" s="80" t="s">
        <v>164</v>
      </c>
      <c r="K3" s="80" t="s">
        <v>174</v>
      </c>
      <c r="L3" s="80" t="s">
        <v>165</v>
      </c>
      <c r="M3" s="80" t="s">
        <v>165</v>
      </c>
      <c r="N3" s="80" t="s">
        <v>167</v>
      </c>
      <c r="O3" s="80" t="s">
        <v>167</v>
      </c>
      <c r="P3" s="80" t="s">
        <v>168</v>
      </c>
      <c r="Q3" s="80" t="s">
        <v>175</v>
      </c>
      <c r="R3" s="80" t="s">
        <v>169</v>
      </c>
      <c r="S3" s="80" t="s">
        <v>176</v>
      </c>
      <c r="T3" s="80" t="s">
        <v>171</v>
      </c>
      <c r="U3" s="80" t="s">
        <v>171</v>
      </c>
      <c r="V3" s="80" t="s">
        <v>172</v>
      </c>
      <c r="W3" s="81" t="s">
        <v>172</v>
      </c>
    </row>
    <row r="4" spans="2:23" ht="15">
      <c r="B4" s="78"/>
      <c r="C4" s="7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</row>
    <row r="5" spans="2:23" ht="15">
      <c r="B5" s="78" t="s">
        <v>143</v>
      </c>
      <c r="C5" s="79"/>
      <c r="D5" s="21"/>
      <c r="E5" s="22">
        <f>+'PRESUPUESTO FINANCIERO'!F31</f>
        <v>5418.692920000047</v>
      </c>
      <c r="F5" s="23"/>
      <c r="G5" s="22">
        <f>+'PRESUPUESTO FINANCIERO'!G31</f>
        <v>3446.5115116994452</v>
      </c>
      <c r="H5" s="19"/>
      <c r="I5" s="22">
        <f>+'PRESUPUESTO FINANCIERO'!H31</f>
        <v>5287.641684148888</v>
      </c>
      <c r="J5" s="23"/>
      <c r="K5" s="22">
        <f>+'PRESUPUESTO FINANCIERO'!I31</f>
        <v>6863.3538946983535</v>
      </c>
      <c r="L5" s="19"/>
      <c r="M5" s="22">
        <f>+'PRESUPUESTO FINANCIERO'!J31</f>
        <v>8439.066105247819</v>
      </c>
      <c r="N5" s="19"/>
      <c r="O5" s="22">
        <f>+'PRESUPUESTO FINANCIERO'!K31</f>
        <v>10014.778315797294</v>
      </c>
      <c r="P5" s="19"/>
      <c r="Q5" s="22">
        <f>+'PRESUPUESTO FINANCIERO'!L31</f>
        <v>11371.369384547304</v>
      </c>
      <c r="R5" s="21"/>
      <c r="S5" s="22">
        <f>+'PRESUPUESTO FINANCIERO'!M31</f>
        <v>12727.960453297315</v>
      </c>
      <c r="T5" s="19"/>
      <c r="U5" s="22">
        <f>+'PRESUPUESTO FINANCIERO'!N31</f>
        <v>14084.551522047326</v>
      </c>
      <c r="V5" s="19"/>
      <c r="W5" s="22">
        <f>+'PRESUPUESTO FINANCIERO'!O31</f>
        <v>15441.142590797337</v>
      </c>
    </row>
    <row r="6" spans="2:23" ht="15">
      <c r="B6" s="78"/>
      <c r="C6" s="79"/>
      <c r="D6" s="19"/>
      <c r="E6" s="21"/>
      <c r="F6" s="19"/>
      <c r="G6" s="21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2:23" ht="15">
      <c r="B7" s="78"/>
      <c r="C7" s="79"/>
      <c r="D7" s="19"/>
      <c r="E7" s="21"/>
      <c r="F7" s="19"/>
      <c r="G7" s="2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1:23" ht="15">
      <c r="A8" s="22"/>
      <c r="B8" s="78" t="s">
        <v>144</v>
      </c>
      <c r="C8" s="79"/>
      <c r="D8" s="19"/>
      <c r="E8" s="21">
        <f>SUM(D9:D10)</f>
        <v>11856.7</v>
      </c>
      <c r="F8" s="19"/>
      <c r="G8" s="21">
        <f>SUM(F9:F10)</f>
        <v>10539.288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</row>
    <row r="9" spans="2:23" ht="15">
      <c r="B9" s="78" t="s">
        <v>145</v>
      </c>
      <c r="C9" s="79"/>
      <c r="D9" s="21">
        <v>13174.11</v>
      </c>
      <c r="E9" s="19"/>
      <c r="F9" s="21">
        <f>+D9</f>
        <v>13174.11</v>
      </c>
      <c r="G9" s="21"/>
      <c r="H9" s="21">
        <f>+D9</f>
        <v>13174.11</v>
      </c>
      <c r="I9" s="21">
        <f>SUM(H9:H10)</f>
        <v>9221.877</v>
      </c>
      <c r="J9" s="21">
        <v>13174.11</v>
      </c>
      <c r="K9" s="21">
        <f>SUM(J9:J10)</f>
        <v>7904.466</v>
      </c>
      <c r="L9" s="23">
        <v>13174.11</v>
      </c>
      <c r="M9" s="23">
        <f>SUM(L9:L10)+0.01</f>
        <v>6587.0650000000005</v>
      </c>
      <c r="N9" s="23">
        <v>13174.11</v>
      </c>
      <c r="O9" s="23">
        <f>SUM(N9:N10)</f>
        <v>5269.644</v>
      </c>
      <c r="P9" s="23">
        <v>13174.11</v>
      </c>
      <c r="Q9" s="23">
        <f>SUM(P9:P10)</f>
        <v>3952.233</v>
      </c>
      <c r="R9" s="23">
        <v>13174.11</v>
      </c>
      <c r="S9" s="23">
        <f>SUM(R9:R10)</f>
        <v>2634.83</v>
      </c>
      <c r="T9" s="23">
        <v>13174.11</v>
      </c>
      <c r="U9" s="23">
        <f>SUM(T9:T10)</f>
        <v>1317.411</v>
      </c>
      <c r="V9" s="19"/>
      <c r="W9" s="20"/>
    </row>
    <row r="10" spans="2:23" ht="15">
      <c r="B10" s="78" t="s">
        <v>152</v>
      </c>
      <c r="C10" s="79"/>
      <c r="D10" s="21">
        <v>-1317.41</v>
      </c>
      <c r="E10" s="19"/>
      <c r="F10" s="21">
        <f>-('PRESUPUESTO FINANCIERO'!F13*2)</f>
        <v>-2634.822</v>
      </c>
      <c r="G10" s="21"/>
      <c r="H10" s="21">
        <f>-+'PRESUPUESTO FINANCIERO'!F13*3</f>
        <v>-3952.233</v>
      </c>
      <c r="I10" s="19"/>
      <c r="J10" s="21">
        <f>-+'PRESUPUESTO FINANCIERO'!F13*4</f>
        <v>-5269.644</v>
      </c>
      <c r="K10" s="19"/>
      <c r="L10" s="21">
        <f>-'PRESUPUESTO FINANCIERO'!F13*5</f>
        <v>-6587.055</v>
      </c>
      <c r="M10" s="19"/>
      <c r="N10" s="21">
        <f>-+'PRESUPUESTO FINANCIERO'!F13*6</f>
        <v>-7904.466</v>
      </c>
      <c r="O10" s="19"/>
      <c r="P10" s="21">
        <f>-'PRESUPUESTO FINANCIERO'!F13*7</f>
        <v>-9221.877</v>
      </c>
      <c r="Q10" s="19"/>
      <c r="R10" s="21">
        <f>-'PRESUPUESTO FINANCIERO'!G13*8</f>
        <v>-10539.28</v>
      </c>
      <c r="S10" s="19"/>
      <c r="T10" s="21">
        <f>-+'PRESUPUESTO FINANCIERO'!F13*9</f>
        <v>-11856.699</v>
      </c>
      <c r="U10" s="21"/>
      <c r="V10" s="19"/>
      <c r="W10" s="20"/>
    </row>
    <row r="11" spans="2:23" ht="15">
      <c r="B11" s="78" t="s">
        <v>213</v>
      </c>
      <c r="C11" s="79"/>
      <c r="D11" s="21"/>
      <c r="E11" s="19"/>
      <c r="F11" s="21"/>
      <c r="G11" s="21"/>
      <c r="H11" s="21"/>
      <c r="I11" s="19"/>
      <c r="J11" s="21"/>
      <c r="K11" s="19"/>
      <c r="L11" s="21"/>
      <c r="M11" s="19"/>
      <c r="N11" s="21"/>
      <c r="O11" s="19"/>
      <c r="P11" s="21"/>
      <c r="Q11" s="19"/>
      <c r="R11" s="21"/>
      <c r="S11" s="19"/>
      <c r="T11" s="21"/>
      <c r="U11" s="21"/>
      <c r="V11" s="19"/>
      <c r="W11" s="20"/>
    </row>
    <row r="12" spans="2:23" ht="15">
      <c r="B12" s="78" t="s">
        <v>190</v>
      </c>
      <c r="C12" s="79"/>
      <c r="D12" s="21">
        <f>-(+'PRESUPUESTO FINANCIERO'!E30)</f>
        <v>1170.20636475</v>
      </c>
      <c r="E12" s="21">
        <f>SUM(D12:D13)</f>
        <v>936.1650917999999</v>
      </c>
      <c r="F12" s="21">
        <f>+D12</f>
        <v>1170.20636475</v>
      </c>
      <c r="G12" s="21">
        <f>SUM(F12:F13)</f>
        <v>702.1238188499999</v>
      </c>
      <c r="H12" s="21">
        <f>+D12</f>
        <v>1170.20636475</v>
      </c>
      <c r="I12" s="21">
        <f>SUM(H12:H13)</f>
        <v>468.0825458999999</v>
      </c>
      <c r="J12" s="21">
        <f>+D12</f>
        <v>1170.20636475</v>
      </c>
      <c r="K12" s="21">
        <f>SUM(J12:J13)</f>
        <v>234.0412729499999</v>
      </c>
      <c r="L12" s="21">
        <v>232.83</v>
      </c>
      <c r="M12" s="19"/>
      <c r="N12" s="21"/>
      <c r="O12" s="19"/>
      <c r="P12" s="21"/>
      <c r="Q12" s="19"/>
      <c r="R12" s="21"/>
      <c r="S12" s="19"/>
      <c r="T12" s="21"/>
      <c r="U12" s="21"/>
      <c r="V12" s="19"/>
      <c r="W12" s="20"/>
    </row>
    <row r="13" spans="2:23" ht="15">
      <c r="B13" s="78" t="s">
        <v>214</v>
      </c>
      <c r="C13" s="79"/>
      <c r="D13" s="21">
        <f>-+'PRESUPUESTO FINANCIERO'!F14</f>
        <v>-234.04127295</v>
      </c>
      <c r="E13" s="19"/>
      <c r="F13" s="21">
        <f>-+'PRESUPUESTO FINANCIERO'!G14*2</f>
        <v>-468.0825459</v>
      </c>
      <c r="G13" s="21"/>
      <c r="H13" s="21">
        <f>-'PRESUPUESTO FINANCIERO'!F14*3</f>
        <v>-702.12381885</v>
      </c>
      <c r="I13" s="19"/>
      <c r="J13" s="21">
        <f>-+'PRESUPUESTO FINANCIERO'!G14*4</f>
        <v>-936.1650918</v>
      </c>
      <c r="K13" s="19"/>
      <c r="L13" s="21">
        <v>-232.83</v>
      </c>
      <c r="M13" s="19"/>
      <c r="N13" s="21"/>
      <c r="O13" s="19"/>
      <c r="P13" s="21"/>
      <c r="Q13" s="19"/>
      <c r="R13" s="21"/>
      <c r="S13" s="19"/>
      <c r="T13" s="21"/>
      <c r="U13" s="21"/>
      <c r="V13" s="19"/>
      <c r="W13" s="20"/>
    </row>
    <row r="14" spans="2:23" ht="15">
      <c r="B14" s="78" t="s">
        <v>215</v>
      </c>
      <c r="C14" s="79"/>
      <c r="D14" s="21"/>
      <c r="E14" s="19"/>
      <c r="F14" s="21"/>
      <c r="G14" s="21"/>
      <c r="H14" s="19"/>
      <c r="I14" s="23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</row>
    <row r="15" spans="2:23" ht="15">
      <c r="B15" s="78" t="s">
        <v>149</v>
      </c>
      <c r="C15" s="79"/>
      <c r="D15" s="21"/>
      <c r="E15" s="22">
        <f>SUM(E5:E14)</f>
        <v>18211.55801180005</v>
      </c>
      <c r="F15" s="23"/>
      <c r="G15" s="22">
        <f>SUM(G5:G14)</f>
        <v>14687.923330549445</v>
      </c>
      <c r="H15" s="19"/>
      <c r="I15" s="24">
        <f>SUM(I4:I14)</f>
        <v>14977.60123004889</v>
      </c>
      <c r="J15" s="19"/>
      <c r="K15" s="22">
        <f>SUM(K5:K14)</f>
        <v>15001.861167648354</v>
      </c>
      <c r="L15" s="19"/>
      <c r="M15" s="22">
        <f>SUM(M5:M14)</f>
        <v>15026.13110524782</v>
      </c>
      <c r="N15" s="19"/>
      <c r="O15" s="22">
        <f>SUM(O5:O14)</f>
        <v>15284.422315797294</v>
      </c>
      <c r="P15" s="19"/>
      <c r="Q15" s="22">
        <f>SUM(Q5:Q14)</f>
        <v>15323.602384547305</v>
      </c>
      <c r="R15" s="19"/>
      <c r="S15" s="22">
        <f>SUM(S5:S14)</f>
        <v>15362.790453297315</v>
      </c>
      <c r="T15" s="19"/>
      <c r="U15" s="22">
        <f>SUM(U5:U14)</f>
        <v>15401.962522047326</v>
      </c>
      <c r="V15" s="19"/>
      <c r="W15" s="22">
        <f>SUM(W5:W14)</f>
        <v>15441.142590797337</v>
      </c>
    </row>
    <row r="16" spans="2:23" ht="15">
      <c r="B16" s="78" t="s">
        <v>146</v>
      </c>
      <c r="C16" s="79"/>
      <c r="D16" s="21"/>
      <c r="E16" s="19"/>
      <c r="F16" s="19"/>
      <c r="G16" s="2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</row>
    <row r="17" spans="2:23" ht="15">
      <c r="B17" s="78" t="s">
        <v>150</v>
      </c>
      <c r="C17" s="79"/>
      <c r="D17" s="21">
        <f>+'ESTADO DE PERDIDAS Y GANANCIAS'!E11</f>
        <v>580.0863970575032</v>
      </c>
      <c r="E17" s="19"/>
      <c r="F17" s="21">
        <f>+'ESTADO DE PERDIDAS Y GANANCIAS'!F11</f>
        <v>14.560987057501734</v>
      </c>
      <c r="G17" s="21"/>
      <c r="H17" s="21">
        <f>+'ESTADO DE PERDIDAS Y GANANCIAS'!G11</f>
        <v>57.08455905750343</v>
      </c>
      <c r="I17" s="19"/>
      <c r="J17" s="21">
        <f>+'PRESUPUESTO FINANCIERO'!J18</f>
        <v>57.08455905750343</v>
      </c>
      <c r="K17" s="19"/>
      <c r="L17" s="23">
        <f>+'ESTADO DE PERDIDAS Y GANANCIAS'!G11</f>
        <v>57.08455905750343</v>
      </c>
      <c r="M17" s="19"/>
      <c r="N17" s="23">
        <f>+'ESTADO DE PERDIDAS Y GANANCIAS'!J11</f>
        <v>92.19075000000267</v>
      </c>
      <c r="O17" s="19"/>
      <c r="P17" s="23">
        <f>+'ESTADO DE PERDIDAS Y GANANCIAS'!J11</f>
        <v>92.19075000000267</v>
      </c>
      <c r="Q17" s="19"/>
      <c r="R17" s="23">
        <f>+'ESTADO DE PERDIDAS Y GANANCIAS'!J11</f>
        <v>92.19075000000267</v>
      </c>
      <c r="S17" s="19"/>
      <c r="T17" s="23">
        <f>+'ESTADO DE PERDIDAS Y GANANCIAS'!J11</f>
        <v>92.19075000000267</v>
      </c>
      <c r="U17" s="19"/>
      <c r="V17" s="23">
        <f>+'ESTADO DE PERDIDAS Y GANANCIAS'!J11</f>
        <v>92.19075000000267</v>
      </c>
      <c r="W17" s="20"/>
    </row>
    <row r="18" spans="2:23" ht="15">
      <c r="B18" s="78" t="s">
        <v>151</v>
      </c>
      <c r="C18" s="79"/>
      <c r="D18" s="21">
        <f>+'ESTADO DE PERDIDAS Y GANANCIAS'!E13</f>
        <v>821.7890624981295</v>
      </c>
      <c r="E18" s="19"/>
      <c r="F18" s="21">
        <f>+'ESTADO DE PERDIDAS Y GANANCIAS'!F13</f>
        <v>20.628064998127456</v>
      </c>
      <c r="G18" s="21"/>
      <c r="H18" s="21">
        <f>+'ESTADO DE PERDIDAS Y GANANCIAS'!G13</f>
        <v>80.86979199812986</v>
      </c>
      <c r="I18" s="19"/>
      <c r="J18" s="21">
        <f>+'PRESUPUESTO FINANCIERO'!J19</f>
        <v>80.86979199812986</v>
      </c>
      <c r="K18" s="19"/>
      <c r="L18" s="23">
        <f>+'ESTADO DE PERDIDAS Y GANANCIAS'!G13</f>
        <v>80.86979199812986</v>
      </c>
      <c r="M18" s="19"/>
      <c r="N18" s="23">
        <f>+'ESTADO DE PERDIDAS Y GANANCIAS'!J13</f>
        <v>130.60356250000376</v>
      </c>
      <c r="O18" s="19"/>
      <c r="P18" s="23">
        <f>+'ESTADO DE PERDIDAS Y GANANCIAS'!J13</f>
        <v>130.60356250000376</v>
      </c>
      <c r="Q18" s="19"/>
      <c r="R18" s="23">
        <f>+'ESTADO DE PERDIDAS Y GANANCIAS'!J13</f>
        <v>130.60356250000376</v>
      </c>
      <c r="S18" s="19"/>
      <c r="T18" s="23">
        <f>+'ESTADO DE PERDIDAS Y GANANCIAS'!J13</f>
        <v>130.60356250000376</v>
      </c>
      <c r="U18" s="19"/>
      <c r="V18" s="23">
        <f>+'ESTADO DE PERDIDAS Y GANANCIAS'!J13</f>
        <v>130.60356250000376</v>
      </c>
      <c r="W18" s="20"/>
    </row>
    <row r="19" spans="2:23" ht="15">
      <c r="B19" s="78" t="s">
        <v>153</v>
      </c>
      <c r="C19" s="79"/>
      <c r="D19" s="21"/>
      <c r="E19" s="21">
        <f>SUM(D17:D18)</f>
        <v>1401.8754595556327</v>
      </c>
      <c r="F19" s="21">
        <f>SUM(F17:F18)</f>
        <v>35.18905205562919</v>
      </c>
      <c r="G19" s="22">
        <f>+F19</f>
        <v>35.18905205562919</v>
      </c>
      <c r="H19" s="21">
        <f>SUM(H17:H18)</f>
        <v>137.95435105563328</v>
      </c>
      <c r="I19" s="24">
        <f>SUM(H17:H18)</f>
        <v>137.95435105563328</v>
      </c>
      <c r="J19" s="21"/>
      <c r="K19" s="24">
        <f>SUM(J17:J18)</f>
        <v>137.95435105563328</v>
      </c>
      <c r="L19" s="19"/>
      <c r="M19" s="24">
        <f>SUM(L17:L18)</f>
        <v>137.95435105563328</v>
      </c>
      <c r="N19" s="19"/>
      <c r="O19" s="23">
        <f>SUM(N17:N18)</f>
        <v>222.7943125000064</v>
      </c>
      <c r="P19" s="19"/>
      <c r="Q19" s="23">
        <f>SUM(P17:P18)</f>
        <v>222.7943125000064</v>
      </c>
      <c r="R19" s="19"/>
      <c r="S19" s="23">
        <f>SUM(R16:R18)</f>
        <v>222.7943125000064</v>
      </c>
      <c r="T19" s="19"/>
      <c r="U19" s="23">
        <f>SUM(T17:T18)</f>
        <v>222.7943125000064</v>
      </c>
      <c r="V19" s="19"/>
      <c r="W19" s="23">
        <f>SUM(V17:V18)</f>
        <v>222.7943125000064</v>
      </c>
    </row>
    <row r="20" spans="2:23" ht="15">
      <c r="B20" s="78" t="s">
        <v>147</v>
      </c>
      <c r="C20" s="79"/>
      <c r="D20" s="19"/>
      <c r="E20" s="22">
        <f>SUM(D21:D24)</f>
        <v>16809.68355224439</v>
      </c>
      <c r="F20" s="21"/>
      <c r="G20" s="22">
        <f>SUM(F21:F24)</f>
        <v>14652.737278493822</v>
      </c>
      <c r="H20" s="21"/>
      <c r="I20" s="24">
        <f>SUM(H21:H24)</f>
        <v>14839.650878993267</v>
      </c>
      <c r="J20" s="21"/>
      <c r="K20" s="25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3"/>
    </row>
    <row r="21" spans="2:23" ht="15">
      <c r="B21" s="78" t="s">
        <v>148</v>
      </c>
      <c r="C21" s="79"/>
      <c r="D21" s="21">
        <f>+D9+D12</f>
        <v>14344.31636475</v>
      </c>
      <c r="E21" s="19"/>
      <c r="F21" s="21">
        <f>+D21</f>
        <v>14344.31636475</v>
      </c>
      <c r="G21" s="21"/>
      <c r="H21" s="21">
        <f>+F21</f>
        <v>14344.31636475</v>
      </c>
      <c r="I21" s="23"/>
      <c r="J21" s="21">
        <f>+H21</f>
        <v>14344.31636475</v>
      </c>
      <c r="K21" s="23">
        <f>SUM(J21:J24)</f>
        <v>14863.911816592707</v>
      </c>
      <c r="L21" s="23">
        <f>+J21</f>
        <v>14344.31636475</v>
      </c>
      <c r="M21" s="23">
        <f>SUM(L21:L24)</f>
        <v>14888.172754192145</v>
      </c>
      <c r="N21" s="23">
        <f>+L21</f>
        <v>14344.31636475</v>
      </c>
      <c r="O21" s="23">
        <f>SUM(N21:N24)</f>
        <v>15061.635003297206</v>
      </c>
      <c r="P21" s="23">
        <f>+N21</f>
        <v>14344.31636475</v>
      </c>
      <c r="Q21" s="23">
        <f>SUM(P21:P24)</f>
        <v>15100.816072047206</v>
      </c>
      <c r="R21" s="23">
        <f>+N21</f>
        <v>14344.31636475</v>
      </c>
      <c r="S21" s="23">
        <f>SUM(R21:R24)</f>
        <v>15139.997140797208</v>
      </c>
      <c r="T21" s="23">
        <f>+R21</f>
        <v>14344.31636475</v>
      </c>
      <c r="U21" s="23">
        <f>SUM(T21:T24)</f>
        <v>15179.17820954721</v>
      </c>
      <c r="V21" s="23">
        <f>+T21</f>
        <v>14344.31636475</v>
      </c>
      <c r="W21" s="23">
        <f>SUM(V21:V24)</f>
        <v>15218.35927829721</v>
      </c>
    </row>
    <row r="22" spans="2:23" ht="15">
      <c r="B22" s="78" t="s">
        <v>140</v>
      </c>
      <c r="C22" s="79"/>
      <c r="D22" s="21">
        <f>+'ESTADO DE PERDIDAS Y GANANCIAS'!$E$15</f>
        <v>246.53671874943885</v>
      </c>
      <c r="E22" s="19"/>
      <c r="F22" s="21">
        <f>+'ESTADO DE PERDIDAS Y GANANCIAS'!E15+'ESTADO DE PERDIDAS Y GANANCIAS'!F15</f>
        <v>252.72513824887707</v>
      </c>
      <c r="G22" s="21"/>
      <c r="H22" s="21">
        <f>+'ESTADO DE PERDIDAS Y GANANCIAS'!G15+F22</f>
        <v>276.98607584831603</v>
      </c>
      <c r="I22" s="23"/>
      <c r="J22" s="21">
        <f>+H22+'ESTADO DE PERDIDAS Y GANANCIAS'!G15</f>
        <v>301.24701344775497</v>
      </c>
      <c r="K22" s="19"/>
      <c r="L22" s="23">
        <f>+'ESTADO DE PERDIDAS Y GANANCIAS'!G15+J22</f>
        <v>325.5079510471939</v>
      </c>
      <c r="M22" s="19"/>
      <c r="N22" s="23">
        <f>+'ESTADO DE PERDIDAS Y GANANCIAS'!J15+L22</f>
        <v>364.68901979719504</v>
      </c>
      <c r="O22" s="19"/>
      <c r="P22" s="23">
        <f>+'ESTADO DE PERDIDAS Y GANANCIAS'!J15+N22</f>
        <v>403.8700885471962</v>
      </c>
      <c r="Q22" s="19"/>
      <c r="R22" s="23">
        <f>+'ESTADO DE PERDIDAS Y GANANCIAS'!J15+P22</f>
        <v>443.05115729719734</v>
      </c>
      <c r="S22" s="19"/>
      <c r="T22" s="23">
        <f>+'ESTADO DE PERDIDAS Y GANANCIAS'!J15+R22</f>
        <v>482.2322260471985</v>
      </c>
      <c r="U22" s="19"/>
      <c r="V22" s="23">
        <f>+'ESTADO DE PERDIDAS Y GANANCIAS'!J15+T22</f>
        <v>521.4132947971996</v>
      </c>
      <c r="W22" s="20"/>
    </row>
    <row r="23" spans="2:23" ht="15">
      <c r="B23" s="78" t="s">
        <v>157</v>
      </c>
      <c r="C23" s="79"/>
      <c r="D23" s="21"/>
      <c r="E23" s="19"/>
      <c r="F23" s="21"/>
      <c r="G23" s="21"/>
      <c r="H23" s="21"/>
      <c r="I23" s="21"/>
      <c r="J23" s="21"/>
      <c r="K23" s="19"/>
      <c r="L23" s="23"/>
      <c r="M23" s="19"/>
      <c r="N23" s="23"/>
      <c r="O23" s="19"/>
      <c r="P23" s="23"/>
      <c r="Q23" s="19"/>
      <c r="R23" s="23"/>
      <c r="S23" s="19"/>
      <c r="T23" s="23"/>
      <c r="U23" s="19"/>
      <c r="V23" s="23"/>
      <c r="W23" s="20"/>
    </row>
    <row r="24" spans="2:23" ht="15">
      <c r="B24" s="78" t="s">
        <v>138</v>
      </c>
      <c r="C24" s="79"/>
      <c r="D24" s="21">
        <f>+'ESTADO DE PERDIDAS Y GANANCIAS'!E16</f>
        <v>2218.8304687449495</v>
      </c>
      <c r="E24" s="19"/>
      <c r="F24" s="21">
        <f>+'ESTADO DE PERDIDAS Y GANANCIAS'!F16</f>
        <v>55.69577549494413</v>
      </c>
      <c r="G24" s="21"/>
      <c r="H24" s="21">
        <f>+'ESTADO DE PERDIDAS Y GANANCIAS'!G16</f>
        <v>218.3484383949506</v>
      </c>
      <c r="I24" s="23"/>
      <c r="J24" s="21">
        <f>+'ESTADO DE PERDIDAS Y GANANCIAS'!G16</f>
        <v>218.3484383949506</v>
      </c>
      <c r="K24" s="19"/>
      <c r="L24" s="23">
        <f>+'ESTADO DE PERDIDAS Y GANANCIAS'!G16</f>
        <v>218.3484383949506</v>
      </c>
      <c r="M24" s="19"/>
      <c r="N24" s="23">
        <f>+'ESTADO DE PERDIDAS Y GANANCIAS'!J16</f>
        <v>352.62961875001014</v>
      </c>
      <c r="O24" s="19"/>
      <c r="P24" s="23">
        <f>+'ESTADO DE PERDIDAS Y GANANCIAS'!J16</f>
        <v>352.62961875001014</v>
      </c>
      <c r="Q24" s="19"/>
      <c r="R24" s="23">
        <f>+'ESTADO DE PERDIDAS Y GANANCIAS'!J16</f>
        <v>352.62961875001014</v>
      </c>
      <c r="S24" s="19"/>
      <c r="T24" s="23">
        <f>+'ESTADO DE PERDIDAS Y GANANCIAS'!J16</f>
        <v>352.62961875001014</v>
      </c>
      <c r="U24" s="19"/>
      <c r="V24" s="23">
        <f>+'ESTADO DE PERDIDAS Y GANANCIAS'!J16</f>
        <v>352.62961875001014</v>
      </c>
      <c r="W24" s="20"/>
    </row>
    <row r="25" spans="2:23" ht="15">
      <c r="B25" s="78" t="s">
        <v>154</v>
      </c>
      <c r="C25" s="79"/>
      <c r="D25" s="19"/>
      <c r="E25" s="22">
        <f>SUM(E19:E24)</f>
        <v>18211.559011800022</v>
      </c>
      <c r="F25" s="25"/>
      <c r="G25" s="22">
        <f>SUM(G19:G20)</f>
        <v>14687.926330549451</v>
      </c>
      <c r="H25" s="19"/>
      <c r="I25" s="22">
        <f>SUM(I19:I24)</f>
        <v>14977.605230048901</v>
      </c>
      <c r="J25" s="19"/>
      <c r="K25" s="22">
        <f>SUM(K19:K24)</f>
        <v>15001.86616764834</v>
      </c>
      <c r="L25" s="19"/>
      <c r="M25" s="22">
        <f>SUM(M19:M24)</f>
        <v>15026.127105247779</v>
      </c>
      <c r="N25" s="19"/>
      <c r="O25" s="22">
        <f>SUM(O19:O24)</f>
        <v>15284.429315797212</v>
      </c>
      <c r="P25" s="19"/>
      <c r="Q25" s="22">
        <f>SUM(Q19:Q21)</f>
        <v>15323.610384547212</v>
      </c>
      <c r="R25" s="19"/>
      <c r="S25" s="22">
        <f>SUM(S19:S24)</f>
        <v>15362.791453297214</v>
      </c>
      <c r="T25" s="19"/>
      <c r="U25" s="22">
        <f>SUM(U19:U24)</f>
        <v>15401.972522047216</v>
      </c>
      <c r="V25" s="19"/>
      <c r="W25" s="22">
        <f>SUM(W19:W24)</f>
        <v>15441.153590797216</v>
      </c>
    </row>
    <row r="27" ht="15">
      <c r="G27" s="2"/>
    </row>
    <row r="28" spans="5:24" ht="15">
      <c r="E28" s="14">
        <f>E15-E25</f>
        <v>-0.0009999999710998964</v>
      </c>
      <c r="F28" s="14">
        <f aca="true" t="shared" si="0" ref="F28:X28">F15-F25</f>
        <v>0</v>
      </c>
      <c r="G28" s="14">
        <f t="shared" si="0"/>
        <v>-0.0030000000060681487</v>
      </c>
      <c r="H28" s="14">
        <f t="shared" si="0"/>
        <v>0</v>
      </c>
      <c r="I28" s="14">
        <f t="shared" si="0"/>
        <v>-0.004000000011728844</v>
      </c>
      <c r="J28" s="14">
        <f t="shared" si="0"/>
        <v>0</v>
      </c>
      <c r="K28" s="14">
        <f t="shared" si="0"/>
        <v>-0.004999999986466719</v>
      </c>
      <c r="L28" s="14">
        <f t="shared" si="0"/>
        <v>0</v>
      </c>
      <c r="M28" s="14">
        <f t="shared" si="0"/>
        <v>0.004000000040832674</v>
      </c>
      <c r="N28" s="14">
        <f t="shared" si="0"/>
        <v>0</v>
      </c>
      <c r="O28" s="14">
        <f t="shared" si="0"/>
        <v>-0.006999999917752575</v>
      </c>
      <c r="P28" s="14">
        <f t="shared" si="0"/>
        <v>0</v>
      </c>
      <c r="Q28" s="14">
        <f t="shared" si="0"/>
        <v>-0.007999999907042366</v>
      </c>
      <c r="R28" s="14">
        <f t="shared" si="0"/>
        <v>0</v>
      </c>
      <c r="S28" s="14">
        <f t="shared" si="0"/>
        <v>-0.0009999998983403202</v>
      </c>
      <c r="T28" s="14">
        <f t="shared" si="0"/>
        <v>0</v>
      </c>
      <c r="U28" s="14">
        <f t="shared" si="0"/>
        <v>-0.009999999889259925</v>
      </c>
      <c r="V28" s="14">
        <f t="shared" si="0"/>
        <v>0</v>
      </c>
      <c r="W28" s="14">
        <f t="shared" si="0"/>
        <v>-0.010999999878549716</v>
      </c>
      <c r="X28" s="14">
        <f t="shared" si="0"/>
        <v>0</v>
      </c>
    </row>
    <row r="30" ht="15">
      <c r="G30" s="14"/>
    </row>
    <row r="31" ht="15">
      <c r="G31" s="14"/>
    </row>
    <row r="32" ht="15">
      <c r="G32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9"/>
  <sheetViews>
    <sheetView showGridLines="0" zoomScalePageLayoutView="0" workbookViewId="0" topLeftCell="A1">
      <selection activeCell="M6" sqref="M6"/>
    </sheetView>
  </sheetViews>
  <sheetFormatPr defaultColWidth="11.421875" defaultRowHeight="15"/>
  <cols>
    <col min="1" max="1" width="2.421875" style="0" customWidth="1"/>
    <col min="3" max="3" width="13.00390625" style="0" customWidth="1"/>
    <col min="4" max="4" width="10.421875" style="0" customWidth="1"/>
    <col min="5" max="7" width="12.28125" style="0" customWidth="1"/>
    <col min="8" max="8" width="12.57421875" style="0" customWidth="1"/>
    <col min="9" max="9" width="13.8515625" style="0" customWidth="1"/>
    <col min="10" max="10" width="12.421875" style="0" customWidth="1"/>
    <col min="11" max="11" width="2.7109375" style="0" customWidth="1"/>
  </cols>
  <sheetData>
    <row r="2" spans="2:10" ht="15">
      <c r="B2" s="207" t="s">
        <v>129</v>
      </c>
      <c r="C2" s="207"/>
      <c r="D2" s="207"/>
      <c r="E2" s="207"/>
      <c r="F2" s="207"/>
      <c r="G2" s="207"/>
      <c r="H2" s="207"/>
      <c r="I2" s="207"/>
      <c r="J2" s="207"/>
    </row>
    <row r="3" spans="3:11" ht="15">
      <c r="C3" s="1"/>
      <c r="D3" s="1"/>
      <c r="E3" s="215" t="s">
        <v>80</v>
      </c>
      <c r="F3" s="215" t="s">
        <v>91</v>
      </c>
      <c r="G3" s="215" t="s">
        <v>159</v>
      </c>
      <c r="H3" s="215" t="s">
        <v>102</v>
      </c>
      <c r="I3" s="215" t="s">
        <v>216</v>
      </c>
      <c r="J3" s="136" t="s">
        <v>237</v>
      </c>
      <c r="K3" s="47"/>
    </row>
    <row r="4" spans="5:10" ht="15">
      <c r="E4" s="216"/>
      <c r="F4" s="216"/>
      <c r="G4" s="216"/>
      <c r="H4" s="216"/>
      <c r="I4" s="216"/>
      <c r="J4" s="137" t="s">
        <v>238</v>
      </c>
    </row>
    <row r="5" spans="2:10" ht="15">
      <c r="B5" s="51" t="s">
        <v>128</v>
      </c>
      <c r="C5" s="52"/>
      <c r="D5" s="53"/>
      <c r="E5" s="48">
        <f>+VENTAS!F8</f>
        <v>121500</v>
      </c>
      <c r="F5" s="48">
        <f>+VENTAS!F9</f>
        <v>137700</v>
      </c>
      <c r="G5" s="48">
        <f>+VENTAS!$F$10</f>
        <v>162000</v>
      </c>
      <c r="H5" s="48">
        <f>+VENTAS!$F$10</f>
        <v>162000</v>
      </c>
      <c r="I5" s="48">
        <f>+VENTAS!$F$10</f>
        <v>162000</v>
      </c>
      <c r="J5" s="48">
        <f>+VENTAS!$F$10</f>
        <v>162000</v>
      </c>
    </row>
    <row r="6" spans="2:10" ht="15">
      <c r="B6" s="51" t="s">
        <v>130</v>
      </c>
      <c r="C6" s="52"/>
      <c r="D6" s="53"/>
      <c r="E6" s="49">
        <f>+'COSTO MAT. Y M.O'!E137</f>
        <v>92130.80227294998</v>
      </c>
      <c r="F6" s="49">
        <f>+'COSTO MAT. Y M.O'!F137</f>
        <v>97510.92227294999</v>
      </c>
      <c r="G6" s="49">
        <f>+'COSTO MAT. Y M.O'!$G$137</f>
        <v>105563.30227294998</v>
      </c>
      <c r="H6" s="49">
        <f>+'COSTO MAT. Y M.O'!$G$137</f>
        <v>105563.30227294998</v>
      </c>
      <c r="I6" s="49">
        <f>+'COSTO MAT. Y M.O'!I137</f>
        <v>105563.30227294998</v>
      </c>
      <c r="J6" s="49">
        <f>+'COSTO MAT. Y M.O'!J137</f>
        <v>105329.26099999998</v>
      </c>
    </row>
    <row r="7" spans="2:10" ht="15">
      <c r="B7" s="51" t="s">
        <v>131</v>
      </c>
      <c r="C7" s="52"/>
      <c r="D7" s="53"/>
      <c r="E7" s="49">
        <f>+E5-E6</f>
        <v>29369.19772705002</v>
      </c>
      <c r="F7" s="49">
        <f>+F5-F6</f>
        <v>40189.07772705001</v>
      </c>
      <c r="G7" s="49">
        <f>+G5-G6</f>
        <v>56436.69772705002</v>
      </c>
      <c r="H7" s="49">
        <f>+H5-H6</f>
        <v>56436.69772705002</v>
      </c>
      <c r="I7" s="49">
        <f>+I5-I6</f>
        <v>56436.69772705002</v>
      </c>
      <c r="J7" s="49">
        <f>+J5-J6</f>
        <v>56670.739000000016</v>
      </c>
    </row>
    <row r="8" spans="2:10" ht="15">
      <c r="B8" s="51" t="s">
        <v>57</v>
      </c>
      <c r="C8" s="52"/>
      <c r="D8" s="53"/>
      <c r="E8" s="49">
        <f>+'COSTO MAT. Y M.O'!E142</f>
        <v>7447</v>
      </c>
      <c r="F8" s="49">
        <f>+'COSTO MAT. Y M.O'!F142</f>
        <v>7447</v>
      </c>
      <c r="G8" s="49">
        <f>+'COSTO MAT. Y M.O'!G142</f>
        <v>7447</v>
      </c>
      <c r="H8" s="49">
        <f>+'COSTO MAT. Y M.O'!H142</f>
        <v>7447</v>
      </c>
      <c r="I8" s="49">
        <f>+'COSTO MAT. Y M.O'!I142</f>
        <v>7447</v>
      </c>
      <c r="J8" s="49">
        <f>+'COSTO MAT. Y M.O'!J142</f>
        <v>7447</v>
      </c>
    </row>
    <row r="9" spans="2:10" ht="15">
      <c r="B9" s="51" t="s">
        <v>132</v>
      </c>
      <c r="C9" s="52"/>
      <c r="D9" s="53"/>
      <c r="E9" s="49">
        <f>+'COSTO MAT. Y M.O'!E146</f>
        <v>18054.95508</v>
      </c>
      <c r="F9" s="49">
        <f>+'COSTO MAT. Y M.O'!F146</f>
        <v>32645.00448</v>
      </c>
      <c r="G9" s="49">
        <f>+'COSTO MAT. Y M.O'!G146</f>
        <v>48609.134</v>
      </c>
      <c r="H9" s="49">
        <f>+'COSTO MAT. Y M.O'!H146</f>
        <v>48609.134</v>
      </c>
      <c r="I9" s="49">
        <f>+'COSTO MAT. Y M.O'!I146</f>
        <v>48609.134</v>
      </c>
      <c r="J9" s="49">
        <f>+'COSTO MAT. Y M.O'!J146</f>
        <v>48609.134</v>
      </c>
    </row>
    <row r="10" spans="2:10" ht="15">
      <c r="B10" s="51" t="s">
        <v>133</v>
      </c>
      <c r="C10" s="52"/>
      <c r="D10" s="53"/>
      <c r="E10" s="49">
        <f>+E7-E8-E9</f>
        <v>3867.2426470500213</v>
      </c>
      <c r="F10" s="49">
        <f>+F7-F8-F9</f>
        <v>97.07324705001156</v>
      </c>
      <c r="G10" s="49">
        <f>+G7-G8-G9</f>
        <v>380.56372705002286</v>
      </c>
      <c r="H10" s="49">
        <f>+H7-H8-H9</f>
        <v>380.56372705002286</v>
      </c>
      <c r="I10" s="49">
        <f>+I7-I8-I9</f>
        <v>380.56372705002286</v>
      </c>
      <c r="J10" s="49">
        <f>+J7-J8-J9</f>
        <v>614.6050000000178</v>
      </c>
    </row>
    <row r="11" spans="2:10" ht="15">
      <c r="B11" s="51" t="s">
        <v>134</v>
      </c>
      <c r="C11" s="52"/>
      <c r="D11" s="53"/>
      <c r="E11" s="49">
        <f>E10*0.15</f>
        <v>580.0863970575032</v>
      </c>
      <c r="F11" s="49">
        <f>F10*0.15</f>
        <v>14.560987057501734</v>
      </c>
      <c r="G11" s="49">
        <f>G10*0.15</f>
        <v>57.08455905750343</v>
      </c>
      <c r="H11" s="49">
        <f>H10*0.15</f>
        <v>57.08455905750343</v>
      </c>
      <c r="I11" s="49">
        <f>I10*0.15</f>
        <v>57.08455905750343</v>
      </c>
      <c r="J11" s="49">
        <f>J10*0.15</f>
        <v>92.19075000000267</v>
      </c>
    </row>
    <row r="12" spans="2:10" ht="15">
      <c r="B12" s="51" t="s">
        <v>135</v>
      </c>
      <c r="C12" s="52"/>
      <c r="D12" s="53"/>
      <c r="E12" s="49">
        <f>+E10-E11</f>
        <v>3287.156249992518</v>
      </c>
      <c r="F12" s="49">
        <f>+F10-F11</f>
        <v>82.51225999250983</v>
      </c>
      <c r="G12" s="49">
        <f>+G10-G11</f>
        <v>323.4791679925194</v>
      </c>
      <c r="H12" s="49">
        <f>+H10-H11</f>
        <v>323.4791679925194</v>
      </c>
      <c r="I12" s="49">
        <f>+I10-I11</f>
        <v>323.4791679925194</v>
      </c>
      <c r="J12" s="49">
        <f>+J10-J11</f>
        <v>522.414250000015</v>
      </c>
    </row>
    <row r="13" spans="2:10" ht="15">
      <c r="B13" s="51" t="s">
        <v>136</v>
      </c>
      <c r="C13" s="52"/>
      <c r="D13" s="53"/>
      <c r="E13" s="49">
        <f>E12*25%</f>
        <v>821.7890624981295</v>
      </c>
      <c r="F13" s="49">
        <f>F12*25%</f>
        <v>20.628064998127456</v>
      </c>
      <c r="G13" s="49">
        <f>G12*25%</f>
        <v>80.86979199812986</v>
      </c>
      <c r="H13" s="49">
        <f>H12*25%</f>
        <v>80.86979199812986</v>
      </c>
      <c r="I13" s="49">
        <f>I12*25%</f>
        <v>80.86979199812986</v>
      </c>
      <c r="J13" s="49">
        <f>J12*25%</f>
        <v>130.60356250000376</v>
      </c>
    </row>
    <row r="14" spans="2:10" ht="15">
      <c r="B14" s="51" t="s">
        <v>156</v>
      </c>
      <c r="C14" s="52"/>
      <c r="D14" s="53"/>
      <c r="E14" s="49">
        <f>+E12-E13</f>
        <v>2465.3671874943884</v>
      </c>
      <c r="F14" s="49">
        <f>+F12-F13</f>
        <v>61.88419499438237</v>
      </c>
      <c r="G14" s="49">
        <f>+G12-G13</f>
        <v>242.60937599438955</v>
      </c>
      <c r="H14" s="49">
        <f>+H12-H13</f>
        <v>242.60937599438955</v>
      </c>
      <c r="I14" s="49">
        <f>+I12-I13</f>
        <v>242.60937599438955</v>
      </c>
      <c r="J14" s="49">
        <f>+J12-J13</f>
        <v>391.8106875000113</v>
      </c>
    </row>
    <row r="15" spans="2:10" ht="15">
      <c r="B15" s="51" t="s">
        <v>137</v>
      </c>
      <c r="C15" s="52"/>
      <c r="D15" s="53"/>
      <c r="E15" s="49">
        <f>E14*10%</f>
        <v>246.53671874943885</v>
      </c>
      <c r="F15" s="49">
        <f>F14*10%</f>
        <v>6.188419499438237</v>
      </c>
      <c r="G15" s="49">
        <f>G14*10%</f>
        <v>24.260937599438957</v>
      </c>
      <c r="H15" s="49">
        <f>H14*10%</f>
        <v>24.260937599438957</v>
      </c>
      <c r="I15" s="49">
        <f>I14*10%</f>
        <v>24.260937599438957</v>
      </c>
      <c r="J15" s="49">
        <f>J14*10%</f>
        <v>39.18106875000113</v>
      </c>
    </row>
    <row r="16" spans="2:10" ht="15">
      <c r="B16" s="43" t="s">
        <v>138</v>
      </c>
      <c r="C16" s="42"/>
      <c r="D16" s="13"/>
      <c r="E16" s="48">
        <f>+E14-E15</f>
        <v>2218.8304687449495</v>
      </c>
      <c r="F16" s="48">
        <f>+F14-F15</f>
        <v>55.69577549494413</v>
      </c>
      <c r="G16" s="48">
        <f>+G14-G15</f>
        <v>218.3484383949506</v>
      </c>
      <c r="H16" s="48">
        <f>+H14-H15</f>
        <v>218.3484383949506</v>
      </c>
      <c r="I16" s="48">
        <f>+I14-I15</f>
        <v>218.3484383949506</v>
      </c>
      <c r="J16" s="48">
        <f>+J14-J15</f>
        <v>352.62961875001014</v>
      </c>
    </row>
    <row r="17" spans="2:4" ht="15">
      <c r="B17" s="1"/>
      <c r="C17" s="1"/>
      <c r="D17" s="1"/>
    </row>
    <row r="18" spans="2:10" ht="15">
      <c r="B18" s="51" t="s">
        <v>236</v>
      </c>
      <c r="C18" s="52"/>
      <c r="D18" s="53"/>
      <c r="E18" s="50">
        <f>E16/E5*100</f>
        <v>1.82619791666251</v>
      </c>
      <c r="F18" s="50">
        <f>F16/F5*100</f>
        <v>0.04044718627083815</v>
      </c>
      <c r="G18" s="50">
        <f>G16/G5*100</f>
        <v>0.13478298666354976</v>
      </c>
      <c r="H18" s="50">
        <f>H16/H5*100</f>
        <v>0.13478298666354976</v>
      </c>
      <c r="I18" s="50">
        <f>I16/I5*100</f>
        <v>0.13478298666354976</v>
      </c>
      <c r="J18" s="50">
        <f>J16/J5*100</f>
        <v>0.21767260416667294</v>
      </c>
    </row>
    <row r="27" ht="15">
      <c r="F27" s="16"/>
    </row>
    <row r="29" ht="15">
      <c r="F29" s="16">
        <f>SUM(F27:F28)</f>
        <v>0</v>
      </c>
    </row>
  </sheetData>
  <sheetProtection/>
  <mergeCells count="6">
    <mergeCell ref="B2:J2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I39"/>
  <sheetViews>
    <sheetView zoomScalePageLayoutView="0" workbookViewId="0" topLeftCell="A1">
      <selection activeCell="G8" sqref="G8"/>
    </sheetView>
  </sheetViews>
  <sheetFormatPr defaultColWidth="11.421875" defaultRowHeight="15"/>
  <cols>
    <col min="6" max="6" width="17.8515625" style="0" customWidth="1"/>
    <col min="7" max="7" width="13.57421875" style="0" bestFit="1" customWidth="1"/>
  </cols>
  <sheetData>
    <row r="4" spans="2:7" ht="15">
      <c r="B4" s="1" t="s">
        <v>23</v>
      </c>
      <c r="C4" s="1"/>
      <c r="D4" s="1"/>
      <c r="E4" s="76" t="s">
        <v>54</v>
      </c>
      <c r="F4" s="76" t="s">
        <v>17</v>
      </c>
      <c r="G4" s="76" t="s">
        <v>18</v>
      </c>
    </row>
    <row r="5" spans="2:7" ht="15">
      <c r="B5" s="51" t="s">
        <v>16</v>
      </c>
      <c r="C5" s="52"/>
      <c r="D5" s="53"/>
      <c r="E5" s="39">
        <v>1</v>
      </c>
      <c r="F5" s="49">
        <v>500</v>
      </c>
      <c r="G5" s="49">
        <v>6000</v>
      </c>
    </row>
    <row r="6" spans="2:7" ht="15">
      <c r="B6" s="51" t="s">
        <v>19</v>
      </c>
      <c r="C6" s="52"/>
      <c r="D6" s="53"/>
      <c r="E6" s="39"/>
      <c r="F6" s="49">
        <f>G6/12</f>
        <v>41.666666666666664</v>
      </c>
      <c r="G6" s="49">
        <v>500</v>
      </c>
    </row>
    <row r="7" spans="2:9" ht="15">
      <c r="B7" s="51" t="s">
        <v>20</v>
      </c>
      <c r="C7" s="52"/>
      <c r="D7" s="53"/>
      <c r="E7" s="39"/>
      <c r="F7" s="49">
        <f>G7/12</f>
        <v>20</v>
      </c>
      <c r="G7" s="49">
        <v>240</v>
      </c>
      <c r="I7">
        <v>500</v>
      </c>
    </row>
    <row r="8" spans="2:9" ht="15">
      <c r="B8" s="51" t="s">
        <v>21</v>
      </c>
      <c r="C8" s="52"/>
      <c r="D8" s="53"/>
      <c r="E8" s="39"/>
      <c r="F8" s="49">
        <v>55.75</v>
      </c>
      <c r="G8" s="49">
        <v>669</v>
      </c>
      <c r="I8">
        <v>55.75</v>
      </c>
    </row>
    <row r="9" spans="2:9" ht="15">
      <c r="B9" s="51" t="s">
        <v>22</v>
      </c>
      <c r="C9" s="52"/>
      <c r="D9" s="53"/>
      <c r="E9" s="39"/>
      <c r="F9" s="49">
        <v>5</v>
      </c>
      <c r="G9" s="49">
        <v>60</v>
      </c>
      <c r="I9">
        <v>5</v>
      </c>
    </row>
    <row r="10" spans="2:9" ht="15">
      <c r="B10" s="33"/>
      <c r="C10" s="40"/>
      <c r="D10" s="34"/>
      <c r="E10" s="39"/>
      <c r="F10" s="49">
        <f>SUM(F5:F9)</f>
        <v>622.4166666666666</v>
      </c>
      <c r="G10" s="49">
        <f>SUM(G5:G9)</f>
        <v>7469</v>
      </c>
      <c r="I10">
        <f>SUM(I7:I9)</f>
        <v>560.75</v>
      </c>
    </row>
    <row r="11" spans="2:7" ht="15">
      <c r="B11" s="8"/>
      <c r="C11" s="8"/>
      <c r="D11" s="8"/>
      <c r="E11" s="8"/>
      <c r="F11" s="8"/>
      <c r="G11" s="8"/>
    </row>
    <row r="13" spans="2:7" ht="15">
      <c r="B13" s="12" t="s">
        <v>80</v>
      </c>
      <c r="C13" s="3"/>
      <c r="D13" s="3"/>
      <c r="E13" s="3"/>
      <c r="F13" s="3"/>
      <c r="G13" s="4"/>
    </row>
    <row r="14" spans="2:7" ht="15">
      <c r="B14" s="12" t="s">
        <v>52</v>
      </c>
      <c r="C14" s="3"/>
      <c r="D14" s="3"/>
      <c r="E14" s="3" t="s">
        <v>54</v>
      </c>
      <c r="F14" s="3" t="s">
        <v>55</v>
      </c>
      <c r="G14" s="4" t="s">
        <v>56</v>
      </c>
    </row>
    <row r="15" spans="2:7" ht="15">
      <c r="B15" s="7"/>
      <c r="C15" s="8"/>
      <c r="D15" s="8"/>
      <c r="E15" s="8"/>
      <c r="F15" s="8"/>
      <c r="G15" s="6"/>
    </row>
    <row r="16" spans="2:7" ht="15">
      <c r="B16" s="9" t="s">
        <v>53</v>
      </c>
      <c r="C16" s="10"/>
      <c r="D16" s="10"/>
      <c r="E16" s="10">
        <v>10800</v>
      </c>
      <c r="F16" s="10">
        <v>0.08</v>
      </c>
      <c r="G16" s="11">
        <f>E16*F16</f>
        <v>864</v>
      </c>
    </row>
    <row r="19" spans="2:7" ht="15">
      <c r="B19" s="12" t="s">
        <v>91</v>
      </c>
      <c r="C19" s="3"/>
      <c r="D19" s="3"/>
      <c r="E19" s="3"/>
      <c r="F19" s="3"/>
      <c r="G19" s="4"/>
    </row>
    <row r="20" spans="2:7" ht="15">
      <c r="B20" s="12" t="s">
        <v>52</v>
      </c>
      <c r="C20" s="3"/>
      <c r="D20" s="3"/>
      <c r="E20" s="3" t="s">
        <v>54</v>
      </c>
      <c r="F20" s="3" t="s">
        <v>55</v>
      </c>
      <c r="G20" s="4" t="s">
        <v>56</v>
      </c>
    </row>
    <row r="21" spans="2:7" ht="15">
      <c r="B21" s="7"/>
      <c r="C21" s="8"/>
      <c r="D21" s="8"/>
      <c r="E21" s="8"/>
      <c r="F21" s="8"/>
      <c r="G21" s="6"/>
    </row>
    <row r="22" spans="2:7" ht="15">
      <c r="B22" s="9" t="s">
        <v>53</v>
      </c>
      <c r="C22" s="10"/>
      <c r="D22" s="10"/>
      <c r="E22" s="10">
        <v>13049</v>
      </c>
      <c r="F22" s="10">
        <v>0.08</v>
      </c>
      <c r="G22" s="11">
        <f>E22*F22</f>
        <v>1043.92</v>
      </c>
    </row>
    <row r="25" spans="2:7" ht="15">
      <c r="B25" s="12" t="s">
        <v>101</v>
      </c>
      <c r="C25" s="3"/>
      <c r="D25" s="3"/>
      <c r="E25" s="3"/>
      <c r="F25" s="3"/>
      <c r="G25" s="4"/>
    </row>
    <row r="26" spans="2:7" ht="15">
      <c r="B26" s="12" t="s">
        <v>52</v>
      </c>
      <c r="C26" s="3"/>
      <c r="D26" s="3"/>
      <c r="E26" s="3" t="s">
        <v>54</v>
      </c>
      <c r="F26" s="3" t="s">
        <v>55</v>
      </c>
      <c r="G26" s="4" t="s">
        <v>56</v>
      </c>
    </row>
    <row r="27" spans="2:7" ht="15">
      <c r="B27" s="7"/>
      <c r="C27" s="8"/>
      <c r="D27" s="8"/>
      <c r="E27" s="8"/>
      <c r="F27" s="8"/>
      <c r="G27" s="6"/>
    </row>
    <row r="28" spans="2:7" ht="15">
      <c r="B28" s="9" t="s">
        <v>53</v>
      </c>
      <c r="C28" s="10"/>
      <c r="D28" s="10"/>
      <c r="E28" s="10">
        <v>16200</v>
      </c>
      <c r="F28" s="10">
        <v>0.08</v>
      </c>
      <c r="G28" s="11">
        <f>E28*F28</f>
        <v>1296</v>
      </c>
    </row>
    <row r="29" ht="15">
      <c r="G29" s="1" t="s">
        <v>31</v>
      </c>
    </row>
    <row r="30" spans="2:7" ht="15">
      <c r="B30" s="1"/>
      <c r="C30" s="1"/>
      <c r="D30" s="1"/>
      <c r="G30" s="1"/>
    </row>
    <row r="32" ht="15">
      <c r="G32" s="2"/>
    </row>
    <row r="33" ht="15">
      <c r="G33" s="2"/>
    </row>
    <row r="34" ht="15">
      <c r="G34" s="2"/>
    </row>
    <row r="35" ht="15">
      <c r="G35" s="2"/>
    </row>
    <row r="36" ht="15">
      <c r="G36" s="2"/>
    </row>
    <row r="37" ht="15">
      <c r="G37" s="2"/>
    </row>
    <row r="38" ht="15">
      <c r="G38" s="2"/>
    </row>
    <row r="39" ht="15">
      <c r="G3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Thali Montero</cp:lastModifiedBy>
  <dcterms:created xsi:type="dcterms:W3CDTF">2009-03-30T19:22:23Z</dcterms:created>
  <dcterms:modified xsi:type="dcterms:W3CDTF">2010-03-01T14:00:03Z</dcterms:modified>
  <cp:category/>
  <cp:version/>
  <cp:contentType/>
  <cp:contentStatus/>
</cp:coreProperties>
</file>