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75" firstSheet="10" activeTab="10"/>
  </bookViews>
  <sheets>
    <sheet name="Hoja1" sheetId="1" r:id="rId1"/>
    <sheet name="Aportaciones al IESS" sheetId="10" r:id="rId2"/>
    <sheet name="Prestamo" sheetId="6" r:id="rId3"/>
    <sheet name="Ingresos" sheetId="2" r:id="rId4"/>
    <sheet name="Estado de Resultado mensual" sheetId="23" r:id="rId5"/>
    <sheet name="CAPITAL DE TRABAJO" sheetId="5" r:id="rId6"/>
    <sheet name="Estado de Resultado anual  " sheetId="22" r:id="rId7"/>
    <sheet name="Flujo de Caja mensual" sheetId="11" r:id="rId8"/>
    <sheet name="Flujo de caja  anual " sheetId="19" r:id="rId9"/>
    <sheet name="Payback" sheetId="24" r:id="rId10"/>
    <sheet name="Analisis de sensibilidad" sheetId="17" r:id="rId11"/>
    <sheet name="Hoja6" sheetId="9" r:id="rId12"/>
    <sheet name="Hoja2" sheetId="12" r:id="rId13"/>
    <sheet name="Hoja3" sheetId="25" r:id="rId14"/>
    <sheet name="Flujo de caja  anual  (2)" sheetId="27" r:id="rId15"/>
  </sheets>
  <calcPr calcId="125725"/>
</workbook>
</file>

<file path=xl/calcChain.xml><?xml version="1.0" encoding="utf-8"?>
<calcChain xmlns="http://schemas.openxmlformats.org/spreadsheetml/2006/main">
  <c r="G27" i="27"/>
  <c r="H27"/>
  <c r="I27"/>
  <c r="J27"/>
  <c r="F27"/>
  <c r="F18"/>
  <c r="G18" s="1"/>
  <c r="H18" s="1"/>
  <c r="I18" s="1"/>
  <c r="J18" s="1"/>
  <c r="H11" i="25"/>
  <c r="G11"/>
  <c r="I11"/>
  <c r="J11"/>
  <c r="F11"/>
  <c r="F18"/>
  <c r="G18" s="1"/>
  <c r="H18" s="1"/>
  <c r="I18" s="1"/>
  <c r="J18" s="1"/>
  <c r="F18" i="24"/>
  <c r="G18" s="1"/>
  <c r="H18" s="1"/>
  <c r="I18" s="1"/>
  <c r="J18" s="1"/>
  <c r="Q20" i="23"/>
  <c r="P20"/>
  <c r="O20"/>
  <c r="N20"/>
  <c r="M20"/>
  <c r="L20"/>
  <c r="K20"/>
  <c r="J20"/>
  <c r="I20"/>
  <c r="H20"/>
  <c r="G20"/>
  <c r="F20"/>
  <c r="F16"/>
  <c r="G16" s="1"/>
  <c r="H16" s="1"/>
  <c r="I16" s="1"/>
  <c r="J16" s="1"/>
  <c r="K16" s="1"/>
  <c r="L16" s="1"/>
  <c r="M16" s="1"/>
  <c r="N16" s="1"/>
  <c r="O16" s="1"/>
  <c r="P16" s="1"/>
  <c r="Q16" s="1"/>
  <c r="F18" i="22"/>
  <c r="G18" s="1"/>
  <c r="H18" s="1"/>
  <c r="I18" s="1"/>
  <c r="J18" s="1"/>
  <c r="D25" i="10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L29"/>
  <c r="M29"/>
  <c r="D6"/>
  <c r="E6"/>
  <c r="F6"/>
  <c r="G6"/>
  <c r="H6"/>
  <c r="I6"/>
  <c r="J6"/>
  <c r="K6"/>
  <c r="L6"/>
  <c r="M6"/>
  <c r="D7"/>
  <c r="E7"/>
  <c r="F7"/>
  <c r="G7"/>
  <c r="H7"/>
  <c r="I7"/>
  <c r="J7"/>
  <c r="K7"/>
  <c r="L7"/>
  <c r="M7"/>
  <c r="D8"/>
  <c r="E8"/>
  <c r="F8"/>
  <c r="G8"/>
  <c r="H8"/>
  <c r="I8"/>
  <c r="J8"/>
  <c r="K8"/>
  <c r="L8"/>
  <c r="M8"/>
  <c r="D9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  <c r="D11"/>
  <c r="E11"/>
  <c r="F11"/>
  <c r="G11"/>
  <c r="H11"/>
  <c r="I11"/>
  <c r="J11"/>
  <c r="K11"/>
  <c r="L11"/>
  <c r="M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F3" i="2"/>
  <c r="G3" s="1"/>
  <c r="H3" s="1"/>
  <c r="E5"/>
  <c r="F5" s="1"/>
  <c r="G5" s="1"/>
  <c r="H5" s="1"/>
  <c r="E4"/>
  <c r="F4" s="1"/>
  <c r="G4" s="1"/>
  <c r="H4" s="1"/>
  <c r="E3"/>
  <c r="U5" i="1"/>
  <c r="R23"/>
  <c r="U23" s="1"/>
  <c r="D5" i="10"/>
  <c r="E5"/>
  <c r="F5"/>
  <c r="G5"/>
  <c r="H5"/>
  <c r="I5"/>
  <c r="J5"/>
  <c r="K5"/>
  <c r="L5"/>
  <c r="M5"/>
  <c r="V7" i="1"/>
  <c r="V6"/>
  <c r="V5"/>
  <c r="F18" i="19"/>
  <c r="G18" s="1"/>
  <c r="H18" s="1"/>
  <c r="I18" s="1"/>
  <c r="J18" s="1"/>
  <c r="P5" i="10"/>
  <c r="P6" s="1"/>
  <c r="C9" i="12"/>
  <c r="C5" i="6" s="1"/>
  <c r="Z41" i="1"/>
  <c r="N36"/>
  <c r="G20" i="11"/>
  <c r="H20"/>
  <c r="I20"/>
  <c r="J20"/>
  <c r="K20"/>
  <c r="L20"/>
  <c r="M20"/>
  <c r="N20"/>
  <c r="O20"/>
  <c r="P20"/>
  <c r="Q20"/>
  <c r="F20"/>
  <c r="F16"/>
  <c r="G16" s="1"/>
  <c r="H16" s="1"/>
  <c r="I16" s="1"/>
  <c r="J16" s="1"/>
  <c r="K16" s="1"/>
  <c r="L16" s="1"/>
  <c r="M16" s="1"/>
  <c r="N16" s="1"/>
  <c r="O16" s="1"/>
  <c r="P16" s="1"/>
  <c r="Q16" s="1"/>
  <c r="D30" i="10"/>
  <c r="V31" i="1"/>
  <c r="C7" i="9"/>
  <c r="C11" i="6"/>
  <c r="P23" i="1"/>
  <c r="D10" i="5"/>
  <c r="E10"/>
  <c r="F10"/>
  <c r="G10"/>
  <c r="H10"/>
  <c r="I10"/>
  <c r="J10"/>
  <c r="K10"/>
  <c r="L10"/>
  <c r="M10"/>
  <c r="N10"/>
  <c r="C10"/>
  <c r="P51" i="1"/>
  <c r="F22" i="22" s="1"/>
  <c r="G22" s="1"/>
  <c r="H22" s="1"/>
  <c r="I22" s="1"/>
  <c r="J22" s="1"/>
  <c r="E36" i="27" l="1"/>
  <c r="E33" i="11"/>
  <c r="C7" i="6"/>
  <c r="C8" s="1"/>
  <c r="Q18" i="23"/>
  <c r="F22" i="27"/>
  <c r="G22" s="1"/>
  <c r="H22" s="1"/>
  <c r="I22" s="1"/>
  <c r="J22" s="1"/>
  <c r="H18" i="23"/>
  <c r="L18"/>
  <c r="F22" i="24"/>
  <c r="G22" s="1"/>
  <c r="H22" s="1"/>
  <c r="I22" s="1"/>
  <c r="J22" s="1"/>
  <c r="F22" i="25"/>
  <c r="G22" s="1"/>
  <c r="H22" s="1"/>
  <c r="I22" s="1"/>
  <c r="J22" s="1"/>
  <c r="E35" i="24"/>
  <c r="E39"/>
  <c r="E35" i="25"/>
  <c r="E39"/>
  <c r="E40" i="27"/>
  <c r="G30" i="10"/>
  <c r="E30"/>
  <c r="P18" i="23" s="1"/>
  <c r="P7" i="10"/>
  <c r="E35" i="19"/>
  <c r="E39"/>
  <c r="I4" i="6"/>
  <c r="C11" i="9"/>
  <c r="C6" i="6"/>
  <c r="Q5" i="10"/>
  <c r="F22" i="19"/>
  <c r="G22" s="1"/>
  <c r="H22" s="1"/>
  <c r="I22" s="1"/>
  <c r="J22" s="1"/>
  <c r="M30" i="10"/>
  <c r="K30"/>
  <c r="L30"/>
  <c r="H30"/>
  <c r="J30"/>
  <c r="F30"/>
  <c r="D31"/>
  <c r="D32" s="1"/>
  <c r="G5" i="6"/>
  <c r="I30" i="10"/>
  <c r="G18" i="11"/>
  <c r="I18"/>
  <c r="K18"/>
  <c r="M18"/>
  <c r="O18"/>
  <c r="Q18"/>
  <c r="F8" i="6" l="1"/>
  <c r="F6"/>
  <c r="F14"/>
  <c r="F5"/>
  <c r="H5" s="1"/>
  <c r="F11"/>
  <c r="F7"/>
  <c r="F12"/>
  <c r="F10"/>
  <c r="C13"/>
  <c r="F13"/>
  <c r="F9"/>
  <c r="E37" i="11"/>
  <c r="C12" i="9"/>
  <c r="N18" i="23"/>
  <c r="J18"/>
  <c r="F18"/>
  <c r="O18"/>
  <c r="K18"/>
  <c r="G18"/>
  <c r="M18"/>
  <c r="I18"/>
  <c r="F18" i="11"/>
  <c r="P18"/>
  <c r="N18"/>
  <c r="L18"/>
  <c r="J18"/>
  <c r="H18"/>
  <c r="J31" i="10"/>
  <c r="J32" s="1"/>
  <c r="L31"/>
  <c r="L32" s="1"/>
  <c r="R5"/>
  <c r="Q6"/>
  <c r="Q7"/>
  <c r="F31"/>
  <c r="F32" s="1"/>
  <c r="L10" i="6"/>
  <c r="C13" i="9"/>
  <c r="C16" s="1"/>
  <c r="H31" i="10"/>
  <c r="H32" s="1"/>
  <c r="I5" i="6"/>
  <c r="G6" s="1"/>
  <c r="H6" s="1"/>
  <c r="E18" s="1"/>
  <c r="F38" i="19" l="1"/>
  <c r="F39" i="27"/>
  <c r="F38" i="25"/>
  <c r="F38" i="24"/>
  <c r="D1" i="27"/>
  <c r="D1" i="25"/>
  <c r="D1" i="24"/>
  <c r="D1" i="23"/>
  <c r="D1" i="22"/>
  <c r="F20" i="27"/>
  <c r="G20" s="1"/>
  <c r="H20" s="1"/>
  <c r="I20" s="1"/>
  <c r="J20" s="1"/>
  <c r="F20" i="25"/>
  <c r="F20" i="24"/>
  <c r="F20" i="19"/>
  <c r="G20" s="1"/>
  <c r="H20" s="1"/>
  <c r="I20" s="1"/>
  <c r="J20" s="1"/>
  <c r="F20" i="22"/>
  <c r="D1" i="19"/>
  <c r="D1" i="11"/>
  <c r="R6" i="10"/>
  <c r="R7"/>
  <c r="S5"/>
  <c r="E19" i="6"/>
  <c r="G25"/>
  <c r="G26" s="1"/>
  <c r="H25"/>
  <c r="H26" s="1"/>
  <c r="I6"/>
  <c r="G7" s="1"/>
  <c r="F26" i="11" l="1"/>
  <c r="Q26" i="23"/>
  <c r="P26"/>
  <c r="O26"/>
  <c r="N26"/>
  <c r="M26"/>
  <c r="L26"/>
  <c r="K26"/>
  <c r="J26"/>
  <c r="I26"/>
  <c r="H26"/>
  <c r="G26"/>
  <c r="F26"/>
  <c r="F28" i="19"/>
  <c r="F29" i="27"/>
  <c r="F28" i="25"/>
  <c r="F28" i="24"/>
  <c r="F28" i="22"/>
  <c r="G20" i="24"/>
  <c r="G20" i="25"/>
  <c r="G20" i="22"/>
  <c r="S6" i="10"/>
  <c r="S7"/>
  <c r="T5"/>
  <c r="E20" i="6"/>
  <c r="F36" i="11"/>
  <c r="G36"/>
  <c r="H36"/>
  <c r="I36"/>
  <c r="J36"/>
  <c r="K36"/>
  <c r="L36"/>
  <c r="M36"/>
  <c r="N36"/>
  <c r="O36"/>
  <c r="P36"/>
  <c r="Q36"/>
  <c r="G26"/>
  <c r="H26"/>
  <c r="I26"/>
  <c r="J26"/>
  <c r="K26"/>
  <c r="L26"/>
  <c r="M26"/>
  <c r="N26"/>
  <c r="O26"/>
  <c r="P26"/>
  <c r="Q26"/>
  <c r="H7" i="6"/>
  <c r="H20" i="25" l="1"/>
  <c r="H20" i="24"/>
  <c r="H20" i="22"/>
  <c r="T6" i="10"/>
  <c r="T7"/>
  <c r="I7" i="6"/>
  <c r="G8" s="1"/>
  <c r="I20" i="24" l="1"/>
  <c r="I20" i="25"/>
  <c r="I20" i="22"/>
  <c r="F19" i="6"/>
  <c r="H8"/>
  <c r="G28" i="19" l="1"/>
  <c r="G29" i="27"/>
  <c r="G28" i="25"/>
  <c r="G28" i="24"/>
  <c r="G28" i="22"/>
  <c r="J20" i="25"/>
  <c r="J20" i="24"/>
  <c r="J20" i="22"/>
  <c r="I8" i="6"/>
  <c r="G9" s="1"/>
  <c r="F18"/>
  <c r="G38" i="19" l="1"/>
  <c r="G39" i="27"/>
  <c r="G38" i="25"/>
  <c r="G38" i="24"/>
  <c r="F20" i="6"/>
  <c r="H9"/>
  <c r="I9" l="1"/>
  <c r="G10" s="1"/>
  <c r="H10" l="1"/>
  <c r="G19"/>
  <c r="H28" i="19" l="1"/>
  <c r="H29" i="27"/>
  <c r="H28" i="25"/>
  <c r="H28" i="24"/>
  <c r="H28" i="22"/>
  <c r="I10" i="6"/>
  <c r="G11" s="1"/>
  <c r="G18"/>
  <c r="M2" i="2"/>
  <c r="X5" i="1"/>
  <c r="D11" i="5"/>
  <c r="E11"/>
  <c r="F11"/>
  <c r="G11"/>
  <c r="H11"/>
  <c r="I11"/>
  <c r="J11"/>
  <c r="K11"/>
  <c r="L11"/>
  <c r="M11"/>
  <c r="N11"/>
  <c r="C11"/>
  <c r="F58" i="1"/>
  <c r="F59"/>
  <c r="F60"/>
  <c r="H60" s="1"/>
  <c r="I60" s="1"/>
  <c r="J60" s="1"/>
  <c r="F57"/>
  <c r="O9"/>
  <c r="P9" s="1"/>
  <c r="O10"/>
  <c r="P10" s="1"/>
  <c r="O8"/>
  <c r="O7"/>
  <c r="P7" s="1"/>
  <c r="O6"/>
  <c r="O46"/>
  <c r="P45"/>
  <c r="P44"/>
  <c r="D119"/>
  <c r="D93"/>
  <c r="E93" s="1"/>
  <c r="E94" s="1"/>
  <c r="E126"/>
  <c r="E127"/>
  <c r="E128"/>
  <c r="E129"/>
  <c r="E130"/>
  <c r="E131" s="1"/>
  <c r="E125"/>
  <c r="E113"/>
  <c r="E114"/>
  <c r="E115"/>
  <c r="E116"/>
  <c r="E117"/>
  <c r="E118"/>
  <c r="E119"/>
  <c r="E120" s="1"/>
  <c r="E112"/>
  <c r="E100"/>
  <c r="E101"/>
  <c r="E102"/>
  <c r="E103"/>
  <c r="E104"/>
  <c r="E105"/>
  <c r="E106"/>
  <c r="E107" s="1"/>
  <c r="E99"/>
  <c r="E84"/>
  <c r="E85"/>
  <c r="E86"/>
  <c r="E87"/>
  <c r="E88"/>
  <c r="E89"/>
  <c r="E90"/>
  <c r="E91"/>
  <c r="E92"/>
  <c r="E83"/>
  <c r="E73"/>
  <c r="E74"/>
  <c r="E75"/>
  <c r="E76"/>
  <c r="E77"/>
  <c r="E78" s="1"/>
  <c r="E72"/>
  <c r="K72"/>
  <c r="K73"/>
  <c r="K74"/>
  <c r="K75"/>
  <c r="K76"/>
  <c r="K71"/>
  <c r="N39"/>
  <c r="D140"/>
  <c r="R30"/>
  <c r="R29"/>
  <c r="R28"/>
  <c r="R27"/>
  <c r="R26"/>
  <c r="R25"/>
  <c r="R24"/>
  <c r="U6"/>
  <c r="P8"/>
  <c r="P6"/>
  <c r="F37"/>
  <c r="F38"/>
  <c r="F39"/>
  <c r="F40"/>
  <c r="F41"/>
  <c r="F42"/>
  <c r="F43"/>
  <c r="F44"/>
  <c r="F45"/>
  <c r="F46"/>
  <c r="F47"/>
  <c r="F48"/>
  <c r="F49"/>
  <c r="F50"/>
  <c r="F24"/>
  <c r="F25"/>
  <c r="F26"/>
  <c r="F27"/>
  <c r="F28"/>
  <c r="F29"/>
  <c r="F30"/>
  <c r="F31"/>
  <c r="F32"/>
  <c r="F33"/>
  <c r="F34"/>
  <c r="F35"/>
  <c r="F36"/>
  <c r="F23"/>
  <c r="F6"/>
  <c r="F7"/>
  <c r="F8"/>
  <c r="F9"/>
  <c r="F10"/>
  <c r="F11"/>
  <c r="F12"/>
  <c r="F13"/>
  <c r="F14"/>
  <c r="F5"/>
  <c r="H38" i="19" l="1"/>
  <c r="H39" i="27"/>
  <c r="H38" i="25"/>
  <c r="H38" i="24"/>
  <c r="P19" i="23"/>
  <c r="N19"/>
  <c r="L19"/>
  <c r="J19"/>
  <c r="H19"/>
  <c r="F19"/>
  <c r="Q19"/>
  <c r="O19"/>
  <c r="M19"/>
  <c r="K19"/>
  <c r="I19"/>
  <c r="G19"/>
  <c r="P46" i="1"/>
  <c r="E9" i="5"/>
  <c r="G19" i="11"/>
  <c r="H19"/>
  <c r="I19"/>
  <c r="J19"/>
  <c r="K19"/>
  <c r="L19"/>
  <c r="M19"/>
  <c r="N19"/>
  <c r="O19"/>
  <c r="P19"/>
  <c r="Q19"/>
  <c r="F19"/>
  <c r="H58" i="1"/>
  <c r="I58" s="1"/>
  <c r="J58" s="1"/>
  <c r="H11" i="6"/>
  <c r="G20"/>
  <c r="Q24" i="1"/>
  <c r="T24" s="1"/>
  <c r="P24"/>
  <c r="Q26"/>
  <c r="T26" s="1"/>
  <c r="P26"/>
  <c r="Q28"/>
  <c r="T28" s="1"/>
  <c r="P28"/>
  <c r="Q30"/>
  <c r="T30" s="1"/>
  <c r="P30"/>
  <c r="P25"/>
  <c r="Q25"/>
  <c r="T25" s="1"/>
  <c r="P27"/>
  <c r="Q27"/>
  <c r="T27" s="1"/>
  <c r="P29"/>
  <c r="Q29"/>
  <c r="T29" s="1"/>
  <c r="F61"/>
  <c r="N9" i="5"/>
  <c r="L9"/>
  <c r="J9"/>
  <c r="H9"/>
  <c r="F9"/>
  <c r="D9"/>
  <c r="K83" i="1"/>
  <c r="H57"/>
  <c r="H59"/>
  <c r="I59" s="1"/>
  <c r="J59" s="1"/>
  <c r="C9" i="5"/>
  <c r="M9"/>
  <c r="K9"/>
  <c r="I9"/>
  <c r="G9"/>
  <c r="Y5" i="1"/>
  <c r="D9" i="2" s="1"/>
  <c r="F51" i="1"/>
  <c r="P11"/>
  <c r="J83"/>
  <c r="K82"/>
  <c r="H23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4"/>
  <c r="I24" s="1"/>
  <c r="J24" s="1"/>
  <c r="J81"/>
  <c r="J82"/>
  <c r="L82" s="1"/>
  <c r="K81"/>
  <c r="X6"/>
  <c r="X7"/>
  <c r="U24"/>
  <c r="U25"/>
  <c r="U26"/>
  <c r="U27"/>
  <c r="U28"/>
  <c r="U29"/>
  <c r="U30"/>
  <c r="H5"/>
  <c r="H13"/>
  <c r="I13" s="1"/>
  <c r="J13" s="1"/>
  <c r="H11"/>
  <c r="I11" s="1"/>
  <c r="J11" s="1"/>
  <c r="H9"/>
  <c r="I9" s="1"/>
  <c r="J9" s="1"/>
  <c r="H7"/>
  <c r="I7" s="1"/>
  <c r="J7" s="1"/>
  <c r="H14"/>
  <c r="I14" s="1"/>
  <c r="J14" s="1"/>
  <c r="H12"/>
  <c r="I12" s="1"/>
  <c r="J12" s="1"/>
  <c r="H10"/>
  <c r="I10" s="1"/>
  <c r="J10" s="1"/>
  <c r="H8"/>
  <c r="I8" s="1"/>
  <c r="J8" s="1"/>
  <c r="H6"/>
  <c r="I6" s="1"/>
  <c r="J6" s="1"/>
  <c r="Y6"/>
  <c r="Y7"/>
  <c r="U7"/>
  <c r="O11"/>
  <c r="F17" i="24" l="1"/>
  <c r="G17" s="1"/>
  <c r="H17" s="1"/>
  <c r="I17" s="1"/>
  <c r="J17" s="1"/>
  <c r="F17" i="25"/>
  <c r="G17" s="1"/>
  <c r="H17" s="1"/>
  <c r="I17" s="1"/>
  <c r="J17" s="1"/>
  <c r="F17" i="27"/>
  <c r="G17" s="1"/>
  <c r="H17" s="1"/>
  <c r="I17" s="1"/>
  <c r="J17" s="1"/>
  <c r="F26" i="25"/>
  <c r="G26" s="1"/>
  <c r="H26" s="1"/>
  <c r="I26" s="1"/>
  <c r="J26" s="1"/>
  <c r="F26" i="24"/>
  <c r="G26" s="1"/>
  <c r="H26" s="1"/>
  <c r="I26" s="1"/>
  <c r="J26" s="1"/>
  <c r="F26" i="27"/>
  <c r="G26" s="1"/>
  <c r="H26" s="1"/>
  <c r="I26" s="1"/>
  <c r="J26" s="1"/>
  <c r="F21" i="22"/>
  <c r="G21" s="1"/>
  <c r="H21" s="1"/>
  <c r="I21" s="1"/>
  <c r="J21" s="1"/>
  <c r="F21" i="27"/>
  <c r="G21" s="1"/>
  <c r="H21" s="1"/>
  <c r="I21" s="1"/>
  <c r="J21" s="1"/>
  <c r="F21" i="25"/>
  <c r="G21" s="1"/>
  <c r="H21" s="1"/>
  <c r="I21" s="1"/>
  <c r="J21" s="1"/>
  <c r="F21" i="24"/>
  <c r="G21" s="1"/>
  <c r="H21" s="1"/>
  <c r="I21" s="1"/>
  <c r="J21" s="1"/>
  <c r="H35" i="19"/>
  <c r="H35" i="25"/>
  <c r="H35" i="24"/>
  <c r="H36" i="27"/>
  <c r="L81" i="1"/>
  <c r="P24" i="23"/>
  <c r="N24"/>
  <c r="L24"/>
  <c r="J24"/>
  <c r="H24"/>
  <c r="F24"/>
  <c r="Q24"/>
  <c r="O24"/>
  <c r="M24"/>
  <c r="K24"/>
  <c r="I24"/>
  <c r="G24"/>
  <c r="F15"/>
  <c r="G15" s="1"/>
  <c r="H15" s="1"/>
  <c r="I15" s="1"/>
  <c r="J15" s="1"/>
  <c r="K15" s="1"/>
  <c r="L15" s="1"/>
  <c r="M15" s="1"/>
  <c r="N15" s="1"/>
  <c r="O15" s="1"/>
  <c r="P15" s="1"/>
  <c r="Q15" s="1"/>
  <c r="F17" i="22"/>
  <c r="G17" s="1"/>
  <c r="H17" s="1"/>
  <c r="I17" s="1"/>
  <c r="J17" s="1"/>
  <c r="F26"/>
  <c r="G26" s="1"/>
  <c r="H26" s="1"/>
  <c r="I26" s="1"/>
  <c r="J26" s="1"/>
  <c r="F26" i="19"/>
  <c r="G26" s="1"/>
  <c r="H26" s="1"/>
  <c r="I26" s="1"/>
  <c r="J26" s="1"/>
  <c r="X8" i="1"/>
  <c r="F17" i="19"/>
  <c r="G17" s="1"/>
  <c r="H17" s="1"/>
  <c r="I17" s="1"/>
  <c r="J17" s="1"/>
  <c r="F21"/>
  <c r="G21" s="1"/>
  <c r="H21" s="1"/>
  <c r="I21" s="1"/>
  <c r="J21" s="1"/>
  <c r="Y8" i="1"/>
  <c r="L83"/>
  <c r="Q24" i="11"/>
  <c r="G24"/>
  <c r="H24"/>
  <c r="I24"/>
  <c r="J24"/>
  <c r="K24"/>
  <c r="L24"/>
  <c r="M24"/>
  <c r="N24"/>
  <c r="O24"/>
  <c r="P24"/>
  <c r="F24"/>
  <c r="E11" i="2"/>
  <c r="F11"/>
  <c r="G11"/>
  <c r="H11"/>
  <c r="I11"/>
  <c r="J11"/>
  <c r="K11"/>
  <c r="L11"/>
  <c r="M11"/>
  <c r="N11"/>
  <c r="O11"/>
  <c r="D11"/>
  <c r="E10"/>
  <c r="F10"/>
  <c r="G10"/>
  <c r="H10"/>
  <c r="I10"/>
  <c r="J10"/>
  <c r="K10"/>
  <c r="L10"/>
  <c r="M10"/>
  <c r="N10"/>
  <c r="O10"/>
  <c r="D10"/>
  <c r="E9"/>
  <c r="F9"/>
  <c r="G9"/>
  <c r="H9"/>
  <c r="I9"/>
  <c r="J9"/>
  <c r="K9"/>
  <c r="L9"/>
  <c r="M9"/>
  <c r="N9"/>
  <c r="O9"/>
  <c r="F15" i="11"/>
  <c r="I11" i="6"/>
  <c r="G12" s="1"/>
  <c r="U31" i="1"/>
  <c r="W31" s="1"/>
  <c r="W30"/>
  <c r="W28"/>
  <c r="W26"/>
  <c r="W24"/>
  <c r="W29"/>
  <c r="W27"/>
  <c r="W25"/>
  <c r="K13" i="5"/>
  <c r="M13"/>
  <c r="D13"/>
  <c r="F13"/>
  <c r="H13"/>
  <c r="J13"/>
  <c r="L13"/>
  <c r="N13"/>
  <c r="E13"/>
  <c r="G13"/>
  <c r="I13"/>
  <c r="C13"/>
  <c r="H61" i="1"/>
  <c r="I57"/>
  <c r="J57" s="1"/>
  <c r="J61" s="1"/>
  <c r="M83"/>
  <c r="N83" s="1"/>
  <c r="O83" s="1"/>
  <c r="M82"/>
  <c r="N82" s="1"/>
  <c r="O82" s="1"/>
  <c r="I5"/>
  <c r="J5" s="1"/>
  <c r="J15" s="1"/>
  <c r="H15"/>
  <c r="H51"/>
  <c r="I23"/>
  <c r="J23" s="1"/>
  <c r="M81"/>
  <c r="N81" s="1"/>
  <c r="Z7"/>
  <c r="Z6"/>
  <c r="Z5"/>
  <c r="I24" i="27" l="1"/>
  <c r="G24"/>
  <c r="J24" i="25"/>
  <c r="H24"/>
  <c r="F24"/>
  <c r="J24" i="24"/>
  <c r="H24"/>
  <c r="F24"/>
  <c r="J24" i="27"/>
  <c r="H24"/>
  <c r="F24"/>
  <c r="I24" i="25"/>
  <c r="G24"/>
  <c r="I24" i="24"/>
  <c r="G24"/>
  <c r="J35" i="27"/>
  <c r="H35"/>
  <c r="F35"/>
  <c r="J23"/>
  <c r="H23"/>
  <c r="F23"/>
  <c r="I34" i="25"/>
  <c r="G34"/>
  <c r="I23"/>
  <c r="G23"/>
  <c r="I34" i="24"/>
  <c r="G34"/>
  <c r="I23"/>
  <c r="G23"/>
  <c r="I35" i="27"/>
  <c r="G35"/>
  <c r="I23"/>
  <c r="G23"/>
  <c r="J34" i="25"/>
  <c r="H34"/>
  <c r="F34"/>
  <c r="J23"/>
  <c r="H23"/>
  <c r="F23"/>
  <c r="J34" i="24"/>
  <c r="H34"/>
  <c r="F34"/>
  <c r="J23"/>
  <c r="H23"/>
  <c r="F23"/>
  <c r="J37" i="27"/>
  <c r="J36" i="25"/>
  <c r="J36" i="24"/>
  <c r="J25" i="27"/>
  <c r="H25"/>
  <c r="F25"/>
  <c r="I25" i="25"/>
  <c r="G25"/>
  <c r="I25" i="24"/>
  <c r="G25"/>
  <c r="I25" i="27"/>
  <c r="G25"/>
  <c r="J25" i="25"/>
  <c r="H25"/>
  <c r="F25"/>
  <c r="J25" i="24"/>
  <c r="H25"/>
  <c r="F25"/>
  <c r="P21" i="23"/>
  <c r="N21"/>
  <c r="L21"/>
  <c r="J21"/>
  <c r="H21"/>
  <c r="F21"/>
  <c r="I23" i="22"/>
  <c r="G23"/>
  <c r="Q21" i="23"/>
  <c r="O21"/>
  <c r="M21"/>
  <c r="K21"/>
  <c r="I21"/>
  <c r="G21"/>
  <c r="J23" i="22"/>
  <c r="H23"/>
  <c r="F23"/>
  <c r="P22" i="23"/>
  <c r="N22"/>
  <c r="L22"/>
  <c r="J22"/>
  <c r="H22"/>
  <c r="F22"/>
  <c r="J24" i="22"/>
  <c r="H24"/>
  <c r="F24"/>
  <c r="Q22" i="23"/>
  <c r="O22"/>
  <c r="M22"/>
  <c r="K22"/>
  <c r="I22"/>
  <c r="G22"/>
  <c r="I24" i="22"/>
  <c r="G24"/>
  <c r="P23" i="23"/>
  <c r="N23"/>
  <c r="L23"/>
  <c r="J23"/>
  <c r="H23"/>
  <c r="F23"/>
  <c r="I25" i="22"/>
  <c r="G25"/>
  <c r="Q23" i="23"/>
  <c r="O23"/>
  <c r="M23"/>
  <c r="K23"/>
  <c r="I23"/>
  <c r="G23"/>
  <c r="J25" i="22"/>
  <c r="H25"/>
  <c r="F25"/>
  <c r="J36" i="19"/>
  <c r="J34"/>
  <c r="H34"/>
  <c r="F34"/>
  <c r="I23"/>
  <c r="G23"/>
  <c r="I34"/>
  <c r="G34"/>
  <c r="J23"/>
  <c r="H23"/>
  <c r="F23"/>
  <c r="Z8" i="1"/>
  <c r="J24" i="19"/>
  <c r="H24"/>
  <c r="F24"/>
  <c r="I24"/>
  <c r="G24"/>
  <c r="I25"/>
  <c r="G25"/>
  <c r="J25"/>
  <c r="H25"/>
  <c r="F25"/>
  <c r="G15" i="11"/>
  <c r="H15" s="1"/>
  <c r="I15" s="1"/>
  <c r="J15" s="1"/>
  <c r="K15" s="1"/>
  <c r="L15" s="1"/>
  <c r="M15" s="1"/>
  <c r="N15" s="1"/>
  <c r="O15" s="1"/>
  <c r="P15" s="1"/>
  <c r="Q15" s="1"/>
  <c r="N12" i="2"/>
  <c r="P9" i="23" s="1"/>
  <c r="L12" i="2"/>
  <c r="N9" i="23" s="1"/>
  <c r="J12" i="2"/>
  <c r="L9" i="23" s="1"/>
  <c r="H12" i="2"/>
  <c r="J9" i="23" s="1"/>
  <c r="F12" i="2"/>
  <c r="H9" i="23" s="1"/>
  <c r="O12" i="2"/>
  <c r="Q9" i="23" s="1"/>
  <c r="M12" i="2"/>
  <c r="O9" i="23" s="1"/>
  <c r="K12" i="2"/>
  <c r="M9" i="23" s="1"/>
  <c r="I12" i="2"/>
  <c r="K9" i="23" s="1"/>
  <c r="G12" i="2"/>
  <c r="I9" i="23" s="1"/>
  <c r="E12" i="2"/>
  <c r="G9" i="23" s="1"/>
  <c r="E16" i="2"/>
  <c r="D16"/>
  <c r="F16"/>
  <c r="E17"/>
  <c r="D17"/>
  <c r="F17"/>
  <c r="E18"/>
  <c r="D18"/>
  <c r="F18"/>
  <c r="G22" i="11"/>
  <c r="H22"/>
  <c r="I22"/>
  <c r="J22"/>
  <c r="K22"/>
  <c r="L22"/>
  <c r="M22"/>
  <c r="N22"/>
  <c r="O22"/>
  <c r="P22"/>
  <c r="Q22"/>
  <c r="F22"/>
  <c r="G32"/>
  <c r="H32"/>
  <c r="I32"/>
  <c r="J32"/>
  <c r="K32"/>
  <c r="L32"/>
  <c r="M32"/>
  <c r="N32"/>
  <c r="O32"/>
  <c r="P32"/>
  <c r="Q32"/>
  <c r="F32"/>
  <c r="G21"/>
  <c r="H21"/>
  <c r="I21"/>
  <c r="J21"/>
  <c r="K21"/>
  <c r="L21"/>
  <c r="M21"/>
  <c r="N21"/>
  <c r="O21"/>
  <c r="P21"/>
  <c r="Q21"/>
  <c r="F21"/>
  <c r="G23"/>
  <c r="H23"/>
  <c r="I23"/>
  <c r="J23"/>
  <c r="K23"/>
  <c r="L23"/>
  <c r="M23"/>
  <c r="N23"/>
  <c r="O23"/>
  <c r="P23"/>
  <c r="Q23"/>
  <c r="F23"/>
  <c r="D12" i="2"/>
  <c r="F9" i="23" s="1"/>
  <c r="Q9" i="11"/>
  <c r="P9"/>
  <c r="K5" i="5"/>
  <c r="F5"/>
  <c r="H16" i="2"/>
  <c r="G16"/>
  <c r="H17"/>
  <c r="G17"/>
  <c r="H18"/>
  <c r="G18"/>
  <c r="H12" i="6"/>
  <c r="H19"/>
  <c r="N84" i="1"/>
  <c r="O81"/>
  <c r="O84" s="1"/>
  <c r="L7" i="5"/>
  <c r="G5" l="1"/>
  <c r="F13" i="22"/>
  <c r="G13" s="1"/>
  <c r="H13" s="1"/>
  <c r="I13" s="1"/>
  <c r="J13" s="1"/>
  <c r="F13" i="25"/>
  <c r="G13" s="1"/>
  <c r="H13" s="1"/>
  <c r="I13" s="1"/>
  <c r="J13" s="1"/>
  <c r="F13" i="24"/>
  <c r="G13" s="1"/>
  <c r="H13" s="1"/>
  <c r="I13" s="1"/>
  <c r="J13" s="1"/>
  <c r="F13" i="27"/>
  <c r="G13" s="1"/>
  <c r="H13" s="1"/>
  <c r="I13" s="1"/>
  <c r="J13" s="1"/>
  <c r="I28" i="19"/>
  <c r="I29" i="27"/>
  <c r="I28" i="25"/>
  <c r="I28" i="24"/>
  <c r="I28" i="22"/>
  <c r="I9" i="11"/>
  <c r="J9"/>
  <c r="N9"/>
  <c r="N5" i="5"/>
  <c r="D7"/>
  <c r="Q11" i="23"/>
  <c r="O11"/>
  <c r="M11"/>
  <c r="K11"/>
  <c r="I11"/>
  <c r="G11"/>
  <c r="P11"/>
  <c r="N11"/>
  <c r="L11"/>
  <c r="J11"/>
  <c r="H11"/>
  <c r="F11"/>
  <c r="D19" i="2"/>
  <c r="H9" i="11"/>
  <c r="G9"/>
  <c r="O9"/>
  <c r="F13" i="19"/>
  <c r="G13" s="1"/>
  <c r="H13" s="1"/>
  <c r="I13" s="1"/>
  <c r="J13" s="1"/>
  <c r="L9" i="11"/>
  <c r="I5" i="5"/>
  <c r="D5"/>
  <c r="E5"/>
  <c r="L5"/>
  <c r="M5"/>
  <c r="M9" i="11"/>
  <c r="J5" i="5"/>
  <c r="K9" i="11"/>
  <c r="H5" i="5"/>
  <c r="K7"/>
  <c r="K11" i="11"/>
  <c r="L11"/>
  <c r="M11"/>
  <c r="N11"/>
  <c r="O11"/>
  <c r="P11"/>
  <c r="Q11"/>
  <c r="G11"/>
  <c r="H11"/>
  <c r="I11"/>
  <c r="J11"/>
  <c r="F11"/>
  <c r="F9"/>
  <c r="C5" i="5"/>
  <c r="G19" i="2"/>
  <c r="H19"/>
  <c r="F19"/>
  <c r="E19"/>
  <c r="I12" i="6"/>
  <c r="G13" s="1"/>
  <c r="H18"/>
  <c r="I7" i="5"/>
  <c r="H7"/>
  <c r="N7"/>
  <c r="E7"/>
  <c r="J7"/>
  <c r="F7"/>
  <c r="M7"/>
  <c r="C7"/>
  <c r="G7"/>
  <c r="I38" i="19" l="1"/>
  <c r="I39" i="27"/>
  <c r="I38" i="25"/>
  <c r="I38" i="24"/>
  <c r="F11" i="27"/>
  <c r="F11" i="24"/>
  <c r="F11" i="19"/>
  <c r="G11" s="1"/>
  <c r="H11" s="1"/>
  <c r="I11" s="1"/>
  <c r="J11" s="1"/>
  <c r="F11" i="22"/>
  <c r="H13" i="6"/>
  <c r="H20"/>
  <c r="G11" i="24" l="1"/>
  <c r="F28" i="27"/>
  <c r="F30" s="1"/>
  <c r="F31" s="1"/>
  <c r="F32" s="1"/>
  <c r="F33" s="1"/>
  <c r="F34" s="1"/>
  <c r="F42" s="1"/>
  <c r="G11"/>
  <c r="G11" i="22"/>
  <c r="I13" i="6"/>
  <c r="G14" s="1"/>
  <c r="G28" i="27" l="1"/>
  <c r="G30" s="1"/>
  <c r="G31" s="1"/>
  <c r="G32" s="1"/>
  <c r="G33" s="1"/>
  <c r="G34" s="1"/>
  <c r="G42" s="1"/>
  <c r="H11"/>
  <c r="H11" i="24"/>
  <c r="H11" i="22"/>
  <c r="H14" i="6"/>
  <c r="I19"/>
  <c r="J28" i="19" l="1"/>
  <c r="J29" i="27"/>
  <c r="J28" i="25"/>
  <c r="J28" i="24"/>
  <c r="J28" i="22"/>
  <c r="I11" i="24"/>
  <c r="H28" i="27"/>
  <c r="H30" s="1"/>
  <c r="H31" s="1"/>
  <c r="H32" s="1"/>
  <c r="H33" s="1"/>
  <c r="H34" s="1"/>
  <c r="H42" s="1"/>
  <c r="I11"/>
  <c r="I11" i="22"/>
  <c r="I14" i="6"/>
  <c r="I18"/>
  <c r="J38" i="19" l="1"/>
  <c r="J39" i="27"/>
  <c r="J38" i="25"/>
  <c r="J38" i="24"/>
  <c r="I28" i="27"/>
  <c r="I30" s="1"/>
  <c r="I31" s="1"/>
  <c r="I32" s="1"/>
  <c r="I33" s="1"/>
  <c r="I34" s="1"/>
  <c r="I42" s="1"/>
  <c r="J11"/>
  <c r="J11" i="24"/>
  <c r="J11" i="22"/>
  <c r="I20" i="6"/>
  <c r="R31" i="1"/>
  <c r="R42" s="1"/>
  <c r="Q23"/>
  <c r="T23" s="1"/>
  <c r="J28" i="27" l="1"/>
  <c r="J30" s="1"/>
  <c r="J31" s="1"/>
  <c r="J32" s="1"/>
  <c r="J33" s="1"/>
  <c r="J34" s="1"/>
  <c r="T31" i="1"/>
  <c r="J8" i="5"/>
  <c r="J12" s="1"/>
  <c r="J14" s="1"/>
  <c r="I8"/>
  <c r="I12" s="1"/>
  <c r="I14" s="1"/>
  <c r="N8"/>
  <c r="N12" s="1"/>
  <c r="N14" s="1"/>
  <c r="F8"/>
  <c r="F12" s="1"/>
  <c r="F14" s="1"/>
  <c r="E8"/>
  <c r="E12" s="1"/>
  <c r="E14" s="1"/>
  <c r="K8"/>
  <c r="K12" s="1"/>
  <c r="K14" s="1"/>
  <c r="H8"/>
  <c r="H12" s="1"/>
  <c r="H14" s="1"/>
  <c r="W23" i="1"/>
  <c r="D8" i="5"/>
  <c r="D12" s="1"/>
  <c r="D14" s="1"/>
  <c r="C8"/>
  <c r="C12" s="1"/>
  <c r="C14" s="1"/>
  <c r="C15" s="1"/>
  <c r="L8"/>
  <c r="L12" s="1"/>
  <c r="L14" s="1"/>
  <c r="M8"/>
  <c r="M12" s="1"/>
  <c r="M14" s="1"/>
  <c r="G8"/>
  <c r="G12" s="1"/>
  <c r="G14" s="1"/>
  <c r="F19" i="25" l="1"/>
  <c r="G19" s="1"/>
  <c r="H19" s="1"/>
  <c r="I19" s="1"/>
  <c r="J19" s="1"/>
  <c r="F19" i="24"/>
  <c r="G19" s="1"/>
  <c r="H19" s="1"/>
  <c r="I19" s="1"/>
  <c r="J19" s="1"/>
  <c r="F19" i="27"/>
  <c r="G19" s="1"/>
  <c r="H19" s="1"/>
  <c r="I19" s="1"/>
  <c r="J19" s="1"/>
  <c r="F16"/>
  <c r="G16" s="1"/>
  <c r="H16" s="1"/>
  <c r="I16" s="1"/>
  <c r="J16" s="1"/>
  <c r="F16" i="25"/>
  <c r="F16" i="24"/>
  <c r="J41" i="27"/>
  <c r="J42" s="1"/>
  <c r="E38"/>
  <c r="E42" s="1"/>
  <c r="J40" i="25"/>
  <c r="E37"/>
  <c r="E41" s="1"/>
  <c r="J40" i="24"/>
  <c r="E37"/>
  <c r="E41" s="1"/>
  <c r="F19" i="22"/>
  <c r="G19" s="1"/>
  <c r="H19" s="1"/>
  <c r="I19" s="1"/>
  <c r="J19" s="1"/>
  <c r="F17" i="23"/>
  <c r="G17" s="1"/>
  <c r="H17" s="1"/>
  <c r="I17" s="1"/>
  <c r="J17" s="1"/>
  <c r="K17" s="1"/>
  <c r="L17" s="1"/>
  <c r="M17" s="1"/>
  <c r="N17" s="1"/>
  <c r="O17" s="1"/>
  <c r="P17" s="1"/>
  <c r="Q17" s="1"/>
  <c r="F14"/>
  <c r="F16" i="22"/>
  <c r="F19" i="19"/>
  <c r="G19" s="1"/>
  <c r="H19" s="1"/>
  <c r="I19" s="1"/>
  <c r="J19" s="1"/>
  <c r="F16"/>
  <c r="E37"/>
  <c r="E41" s="1"/>
  <c r="J40"/>
  <c r="F17" i="11"/>
  <c r="F14"/>
  <c r="E35"/>
  <c r="E39" s="1"/>
  <c r="T21" i="1"/>
  <c r="D15" i="5"/>
  <c r="E15" s="1"/>
  <c r="F15" s="1"/>
  <c r="G15" s="1"/>
  <c r="H15" s="1"/>
  <c r="I15" s="1"/>
  <c r="J15" s="1"/>
  <c r="K15" s="1"/>
  <c r="L15" s="1"/>
  <c r="M15" s="1"/>
  <c r="N15" s="1"/>
  <c r="G16" i="25" l="1"/>
  <c r="F15"/>
  <c r="E43" i="27"/>
  <c r="G16" i="24"/>
  <c r="F15"/>
  <c r="F27" s="1"/>
  <c r="F29" s="1"/>
  <c r="E44" i="27"/>
  <c r="G16" i="22"/>
  <c r="F15"/>
  <c r="F27" s="1"/>
  <c r="F29" s="1"/>
  <c r="G14" i="23"/>
  <c r="F13"/>
  <c r="F25" s="1"/>
  <c r="F27" s="1"/>
  <c r="F28" s="1"/>
  <c r="F29" s="1"/>
  <c r="F30" s="1"/>
  <c r="F31" s="1"/>
  <c r="G17" i="11"/>
  <c r="H17" s="1"/>
  <c r="I17" s="1"/>
  <c r="J17" s="1"/>
  <c r="K17" s="1"/>
  <c r="L17" s="1"/>
  <c r="M17" s="1"/>
  <c r="N17" s="1"/>
  <c r="O17" s="1"/>
  <c r="P17" s="1"/>
  <c r="Q17" s="1"/>
  <c r="G16" i="19"/>
  <c r="F15"/>
  <c r="F27" s="1"/>
  <c r="F29" s="1"/>
  <c r="F30" s="1"/>
  <c r="F31" s="1"/>
  <c r="F32" s="1"/>
  <c r="F33" s="1"/>
  <c r="F41" s="1"/>
  <c r="G14" i="11"/>
  <c r="F13"/>
  <c r="F30" i="24" l="1"/>
  <c r="F31" s="1"/>
  <c r="F32" s="1"/>
  <c r="F33" s="1"/>
  <c r="F41" s="1"/>
  <c r="H16" i="25"/>
  <c r="G15"/>
  <c r="H16" i="24"/>
  <c r="G15"/>
  <c r="G27" s="1"/>
  <c r="G29" s="1"/>
  <c r="G30" s="1"/>
  <c r="G31" s="1"/>
  <c r="G32" s="1"/>
  <c r="G33" s="1"/>
  <c r="G41" s="1"/>
  <c r="G43" s="1"/>
  <c r="H14" i="23"/>
  <c r="G13"/>
  <c r="G25" s="1"/>
  <c r="G27" s="1"/>
  <c r="G28" s="1"/>
  <c r="G29" s="1"/>
  <c r="G30" s="1"/>
  <c r="G31" s="1"/>
  <c r="H16" i="22"/>
  <c r="G15"/>
  <c r="G27" s="1"/>
  <c r="G29" s="1"/>
  <c r="G30" s="1"/>
  <c r="G31" s="1"/>
  <c r="G32" s="1"/>
  <c r="G33" s="1"/>
  <c r="F30"/>
  <c r="F31" s="1"/>
  <c r="F32" s="1"/>
  <c r="F33" s="1"/>
  <c r="F25" i="11"/>
  <c r="H16" i="19"/>
  <c r="G15"/>
  <c r="G27" s="1"/>
  <c r="G29" s="1"/>
  <c r="G30" s="1"/>
  <c r="G31" s="1"/>
  <c r="G32" s="1"/>
  <c r="G33" s="1"/>
  <c r="G41" s="1"/>
  <c r="H14" i="11"/>
  <c r="G13"/>
  <c r="G25" s="1"/>
  <c r="G27" s="1"/>
  <c r="F43" i="24" l="1"/>
  <c r="F44" s="1"/>
  <c r="G44" s="1"/>
  <c r="F42"/>
  <c r="G42" s="1"/>
  <c r="I16"/>
  <c r="H15"/>
  <c r="H27" s="1"/>
  <c r="H29" s="1"/>
  <c r="H30" s="1"/>
  <c r="H31" s="1"/>
  <c r="H32" s="1"/>
  <c r="H33" s="1"/>
  <c r="H41" s="1"/>
  <c r="H43" s="1"/>
  <c r="I16" i="25"/>
  <c r="H15"/>
  <c r="I16" i="22"/>
  <c r="H15"/>
  <c r="H27" s="1"/>
  <c r="H29" s="1"/>
  <c r="H30" s="1"/>
  <c r="H31" s="1"/>
  <c r="H13" i="23"/>
  <c r="H25" s="1"/>
  <c r="H27" s="1"/>
  <c r="H28" s="1"/>
  <c r="H29" s="1"/>
  <c r="H30" s="1"/>
  <c r="H31" s="1"/>
  <c r="I14"/>
  <c r="I16" i="19"/>
  <c r="H15"/>
  <c r="H27" s="1"/>
  <c r="H29" s="1"/>
  <c r="H30" s="1"/>
  <c r="H31" s="1"/>
  <c r="H32" s="1"/>
  <c r="H33" s="1"/>
  <c r="H41" s="1"/>
  <c r="F27" i="11"/>
  <c r="G28"/>
  <c r="G29" s="1"/>
  <c r="G30" s="1"/>
  <c r="G31" s="1"/>
  <c r="G39" s="1"/>
  <c r="I14"/>
  <c r="H13"/>
  <c r="J16" i="25" l="1"/>
  <c r="J15" s="1"/>
  <c r="I15"/>
  <c r="J16" i="24"/>
  <c r="J15" s="1"/>
  <c r="J27" s="1"/>
  <c r="J29" s="1"/>
  <c r="I15"/>
  <c r="I27" s="1"/>
  <c r="I29" s="1"/>
  <c r="I30" s="1"/>
  <c r="I31" s="1"/>
  <c r="I32" s="1"/>
  <c r="I33" s="1"/>
  <c r="I41" s="1"/>
  <c r="I43" s="1"/>
  <c r="H44"/>
  <c r="H42"/>
  <c r="I42" s="1"/>
  <c r="J16" i="22"/>
  <c r="J15" s="1"/>
  <c r="J27" s="1"/>
  <c r="J29" s="1"/>
  <c r="J30" s="1"/>
  <c r="J31" s="1"/>
  <c r="J32" s="1"/>
  <c r="J33" s="1"/>
  <c r="I15"/>
  <c r="I27" s="1"/>
  <c r="I29" s="1"/>
  <c r="I30" s="1"/>
  <c r="I31" s="1"/>
  <c r="I32" s="1"/>
  <c r="I33" s="1"/>
  <c r="J14" i="23"/>
  <c r="I13"/>
  <c r="I25" s="1"/>
  <c r="I27" s="1"/>
  <c r="I28" s="1"/>
  <c r="I29" s="1"/>
  <c r="I30" s="1"/>
  <c r="I31" s="1"/>
  <c r="H32" i="22"/>
  <c r="H33" s="1"/>
  <c r="F28" i="11"/>
  <c r="J16" i="19"/>
  <c r="J15" s="1"/>
  <c r="J27" s="1"/>
  <c r="J29" s="1"/>
  <c r="J30" s="1"/>
  <c r="J31" s="1"/>
  <c r="J32" s="1"/>
  <c r="J33" s="1"/>
  <c r="J41" s="1"/>
  <c r="I15"/>
  <c r="I27" s="1"/>
  <c r="I29" s="1"/>
  <c r="I30" s="1"/>
  <c r="I31" s="1"/>
  <c r="I32" s="1"/>
  <c r="I33" s="1"/>
  <c r="I41" s="1"/>
  <c r="H25" i="11"/>
  <c r="J14"/>
  <c r="I13"/>
  <c r="I25" s="1"/>
  <c r="I27" s="1"/>
  <c r="J30" i="24" l="1"/>
  <c r="J31" s="1"/>
  <c r="J32" s="1"/>
  <c r="J33" s="1"/>
  <c r="J41" s="1"/>
  <c r="I44"/>
  <c r="K14" i="23"/>
  <c r="J13"/>
  <c r="J25" s="1"/>
  <c r="J27" s="1"/>
  <c r="J28" s="1"/>
  <c r="J29" s="1"/>
  <c r="J30" s="1"/>
  <c r="J31" s="1"/>
  <c r="E42" i="19"/>
  <c r="H27" i="11"/>
  <c r="E43" i="19"/>
  <c r="F29" i="11"/>
  <c r="I28"/>
  <c r="I29" s="1"/>
  <c r="I30" s="1"/>
  <c r="I31" s="1"/>
  <c r="I39" s="1"/>
  <c r="J13"/>
  <c r="J25" s="1"/>
  <c r="J27" s="1"/>
  <c r="K14"/>
  <c r="J43" i="24" l="1"/>
  <c r="J42"/>
  <c r="J44"/>
  <c r="K13" i="23"/>
  <c r="K25" s="1"/>
  <c r="K27" s="1"/>
  <c r="K28" s="1"/>
  <c r="K29" s="1"/>
  <c r="K30" s="1"/>
  <c r="K31" s="1"/>
  <c r="L14"/>
  <c r="H28" i="11"/>
  <c r="F30"/>
  <c r="L14"/>
  <c r="K13"/>
  <c r="K25" s="1"/>
  <c r="K27" s="1"/>
  <c r="J28"/>
  <c r="J29" s="1"/>
  <c r="J30" s="1"/>
  <c r="J31" s="1"/>
  <c r="J39" s="1"/>
  <c r="M14" i="23" l="1"/>
  <c r="L13"/>
  <c r="L25" s="1"/>
  <c r="L27" s="1"/>
  <c r="L28" s="1"/>
  <c r="L29" s="1"/>
  <c r="L30" s="1"/>
  <c r="L31" s="1"/>
  <c r="F31" i="11"/>
  <c r="H29"/>
  <c r="K28"/>
  <c r="K29" s="1"/>
  <c r="K30" s="1"/>
  <c r="K31" s="1"/>
  <c r="K39" s="1"/>
  <c r="M14"/>
  <c r="L13"/>
  <c r="M13" i="23" l="1"/>
  <c r="M25" s="1"/>
  <c r="M27" s="1"/>
  <c r="M28" s="1"/>
  <c r="M29" s="1"/>
  <c r="M30" s="1"/>
  <c r="M31" s="1"/>
  <c r="N14"/>
  <c r="H30" i="11"/>
  <c r="F39"/>
  <c r="L25"/>
  <c r="N14"/>
  <c r="M13"/>
  <c r="M25" s="1"/>
  <c r="M27" s="1"/>
  <c r="N13" i="23" l="1"/>
  <c r="N25" s="1"/>
  <c r="N27" s="1"/>
  <c r="N28" s="1"/>
  <c r="N29" s="1"/>
  <c r="N30" s="1"/>
  <c r="N31" s="1"/>
  <c r="O14"/>
  <c r="L27" i="11"/>
  <c r="H31"/>
  <c r="M28"/>
  <c r="M29" s="1"/>
  <c r="M30" s="1"/>
  <c r="M31" s="1"/>
  <c r="M39" s="1"/>
  <c r="O14"/>
  <c r="N13"/>
  <c r="N25" s="1"/>
  <c r="N27" s="1"/>
  <c r="O13" i="23" l="1"/>
  <c r="O25" s="1"/>
  <c r="O27" s="1"/>
  <c r="O28" s="1"/>
  <c r="O29" s="1"/>
  <c r="O30" s="1"/>
  <c r="O31" s="1"/>
  <c r="P14"/>
  <c r="H39" i="11"/>
  <c r="L28"/>
  <c r="N28"/>
  <c r="N29" s="1"/>
  <c r="N30" s="1"/>
  <c r="N31" s="1"/>
  <c r="N39" s="1"/>
  <c r="P14"/>
  <c r="O13"/>
  <c r="O25" s="1"/>
  <c r="O27" s="1"/>
  <c r="Q14" i="23" l="1"/>
  <c r="Q13" s="1"/>
  <c r="Q25" s="1"/>
  <c r="Q27" s="1"/>
  <c r="Q28" s="1"/>
  <c r="Q29" s="1"/>
  <c r="Q30" s="1"/>
  <c r="Q31" s="1"/>
  <c r="P13"/>
  <c r="P25" s="1"/>
  <c r="P27" s="1"/>
  <c r="P28" s="1"/>
  <c r="P29" s="1"/>
  <c r="P30" s="1"/>
  <c r="P31" s="1"/>
  <c r="L29" i="11"/>
  <c r="O28"/>
  <c r="O29" s="1"/>
  <c r="O30" s="1"/>
  <c r="O31" s="1"/>
  <c r="O39" s="1"/>
  <c r="Q14"/>
  <c r="P13"/>
  <c r="P25" s="1"/>
  <c r="P27" s="1"/>
  <c r="T31" i="23" l="1"/>
  <c r="Q13" i="11"/>
  <c r="L30"/>
  <c r="P28"/>
  <c r="P29" s="1"/>
  <c r="P30" s="1"/>
  <c r="P31" s="1"/>
  <c r="P39" s="1"/>
  <c r="L31" l="1"/>
  <c r="Q25"/>
  <c r="Q27" l="1"/>
  <c r="L39"/>
  <c r="Q28" l="1"/>
  <c r="Q29" l="1"/>
  <c r="Q30" l="1"/>
  <c r="Q31" l="1"/>
  <c r="Q39" l="1"/>
  <c r="G27" i="25"/>
  <c r="G29" s="1"/>
  <c r="F27"/>
  <c r="F29" s="1"/>
  <c r="F30" l="1"/>
  <c r="F31" s="1"/>
  <c r="G30"/>
  <c r="G31" s="1"/>
  <c r="F32" l="1"/>
  <c r="F33" s="1"/>
  <c r="F41" s="1"/>
  <c r="G32"/>
  <c r="G33" s="1"/>
  <c r="G41" s="1"/>
  <c r="H27"/>
  <c r="H29" s="1"/>
  <c r="H30" l="1"/>
  <c r="H31" s="1"/>
  <c r="I27"/>
  <c r="I29" s="1"/>
  <c r="H32" l="1"/>
  <c r="H33" s="1"/>
  <c r="H41" s="1"/>
  <c r="J27"/>
  <c r="J29" s="1"/>
  <c r="I30"/>
  <c r="I31" s="1"/>
  <c r="I32" l="1"/>
  <c r="I33" s="1"/>
  <c r="I41" s="1"/>
  <c r="J30"/>
  <c r="J31" s="1"/>
  <c r="J32" l="1"/>
  <c r="J33" s="1"/>
  <c r="J41" s="1"/>
  <c r="E43" l="1"/>
  <c r="E42"/>
  <c r="F15" i="1"/>
</calcChain>
</file>

<file path=xl/sharedStrings.xml><?xml version="1.0" encoding="utf-8"?>
<sst xmlns="http://schemas.openxmlformats.org/spreadsheetml/2006/main" count="706" uniqueCount="327">
  <si>
    <t>INVERSION DE MAQUINARIA (GUAYAQUIL Y QUITO)</t>
  </si>
  <si>
    <t>COCINA</t>
  </si>
  <si>
    <t>COSTO UNIT. ($)</t>
  </si>
  <si>
    <t>CANT.  (UNID.)</t>
  </si>
  <si>
    <t>COSTO    TOT. ($)</t>
  </si>
  <si>
    <t>Cocina de 6 quemadores  + horno</t>
  </si>
  <si>
    <t xml:space="preserve">Extractor </t>
  </si>
  <si>
    <t>Horno microondas</t>
  </si>
  <si>
    <t>Congelador vertical panorámico</t>
  </si>
  <si>
    <t>Congelador Vertical ABX 500 N INOX</t>
  </si>
  <si>
    <t>Mesa de trabajo tipo isla</t>
  </si>
  <si>
    <t>Mesa a la pared para equipos</t>
  </si>
  <si>
    <t>Acondicionador de aire</t>
  </si>
  <si>
    <t xml:space="preserve">Repisas a la pared </t>
  </si>
  <si>
    <t>Extintor para fuego B-C</t>
  </si>
  <si>
    <t>Inversión</t>
  </si>
  <si>
    <t>Licuadora</t>
  </si>
  <si>
    <t>Tablas para picar</t>
  </si>
  <si>
    <t>Cucharetas</t>
  </si>
  <si>
    <t>Cuchillo cebollero</t>
  </si>
  <si>
    <t>Cuchillo deshuesador</t>
  </si>
  <si>
    <t xml:space="preserve">Cuchillo puntilla </t>
  </si>
  <si>
    <t xml:space="preserve">Cuchillo de sierra </t>
  </si>
  <si>
    <t>Cuchillo de cocina</t>
  </si>
  <si>
    <t>Rallador de 4 lados</t>
  </si>
  <si>
    <t>Juego de 3 cernideras</t>
  </si>
  <si>
    <t xml:space="preserve">Rodillo de madera </t>
  </si>
  <si>
    <t>Cuchara espumadera</t>
  </si>
  <si>
    <t>Abrelatas 4.20 2 8.40 5 1.68</t>
  </si>
  <si>
    <t>Pinzas</t>
  </si>
  <si>
    <t xml:space="preserve">Juego de 3 cortadores </t>
  </si>
  <si>
    <t xml:space="preserve">Jarra de plástico </t>
  </si>
  <si>
    <t xml:space="preserve">Recipientes de plástico pequeños </t>
  </si>
  <si>
    <t>Recipientes de plástico medianos</t>
  </si>
  <si>
    <t>Recipientes de plástico grandes</t>
  </si>
  <si>
    <t xml:space="preserve">Recipientes para especias </t>
  </si>
  <si>
    <t xml:space="preserve">Recipientes para harinas y granos </t>
  </si>
  <si>
    <t>Basureros</t>
  </si>
  <si>
    <t xml:space="preserve">Recipientes para polvos </t>
  </si>
  <si>
    <t>Batidora Kitchen Aid</t>
  </si>
  <si>
    <t>Colgador de papel para secar las manos</t>
  </si>
  <si>
    <t xml:space="preserve">Juego de 4 ollas  grandes </t>
  </si>
  <si>
    <t>Juego de 4 Sartenes</t>
  </si>
  <si>
    <t>Charoles</t>
  </si>
  <si>
    <t>Desayunos</t>
  </si>
  <si>
    <t>Costo Aprox.</t>
  </si>
  <si>
    <t>10 porciones</t>
  </si>
  <si>
    <t>1 porciones</t>
  </si>
  <si>
    <t>Ensaladas de frutas</t>
  </si>
  <si>
    <t>Sandwich de jamón con queso</t>
  </si>
  <si>
    <t>Sandwich de pollo</t>
  </si>
  <si>
    <t>Empanadas Chilenas</t>
  </si>
  <si>
    <t>Tortillas de Verdes con queso</t>
  </si>
  <si>
    <t>Total</t>
  </si>
  <si>
    <t>Promedio</t>
  </si>
  <si>
    <t>Bebidas</t>
  </si>
  <si>
    <t>Naranja</t>
  </si>
  <si>
    <t>Limón</t>
  </si>
  <si>
    <t>Melón</t>
  </si>
  <si>
    <t>Sandia</t>
  </si>
  <si>
    <t>Piña</t>
  </si>
  <si>
    <t>Tomatillo</t>
  </si>
  <si>
    <t>Papaya</t>
  </si>
  <si>
    <t>Leche con chocolate</t>
  </si>
  <si>
    <t>Té</t>
  </si>
  <si>
    <t>Café</t>
  </si>
  <si>
    <t>Sopas</t>
  </si>
  <si>
    <t>Locro de papas</t>
  </si>
  <si>
    <t>Crema de brocoli</t>
  </si>
  <si>
    <t>Sopa de pollo</t>
  </si>
  <si>
    <t>Sopa de  carne</t>
  </si>
  <si>
    <t>Chupe de pescado</t>
  </si>
  <si>
    <t>Caldo de bolas</t>
  </si>
  <si>
    <t>Crema de papa con zanahoria</t>
  </si>
  <si>
    <t>Acompañados</t>
  </si>
  <si>
    <t>Arroz con pollo a la plancha y ensalada cesar</t>
  </si>
  <si>
    <t>Arroz con choclo, carne a la milanesa y ensalada rusa</t>
  </si>
  <si>
    <t>Arroz árabe y pollo beirut</t>
  </si>
  <si>
    <t>Seco de pollo y maduro frito</t>
  </si>
  <si>
    <t>Seco de chancho y maduro frito</t>
  </si>
  <si>
    <t>Arroz con puré y suprema de pollo a la plancha</t>
  </si>
  <si>
    <t>Moro de lenteja con pecado frito y ensalada</t>
  </si>
  <si>
    <t xml:space="preserve">Lunch </t>
  </si>
  <si>
    <t>Humitas</t>
  </si>
  <si>
    <t>Hamburguesas</t>
  </si>
  <si>
    <t>Sandwichs</t>
  </si>
  <si>
    <t>Hot Dog</t>
  </si>
  <si>
    <t>Twister de pollo</t>
  </si>
  <si>
    <t>COSTOS NO OPERACIONALES</t>
  </si>
  <si>
    <t>Supuestos de Consumos</t>
  </si>
  <si>
    <t>Precio</t>
  </si>
  <si>
    <t>Mensual</t>
  </si>
  <si>
    <t>Anual</t>
  </si>
  <si>
    <t>Electricidad 470Kw</t>
  </si>
  <si>
    <t>Agua 135 Metros Cúbicos</t>
  </si>
  <si>
    <t>Teléfono</t>
  </si>
  <si>
    <t>Suministros de limpieza</t>
  </si>
  <si>
    <t>Suministros de oficina</t>
  </si>
  <si>
    <t>Proporción mensual</t>
  </si>
  <si>
    <t>Proporción anual</t>
  </si>
  <si>
    <t>Demanda diaria</t>
  </si>
  <si>
    <t>Desayuno</t>
  </si>
  <si>
    <t>Demanda Mensual</t>
  </si>
  <si>
    <t>Almuerzo</t>
  </si>
  <si>
    <t>Demanda anual</t>
  </si>
  <si>
    <t>Lunch</t>
  </si>
  <si>
    <t>VIDA UTIL(AÑOS)</t>
  </si>
  <si>
    <t>DEP. ANUAL</t>
  </si>
  <si>
    <t>DEP.ACUM X LOS 5 AÑOS</t>
  </si>
  <si>
    <t>VALOR EN LIBROS</t>
  </si>
  <si>
    <t>TOT. VALOR DESECHO</t>
  </si>
  <si>
    <t>AÑO 1</t>
  </si>
  <si>
    <t>AÑO 2</t>
  </si>
  <si>
    <t>AÑO 3</t>
  </si>
  <si>
    <t>AÑO 4</t>
  </si>
  <si>
    <t>AÑO 5</t>
  </si>
  <si>
    <t>PRECIOS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</si>
  <si>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</si>
  <si>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</si>
  <si>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</si>
  <si>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</si>
  <si>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</si>
  <si>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</si>
  <si>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</si>
  <si>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</si>
  <si>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</si>
  <si>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</si>
  <si>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</si>
  <si>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</si>
  <si>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DESAYUNO </t>
  </si>
  <si>
    <t>ALMUERZO</t>
  </si>
  <si>
    <t>LUNCH TARDE</t>
  </si>
  <si>
    <t>TOTAL</t>
  </si>
  <si>
    <t>Descripción</t>
  </si>
  <si>
    <t>No. De Empl.</t>
  </si>
  <si>
    <t>Sueldo Unid.</t>
  </si>
  <si>
    <t>13 er sueldo</t>
  </si>
  <si>
    <t>14º sueldo</t>
  </si>
  <si>
    <t>vacaciones</t>
  </si>
  <si>
    <t>Gerente General</t>
  </si>
  <si>
    <t>Jefe de logística</t>
  </si>
  <si>
    <t>Jefe financiero</t>
  </si>
  <si>
    <t>Jefe de producción</t>
  </si>
  <si>
    <t>Abastecimiento</t>
  </si>
  <si>
    <t>Distribuidores</t>
  </si>
  <si>
    <t>Auxiliar contable</t>
  </si>
  <si>
    <t>Ayudantes de cocina</t>
  </si>
  <si>
    <t>Total Sueldo Mensual</t>
  </si>
  <si>
    <t xml:space="preserve"> Inversiones en la Adecuación del local(Guayaquil-Quito)</t>
  </si>
  <si>
    <t xml:space="preserve"> Costos ( en USD)</t>
  </si>
  <si>
    <t>Reparación del Piso de Concreto</t>
  </si>
  <si>
    <t>Pintura de las Paredes</t>
  </si>
  <si>
    <t>Conexiones de Electricidad</t>
  </si>
  <si>
    <t>Reconstrucción de la Oficina</t>
  </si>
  <si>
    <t>Equipo de computo</t>
  </si>
  <si>
    <t>Equipo para oficina</t>
  </si>
  <si>
    <t>Muebles de oficina ( escritorio con 3 sillas)</t>
  </si>
  <si>
    <t>Acondicionador de Aire</t>
  </si>
  <si>
    <t>Costos de Constitución  (en USD)</t>
  </si>
  <si>
    <t>(en USD)</t>
  </si>
  <si>
    <t>Cargos Notariales</t>
  </si>
  <si>
    <t>Patentes</t>
  </si>
  <si>
    <t>Gastos de instalaciòn</t>
  </si>
  <si>
    <t>Contenedores descartables pequeños (ciento)</t>
  </si>
  <si>
    <t>Contenedores descartables (ciento)</t>
  </si>
  <si>
    <t>Cubiertos (ciento)</t>
  </si>
  <si>
    <t>Vasos de plàstico con tapa(ciento)</t>
  </si>
  <si>
    <t>Precio Ciento</t>
  </si>
  <si>
    <t>Precio Unid</t>
  </si>
  <si>
    <t>Vianda 700 cc para sopa</t>
  </si>
  <si>
    <t xml:space="preserve">ENVASES </t>
  </si>
  <si>
    <t>servilletas (paq de 100 unid)</t>
  </si>
  <si>
    <t>Costo de Ingreso</t>
  </si>
  <si>
    <t>Costo Envase</t>
  </si>
  <si>
    <t>0.37+0.13</t>
  </si>
  <si>
    <t>almuerzo</t>
  </si>
  <si>
    <t>Lunch Tarde</t>
  </si>
  <si>
    <t>0.39+0.13</t>
  </si>
  <si>
    <t>0.28+0.62+0.13</t>
  </si>
  <si>
    <t>Proporción diaria</t>
  </si>
  <si>
    <t>Diarios</t>
  </si>
  <si>
    <t>Costo Total al mes</t>
  </si>
  <si>
    <t>INGRESOS</t>
  </si>
  <si>
    <t>GASTOS DE OPERACION  Y ADMINISTRATIVOS</t>
  </si>
  <si>
    <t>GASTOS DE INTERESES</t>
  </si>
  <si>
    <t>(-) 15% part. Trbaja</t>
  </si>
  <si>
    <t>UTILIDAD NETA</t>
  </si>
  <si>
    <t>FLUJO DE CAJA</t>
  </si>
  <si>
    <t>FLUJO ACUMULADO DESCONTADO</t>
  </si>
  <si>
    <t>TIR</t>
  </si>
  <si>
    <t>TMAR</t>
  </si>
  <si>
    <t>INFLACION</t>
  </si>
  <si>
    <t>TASA DE IMPUESTO</t>
  </si>
  <si>
    <t>Alquiler de las plantas (Guayaquil-Quito)</t>
  </si>
  <si>
    <t>Alquiler de la planta (Guayaquil)</t>
  </si>
  <si>
    <t>Alquiler de la planta (Quito)</t>
  </si>
  <si>
    <t>COSTOS NO OPERACIONALES(GUAYAQUIL -QUITO)</t>
  </si>
  <si>
    <t>CANT. (UNID)</t>
  </si>
  <si>
    <t>VIDA UTIL (AÑOS)</t>
  </si>
  <si>
    <t>INVERSION DE IMPLEMENTO DE COCINA(GUAYAQUIL-QUITO)</t>
  </si>
  <si>
    <t>COSTOS OPERACIONALES</t>
  </si>
  <si>
    <t>sueldos y salarios</t>
  </si>
  <si>
    <t>Alquiler de la Planta</t>
  </si>
  <si>
    <t>TOTAL COSTOS OPERACIONAL</t>
  </si>
  <si>
    <t xml:space="preserve">SALDO </t>
  </si>
  <si>
    <t>SALDO ACUMULADO</t>
  </si>
  <si>
    <t>Costo de Venta</t>
  </si>
  <si>
    <t>Costo de Promociòn y Publicidad</t>
  </si>
  <si>
    <t>Degustaciòn de Alimentos</t>
  </si>
  <si>
    <t>COSTO DE PROMOCION Y PUBLICIDAD(Guayaquil-Quito)</t>
  </si>
  <si>
    <t>Capital de trabajo</t>
  </si>
  <si>
    <t>Alquiler de carro para Catering</t>
  </si>
  <si>
    <t>Alquiler del vehiculo</t>
  </si>
  <si>
    <t>Decimo cuarto</t>
  </si>
  <si>
    <t>Vacaciones</t>
  </si>
  <si>
    <t>Aportación Patronal IESS</t>
  </si>
  <si>
    <t>Aportación Personal IESS</t>
  </si>
  <si>
    <t>Depreciación de equipo de oficina</t>
  </si>
  <si>
    <t>PRÉSTAMO</t>
  </si>
  <si>
    <t>INVERSION &amp; CT</t>
  </si>
  <si>
    <t>CAP. PROP</t>
  </si>
  <si>
    <t>CAP. PRESTAMO</t>
  </si>
  <si>
    <t>PAGO</t>
  </si>
  <si>
    <t>NPER</t>
  </si>
  <si>
    <t>TASA ANUAL</t>
  </si>
  <si>
    <t>TASA SEMESTRAL</t>
  </si>
  <si>
    <t>GASTOS FINANCIEROS</t>
  </si>
  <si>
    <t>INTERES</t>
  </si>
  <si>
    <t>AMORTIZ</t>
  </si>
  <si>
    <t>Pagos de Capital</t>
  </si>
  <si>
    <t>Intereses</t>
  </si>
  <si>
    <t>Pago total</t>
  </si>
  <si>
    <t xml:space="preserve">VAN </t>
  </si>
  <si>
    <t>RF</t>
  </si>
  <si>
    <t>RM</t>
  </si>
  <si>
    <t>β</t>
  </si>
  <si>
    <t>RIESGO PAIS</t>
  </si>
  <si>
    <t>PATRIMONIO</t>
  </si>
  <si>
    <t>CAPITAL PROPIO</t>
  </si>
  <si>
    <t>Kd</t>
  </si>
  <si>
    <t>T</t>
  </si>
  <si>
    <t xml:space="preserve">K  </t>
  </si>
  <si>
    <t>Decimo tercero</t>
  </si>
  <si>
    <t>GASTOS NO OPERACIONALES</t>
  </si>
  <si>
    <t>Trabajadores</t>
  </si>
  <si>
    <t>Sueldo Nominal</t>
  </si>
  <si>
    <t>Aportación Personal 9.35%</t>
  </si>
  <si>
    <t>Aportación patronal 11.15%</t>
  </si>
  <si>
    <t xml:space="preserve">Aportaciones al IESS </t>
  </si>
  <si>
    <t>Costo de venta</t>
  </si>
  <si>
    <t>Depreciación de equipo de cocina</t>
  </si>
  <si>
    <t>Depreciación de implemento de cocina</t>
  </si>
  <si>
    <t>UA IMPUESTOS Y PART. TRABAJADORES</t>
  </si>
  <si>
    <t>Impuesto a la renta</t>
  </si>
  <si>
    <t>Depreciación</t>
  </si>
  <si>
    <t>Inversión inicial</t>
  </si>
  <si>
    <t>Valor de salvamento</t>
  </si>
  <si>
    <t>Amortización</t>
  </si>
  <si>
    <t>Préstamo</t>
  </si>
  <si>
    <t>Recuperación capìtal de trabajo</t>
  </si>
  <si>
    <t xml:space="preserve">TOTAL DE SUELDO </t>
  </si>
  <si>
    <t xml:space="preserve"> INVERSIÓN EN EQUIPOS DE OFICINA(GUAYAQUIL-QUITO)</t>
  </si>
  <si>
    <t>DESCRIPCIÓN</t>
  </si>
  <si>
    <t>INVERSION DE MAQUINARIA</t>
  </si>
  <si>
    <t>INVERSION DE IMPLEMENTO DE COCINA</t>
  </si>
  <si>
    <t>COSTOS DE CONSTITUCIÓN(en USD)</t>
  </si>
  <si>
    <t>COSTO DE PROMOCION Y PUBLICIDAD</t>
  </si>
  <si>
    <t>INVERSIÓN INICIAL</t>
  </si>
  <si>
    <t>INVERSIÓN EN EQUIPOS DE OFICINA</t>
  </si>
  <si>
    <t>TOTAL ($)</t>
  </si>
  <si>
    <t>ADECUACIÓN DEL LOCAL (GUAYAQUIL Y QUITO)</t>
  </si>
  <si>
    <t>ADECUACIÓN DEL LOCAL</t>
  </si>
  <si>
    <t>RUTAS TRANSPORTE ECUADOR</t>
  </si>
  <si>
    <t>SALIDA</t>
  </si>
  <si>
    <t>LLEGADA</t>
  </si>
  <si>
    <t>00H30</t>
  </si>
  <si>
    <t>08H30</t>
  </si>
  <si>
    <t>05H00</t>
  </si>
  <si>
    <t>06H00</t>
  </si>
  <si>
    <t>06H35</t>
  </si>
  <si>
    <t>07H30</t>
  </si>
  <si>
    <t>08H50</t>
  </si>
  <si>
    <t>09H45</t>
  </si>
  <si>
    <t>10H45</t>
  </si>
  <si>
    <t>13H00</t>
  </si>
  <si>
    <t>14H00</t>
  </si>
  <si>
    <t>14H35</t>
  </si>
  <si>
    <t>15H30</t>
  </si>
  <si>
    <t>16H50</t>
  </si>
  <si>
    <t>17H45</t>
  </si>
  <si>
    <t>18H45</t>
  </si>
  <si>
    <t>12H00</t>
  </si>
  <si>
    <t>13H30</t>
  </si>
  <si>
    <t>15H10</t>
  </si>
  <si>
    <t>16H10</t>
  </si>
  <si>
    <t>17H30</t>
  </si>
  <si>
    <t>20H00</t>
  </si>
  <si>
    <t>21H00</t>
  </si>
  <si>
    <t>22H00</t>
  </si>
  <si>
    <t>24H10</t>
  </si>
  <si>
    <t>23H10</t>
  </si>
  <si>
    <t>01H30</t>
  </si>
  <si>
    <t>Desayuno y Almuerzo</t>
  </si>
  <si>
    <t>SERVICIO</t>
  </si>
  <si>
    <t>Aporte personal 9.35%</t>
  </si>
  <si>
    <t>Aporte patronal 11.15%</t>
  </si>
  <si>
    <t>ESTADO DE RESULTADO</t>
  </si>
  <si>
    <t>Método periodo de recuperación simple</t>
  </si>
  <si>
    <t>Método periodo de recuperación descontado</t>
  </si>
  <si>
    <t>re</t>
  </si>
  <si>
    <t>Rentabilidad de los accionistas</t>
  </si>
  <si>
    <t>VAN</t>
  </si>
  <si>
    <t>ESCENARIO</t>
  </si>
  <si>
    <t xml:space="preserve"> </t>
  </si>
  <si>
    <t>UTILIDAD OPERACIONAL</t>
  </si>
  <si>
    <t>DEMANDA</t>
  </si>
  <si>
    <t>PAYBACK</t>
  </si>
  <si>
    <t>1% de los Gastos</t>
  </si>
  <si>
    <t>GASTOS</t>
  </si>
  <si>
    <t>1.6%  de los ingresos</t>
  </si>
  <si>
    <t xml:space="preserve">    1% de los ingresos</t>
  </si>
  <si>
    <t>1.62%  de los ingresos</t>
  </si>
  <si>
    <t>1.3%  de los ingresos</t>
  </si>
  <si>
    <t>1.3%  de los gastos</t>
  </si>
  <si>
    <t>1.6%  de los Gastos</t>
  </si>
  <si>
    <t>1.67%  de los Gastos</t>
  </si>
  <si>
    <t>TOTAL DE GASTOS</t>
  </si>
</sst>
</file>

<file path=xl/styles.xml><?xml version="1.0" encoding="utf-8"?>
<styleSheet xmlns="http://schemas.openxmlformats.org/spreadsheetml/2006/main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[$$-300A]\ #,##0.00"/>
    <numFmt numFmtId="167" formatCode="#,##0.00\ _€"/>
    <numFmt numFmtId="168" formatCode="#,##0\ _€"/>
    <numFmt numFmtId="169" formatCode="[$$-300A]\ #,##0.00_ ;\-[$$-300A]\ #,##0.00\ "/>
    <numFmt numFmtId="170" formatCode="_-[$$-300A]\ * #,##0.00_ ;_-[$$-300A]\ * \-#,##0.00\ ;_-[$$-300A]\ * &quot;-&quot;??_ ;_-@_ "/>
    <numFmt numFmtId="171" formatCode="#,##0.00_ ;\-#,##0.00\ "/>
    <numFmt numFmtId="172" formatCode="_-&quot;$&quot;* #,##0.00_-;\-&quot;$&quot;* #,##0.00_-;_-&quot;$&quot;* &quot;-&quot;??_-;_-@_-"/>
    <numFmt numFmtId="173" formatCode="[$$-300A]\ #,##0.00_ ;[Red]\-[$$-300A]\ #,##0.00\ "/>
    <numFmt numFmtId="174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3" fillId="9" borderId="0" applyNumberFormat="0" applyBorder="0" applyAlignment="0" applyProtection="0"/>
    <xf numFmtId="43" fontId="1" fillId="0" borderId="0" applyFont="0" applyFill="0" applyBorder="0" applyAlignment="0" applyProtection="0"/>
  </cellStyleXfs>
  <cellXfs count="595">
    <xf numFmtId="0" fontId="0" fillId="0" borderId="0" xfId="0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3" fillId="5" borderId="1" xfId="0" applyFont="1" applyFill="1" applyBorder="1"/>
    <xf numFmtId="2" fontId="3" fillId="0" borderId="1" xfId="0" applyNumberFormat="1" applyFont="1" applyBorder="1"/>
    <xf numFmtId="2" fontId="5" fillId="4" borderId="1" xfId="0" applyNumberFormat="1" applyFont="1" applyFill="1" applyBorder="1"/>
    <xf numFmtId="0" fontId="0" fillId="0" borderId="0" xfId="0"/>
    <xf numFmtId="0" fontId="0" fillId="0" borderId="0" xfId="0"/>
    <xf numFmtId="2" fontId="5" fillId="0" borderId="0" xfId="0" applyNumberFormat="1" applyFont="1" applyFill="1"/>
    <xf numFmtId="0" fontId="7" fillId="7" borderId="3" xfId="2" applyFont="1" applyFill="1" applyBorder="1" applyAlignment="1">
      <alignment horizontal="justify" vertical="top" wrapText="1"/>
    </xf>
    <xf numFmtId="0" fontId="6" fillId="7" borderId="3" xfId="2" applyFont="1" applyFill="1" applyBorder="1"/>
    <xf numFmtId="0" fontId="6" fillId="5" borderId="3" xfId="2" applyFont="1" applyFill="1" applyBorder="1" applyAlignment="1">
      <alignment horizontal="left"/>
    </xf>
    <xf numFmtId="0" fontId="6" fillId="7" borderId="0" xfId="2" applyFont="1" applyFill="1" applyBorder="1" applyAlignment="1"/>
    <xf numFmtId="166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0" fontId="3" fillId="6" borderId="1" xfId="0" applyFont="1" applyFill="1" applyBorder="1"/>
    <xf numFmtId="167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8" fillId="8" borderId="0" xfId="0" applyFont="1" applyFill="1"/>
    <xf numFmtId="9" fontId="8" fillId="0" borderId="1" xfId="1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/>
    </xf>
    <xf numFmtId="3" fontId="3" fillId="0" borderId="0" xfId="0" applyNumberFormat="1" applyFont="1"/>
    <xf numFmtId="0" fontId="0" fillId="7" borderId="0" xfId="0" applyFill="1" applyBorder="1"/>
    <xf numFmtId="166" fontId="14" fillId="7" borderId="0" xfId="0" applyNumberFormat="1" applyFont="1" applyFill="1"/>
    <xf numFmtId="0" fontId="3" fillId="0" borderId="1" xfId="0" applyFont="1" applyBorder="1" applyAlignment="1">
      <alignment horizontal="center"/>
    </xf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0" fontId="8" fillId="7" borderId="0" xfId="0" applyFont="1" applyFill="1" applyBorder="1" applyAlignment="1"/>
    <xf numFmtId="0" fontId="8" fillId="7" borderId="0" xfId="0" applyNumberFormat="1" applyFont="1" applyFill="1" applyBorder="1" applyAlignment="1">
      <alignment horizontal="center"/>
    </xf>
    <xf numFmtId="0" fontId="0" fillId="7" borderId="0" xfId="0" applyFill="1"/>
    <xf numFmtId="166" fontId="0" fillId="7" borderId="0" xfId="0" applyNumberFormat="1" applyFill="1" applyBorder="1"/>
    <xf numFmtId="166" fontId="21" fillId="7" borderId="0" xfId="0" applyNumberFormat="1" applyFont="1" applyFill="1" applyBorder="1"/>
    <xf numFmtId="166" fontId="23" fillId="7" borderId="0" xfId="0" applyNumberFormat="1" applyFont="1" applyFill="1" applyBorder="1"/>
    <xf numFmtId="166" fontId="22" fillId="7" borderId="0" xfId="0" applyNumberFormat="1" applyFont="1" applyFill="1" applyBorder="1"/>
    <xf numFmtId="166" fontId="20" fillId="7" borderId="0" xfId="0" applyNumberFormat="1" applyFont="1" applyFill="1" applyBorder="1"/>
    <xf numFmtId="166" fontId="0" fillId="7" borderId="0" xfId="0" applyNumberFormat="1" applyFill="1" applyBorder="1" applyAlignment="1">
      <alignment horizontal="center"/>
    </xf>
    <xf numFmtId="9" fontId="0" fillId="7" borderId="0" xfId="0" applyNumberFormat="1" applyFill="1" applyBorder="1"/>
    <xf numFmtId="0" fontId="0" fillId="7" borderId="19" xfId="0" applyFill="1" applyBorder="1"/>
    <xf numFmtId="172" fontId="0" fillId="0" borderId="0" xfId="0" applyNumberFormat="1"/>
    <xf numFmtId="2" fontId="0" fillId="7" borderId="0" xfId="0" applyNumberFormat="1" applyFill="1" applyAlignment="1">
      <alignment horizontal="center"/>
    </xf>
    <xf numFmtId="0" fontId="3" fillId="7" borderId="0" xfId="0" applyFont="1" applyFill="1"/>
    <xf numFmtId="2" fontId="4" fillId="7" borderId="0" xfId="0" applyNumberFormat="1" applyFont="1" applyFill="1" applyBorder="1" applyAlignment="1">
      <alignment horizontal="center"/>
    </xf>
    <xf numFmtId="0" fontId="5" fillId="7" borderId="0" xfId="0" applyFont="1" applyFill="1"/>
    <xf numFmtId="1" fontId="3" fillId="7" borderId="0" xfId="0" applyNumberFormat="1" applyFont="1" applyFill="1"/>
    <xf numFmtId="2" fontId="3" fillId="7" borderId="0" xfId="0" applyNumberFormat="1" applyFont="1" applyFill="1" applyBorder="1" applyAlignment="1"/>
    <xf numFmtId="2" fontId="5" fillId="7" borderId="0" xfId="0" applyNumberFormat="1" applyFont="1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3" fillId="7" borderId="0" xfId="0" applyNumberFormat="1" applyFont="1" applyFill="1"/>
    <xf numFmtId="171" fontId="3" fillId="7" borderId="0" xfId="0" applyNumberFormat="1" applyFont="1" applyFill="1"/>
    <xf numFmtId="167" fontId="3" fillId="7" borderId="6" xfId="0" applyNumberFormat="1" applyFont="1" applyFill="1" applyBorder="1"/>
    <xf numFmtId="167" fontId="3" fillId="7" borderId="6" xfId="0" applyNumberFormat="1" applyFont="1" applyFill="1" applyBorder="1" applyAlignment="1">
      <alignment horizontal="center"/>
    </xf>
    <xf numFmtId="43" fontId="3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166" fontId="3" fillId="7" borderId="0" xfId="0" applyNumberFormat="1" applyFont="1" applyFill="1" applyBorder="1"/>
    <xf numFmtId="166" fontId="6" fillId="7" borderId="0" xfId="0" applyNumberFormat="1" applyFont="1" applyFill="1" applyBorder="1"/>
    <xf numFmtId="0" fontId="3" fillId="7" borderId="0" xfId="0" applyFont="1" applyFill="1" applyBorder="1"/>
    <xf numFmtId="166" fontId="3" fillId="7" borderId="0" xfId="0" applyNumberFormat="1" applyFont="1" applyFill="1" applyBorder="1" applyAlignment="1">
      <alignment horizontal="center"/>
    </xf>
    <xf numFmtId="9" fontId="14" fillId="7" borderId="0" xfId="0" applyNumberFormat="1" applyFont="1" applyFill="1"/>
    <xf numFmtId="10" fontId="3" fillId="7" borderId="0" xfId="1" applyNumberFormat="1" applyFont="1" applyFill="1"/>
    <xf numFmtId="0" fontId="3" fillId="3" borderId="2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0" borderId="23" xfId="0" applyFont="1" applyBorder="1"/>
    <xf numFmtId="0" fontId="3" fillId="0" borderId="33" xfId="0" applyFont="1" applyBorder="1"/>
    <xf numFmtId="0" fontId="3" fillId="0" borderId="24" xfId="0" applyFont="1" applyBorder="1"/>
    <xf numFmtId="0" fontId="3" fillId="0" borderId="23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/>
    <xf numFmtId="2" fontId="3" fillId="0" borderId="23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9" fontId="3" fillId="0" borderId="5" xfId="0" applyNumberFormat="1" applyFont="1" applyBorder="1"/>
    <xf numFmtId="39" fontId="3" fillId="0" borderId="35" xfId="0" applyNumberFormat="1" applyFont="1" applyBorder="1"/>
    <xf numFmtId="39" fontId="3" fillId="0" borderId="33" xfId="0" applyNumberFormat="1" applyFont="1" applyBorder="1"/>
    <xf numFmtId="39" fontId="3" fillId="0" borderId="24" xfId="0" applyNumberFormat="1" applyFont="1" applyBorder="1"/>
    <xf numFmtId="0" fontId="3" fillId="0" borderId="5" xfId="0" applyFont="1" applyBorder="1"/>
    <xf numFmtId="0" fontId="3" fillId="0" borderId="35" xfId="0" applyFont="1" applyBorder="1"/>
    <xf numFmtId="0" fontId="3" fillId="0" borderId="38" xfId="0" applyFont="1" applyBorder="1"/>
    <xf numFmtId="0" fontId="3" fillId="0" borderId="41" xfId="0" applyFont="1" applyBorder="1" applyAlignment="1">
      <alignment horizontal="center"/>
    </xf>
    <xf numFmtId="39" fontId="3" fillId="0" borderId="34" xfId="0" applyNumberFormat="1" applyFont="1" applyBorder="1"/>
    <xf numFmtId="39" fontId="3" fillId="0" borderId="41" xfId="0" applyNumberFormat="1" applyFont="1" applyBorder="1"/>
    <xf numFmtId="0" fontId="3" fillId="3" borderId="42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39" fontId="3" fillId="0" borderId="4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9" fontId="3" fillId="0" borderId="3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9" fontId="3" fillId="0" borderId="24" xfId="0" applyNumberFormat="1" applyFont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1" fontId="3" fillId="0" borderId="5" xfId="0" applyNumberFormat="1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6" fillId="5" borderId="23" xfId="7" applyFont="1" applyFill="1" applyBorder="1" applyAlignment="1">
      <alignment horizontal="left"/>
    </xf>
    <xf numFmtId="0" fontId="7" fillId="7" borderId="33" xfId="7" applyFont="1" applyFill="1" applyBorder="1"/>
    <xf numFmtId="0" fontId="7" fillId="7" borderId="33" xfId="7" applyFont="1" applyFill="1" applyBorder="1" applyAlignment="1">
      <alignment wrapText="1"/>
    </xf>
    <xf numFmtId="0" fontId="7" fillId="7" borderId="46" xfId="7" applyFont="1" applyFill="1" applyBorder="1" applyAlignment="1">
      <alignment vertical="center" wrapText="1"/>
    </xf>
    <xf numFmtId="0" fontId="6" fillId="5" borderId="23" xfId="7" applyFont="1" applyFill="1" applyBorder="1" applyAlignment="1">
      <alignment horizontal="center"/>
    </xf>
    <xf numFmtId="4" fontId="7" fillId="7" borderId="33" xfId="7" applyNumberFormat="1" applyFont="1" applyFill="1" applyBorder="1" applyAlignment="1">
      <alignment horizontal="right"/>
    </xf>
    <xf numFmtId="4" fontId="7" fillId="7" borderId="46" xfId="7" applyNumberFormat="1" applyFont="1" applyFill="1" applyBorder="1" applyAlignment="1">
      <alignment vertical="center"/>
    </xf>
    <xf numFmtId="0" fontId="6" fillId="7" borderId="20" xfId="7" applyFont="1" applyFill="1" applyBorder="1"/>
    <xf numFmtId="170" fontId="6" fillId="4" borderId="20" xfId="5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0" borderId="0" xfId="4" applyFont="1" applyFill="1" applyBorder="1" applyAlignment="1"/>
    <xf numFmtId="166" fontId="21" fillId="7" borderId="34" xfId="0" applyNumberFormat="1" applyFont="1" applyFill="1" applyBorder="1"/>
    <xf numFmtId="166" fontId="0" fillId="7" borderId="34" xfId="0" applyNumberFormat="1" applyFill="1" applyBorder="1"/>
    <xf numFmtId="0" fontId="6" fillId="0" borderId="0" xfId="7" applyFont="1" applyFill="1" applyBorder="1" applyAlignment="1"/>
    <xf numFmtId="169" fontId="28" fillId="7" borderId="33" xfId="2" applyNumberFormat="1" applyFont="1" applyFill="1" applyBorder="1"/>
    <xf numFmtId="169" fontId="28" fillId="7" borderId="41" xfId="2" applyNumberFormat="1" applyFont="1" applyFill="1" applyBorder="1"/>
    <xf numFmtId="0" fontId="27" fillId="7" borderId="20" xfId="2" applyFont="1" applyFill="1" applyBorder="1" applyAlignment="1">
      <alignment horizontal="center"/>
    </xf>
    <xf numFmtId="169" fontId="28" fillId="7" borderId="46" xfId="2" applyNumberFormat="1" applyFont="1" applyFill="1" applyBorder="1"/>
    <xf numFmtId="169" fontId="27" fillId="7" borderId="20" xfId="2" applyNumberFormat="1" applyFont="1" applyFill="1" applyBorder="1"/>
    <xf numFmtId="0" fontId="3" fillId="7" borderId="48" xfId="0" applyFont="1" applyFill="1" applyBorder="1" applyAlignment="1"/>
    <xf numFmtId="0" fontId="3" fillId="7" borderId="47" xfId="0" applyFont="1" applyFill="1" applyBorder="1" applyAlignment="1"/>
    <xf numFmtId="0" fontId="7" fillId="7" borderId="48" xfId="4" applyFont="1" applyFill="1" applyBorder="1" applyAlignment="1"/>
    <xf numFmtId="0" fontId="7" fillId="7" borderId="48" xfId="7" applyFont="1" applyFill="1" applyBorder="1" applyAlignment="1"/>
    <xf numFmtId="2" fontId="3" fillId="7" borderId="50" xfId="0" applyNumberFormat="1" applyFont="1" applyFill="1" applyBorder="1"/>
    <xf numFmtId="2" fontId="3" fillId="7" borderId="51" xfId="0" applyNumberFormat="1" applyFont="1" applyFill="1" applyBorder="1"/>
    <xf numFmtId="2" fontId="3" fillId="7" borderId="51" xfId="0" applyNumberFormat="1" applyFont="1" applyFill="1" applyBorder="1" applyAlignment="1"/>
    <xf numFmtId="0" fontId="5" fillId="7" borderId="42" xfId="0" applyFont="1" applyFill="1" applyBorder="1" applyAlignment="1"/>
    <xf numFmtId="2" fontId="5" fillId="5" borderId="20" xfId="0" applyNumberFormat="1" applyFont="1" applyFill="1" applyBorder="1" applyAlignment="1"/>
    <xf numFmtId="9" fontId="6" fillId="6" borderId="20" xfId="1" applyFont="1" applyFill="1" applyBorder="1"/>
    <xf numFmtId="0" fontId="3" fillId="5" borderId="41" xfId="0" applyFont="1" applyFill="1" applyBorder="1"/>
    <xf numFmtId="0" fontId="3" fillId="5" borderId="33" xfId="0" applyFont="1" applyFill="1" applyBorder="1"/>
    <xf numFmtId="0" fontId="3" fillId="5" borderId="24" xfId="0" applyFont="1" applyFill="1" applyBorder="1"/>
    <xf numFmtId="0" fontId="3" fillId="6" borderId="31" xfId="0" applyFont="1" applyFill="1" applyBorder="1" applyAlignment="1">
      <alignment horizontal="center"/>
    </xf>
    <xf numFmtId="167" fontId="3" fillId="0" borderId="34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167" fontId="3" fillId="0" borderId="33" xfId="0" applyNumberFormat="1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167" fontId="3" fillId="0" borderId="35" xfId="0" applyNumberFormat="1" applyFon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4" borderId="20" xfId="0" applyNumberFormat="1" applyFill="1" applyBorder="1" applyAlignment="1">
      <alignment horizontal="center"/>
    </xf>
    <xf numFmtId="166" fontId="0" fillId="4" borderId="31" xfId="0" applyNumberFormat="1" applyFill="1" applyBorder="1" applyAlignment="1">
      <alignment horizontal="center"/>
    </xf>
    <xf numFmtId="166" fontId="0" fillId="4" borderId="32" xfId="0" applyNumberFormat="1" applyFill="1" applyBorder="1" applyAlignment="1">
      <alignment horizontal="center"/>
    </xf>
    <xf numFmtId="0" fontId="3" fillId="5" borderId="23" xfId="0" applyFont="1" applyFill="1" applyBorder="1"/>
    <xf numFmtId="0" fontId="3" fillId="5" borderId="46" xfId="0" applyFont="1" applyFill="1" applyBorder="1"/>
    <xf numFmtId="0" fontId="3" fillId="4" borderId="20" xfId="0" applyFont="1" applyFill="1" applyBorder="1"/>
    <xf numFmtId="0" fontId="3" fillId="0" borderId="33" xfId="0" applyFont="1" applyFill="1" applyBorder="1"/>
    <xf numFmtId="0" fontId="3" fillId="0" borderId="24" xfId="0" applyFont="1" applyFill="1" applyBorder="1"/>
    <xf numFmtId="0" fontId="3" fillId="0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1" xfId="0" applyFont="1" applyFill="1" applyBorder="1"/>
    <xf numFmtId="0" fontId="3" fillId="0" borderId="4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7" borderId="0" xfId="4" applyFont="1" applyFill="1" applyBorder="1" applyAlignment="1"/>
    <xf numFmtId="10" fontId="3" fillId="0" borderId="23" xfId="1" applyNumberFormat="1" applyFont="1" applyBorder="1"/>
    <xf numFmtId="10" fontId="3" fillId="0" borderId="33" xfId="1" applyNumberFormat="1" applyFont="1" applyBorder="1"/>
    <xf numFmtId="10" fontId="3" fillId="0" borderId="24" xfId="1" applyNumberFormat="1" applyFont="1" applyBorder="1"/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1" fontId="5" fillId="4" borderId="44" xfId="0" applyNumberFormat="1" applyFont="1" applyFill="1" applyBorder="1"/>
    <xf numFmtId="0" fontId="3" fillId="0" borderId="45" xfId="0" applyFont="1" applyBorder="1"/>
    <xf numFmtId="1" fontId="5" fillId="4" borderId="39" xfId="0" applyNumberFormat="1" applyFont="1" applyFill="1" applyBorder="1"/>
    <xf numFmtId="1" fontId="5" fillId="4" borderId="40" xfId="0" applyNumberFormat="1" applyFont="1" applyFill="1" applyBorder="1"/>
    <xf numFmtId="166" fontId="5" fillId="0" borderId="32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0" fontId="5" fillId="5" borderId="29" xfId="0" applyFont="1" applyFill="1" applyBorder="1"/>
    <xf numFmtId="0" fontId="5" fillId="5" borderId="30" xfId="0" applyFont="1" applyFill="1" applyBorder="1"/>
    <xf numFmtId="0" fontId="5" fillId="5" borderId="54" xfId="0" applyFont="1" applyFill="1" applyBorder="1"/>
    <xf numFmtId="0" fontId="5" fillId="5" borderId="20" xfId="0" applyFont="1" applyFill="1" applyBorder="1"/>
    <xf numFmtId="0" fontId="3" fillId="0" borderId="41" xfId="0" applyFont="1" applyBorder="1"/>
    <xf numFmtId="0" fontId="3" fillId="0" borderId="46" xfId="0" applyFont="1" applyBorder="1"/>
    <xf numFmtId="0" fontId="5" fillId="0" borderId="20" xfId="0" applyFont="1" applyBorder="1"/>
    <xf numFmtId="0" fontId="3" fillId="0" borderId="34" xfId="0" applyFont="1" applyBorder="1"/>
    <xf numFmtId="2" fontId="3" fillId="0" borderId="23" xfId="0" applyNumberFormat="1" applyFont="1" applyBorder="1"/>
    <xf numFmtId="2" fontId="3" fillId="0" borderId="33" xfId="0" applyNumberFormat="1" applyFont="1" applyBorder="1"/>
    <xf numFmtId="2" fontId="5" fillId="4" borderId="24" xfId="0" applyNumberFormat="1" applyFont="1" applyFill="1" applyBorder="1"/>
    <xf numFmtId="2" fontId="3" fillId="0" borderId="46" xfId="0" applyNumberFormat="1" applyFont="1" applyBorder="1"/>
    <xf numFmtId="2" fontId="5" fillId="4" borderId="20" xfId="0" applyNumberFormat="1" applyFont="1" applyFill="1" applyBorder="1"/>
    <xf numFmtId="166" fontId="3" fillId="0" borderId="23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0" fontId="5" fillId="5" borderId="54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5" fillId="5" borderId="20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168" fontId="3" fillId="0" borderId="23" xfId="0" applyNumberFormat="1" applyFont="1" applyBorder="1" applyAlignment="1">
      <alignment horizontal="center"/>
    </xf>
    <xf numFmtId="168" fontId="3" fillId="0" borderId="3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166" fontId="6" fillId="4" borderId="20" xfId="0" applyNumberFormat="1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6" fontId="3" fillId="0" borderId="61" xfId="0" applyNumberFormat="1" applyFont="1" applyBorder="1" applyAlignment="1">
      <alignment horizontal="center"/>
    </xf>
    <xf numFmtId="166" fontId="3" fillId="0" borderId="60" xfId="0" applyNumberFormat="1" applyFont="1" applyBorder="1" applyAlignment="1">
      <alignment horizontal="center"/>
    </xf>
    <xf numFmtId="166" fontId="3" fillId="5" borderId="41" xfId="0" applyNumberFormat="1" applyFont="1" applyFill="1" applyBorder="1" applyAlignment="1"/>
    <xf numFmtId="166" fontId="3" fillId="5" borderId="33" xfId="0" applyNumberFormat="1" applyFont="1" applyFill="1" applyBorder="1" applyAlignment="1"/>
    <xf numFmtId="166" fontId="3" fillId="5" borderId="24" xfId="0" applyNumberFormat="1" applyFont="1" applyFill="1" applyBorder="1" applyAlignment="1"/>
    <xf numFmtId="166" fontId="5" fillId="4" borderId="20" xfId="0" applyNumberFormat="1" applyFont="1" applyFill="1" applyBorder="1"/>
    <xf numFmtId="166" fontId="5" fillId="4" borderId="31" xfId="0" applyNumberFormat="1" applyFont="1" applyFill="1" applyBorder="1"/>
    <xf numFmtId="0" fontId="3" fillId="5" borderId="60" xfId="0" applyFont="1" applyFill="1" applyBorder="1"/>
    <xf numFmtId="0" fontId="3" fillId="5" borderId="20" xfId="0" applyFont="1" applyFill="1" applyBorder="1"/>
    <xf numFmtId="0" fontId="3" fillId="5" borderId="61" xfId="0" applyFont="1" applyFill="1" applyBorder="1"/>
    <xf numFmtId="0" fontId="3" fillId="0" borderId="12" xfId="0" applyFont="1" applyBorder="1"/>
    <xf numFmtId="2" fontId="3" fillId="0" borderId="13" xfId="0" applyNumberFormat="1" applyFont="1" applyBorder="1"/>
    <xf numFmtId="0" fontId="3" fillId="0" borderId="14" xfId="0" applyFont="1" applyBorder="1"/>
    <xf numFmtId="2" fontId="3" fillId="0" borderId="15" xfId="0" applyNumberFormat="1" applyFont="1" applyBorder="1"/>
    <xf numFmtId="0" fontId="3" fillId="0" borderId="16" xfId="0" applyFont="1" applyBorder="1"/>
    <xf numFmtId="2" fontId="3" fillId="0" borderId="18" xfId="0" applyNumberFormat="1" applyFont="1" applyBorder="1"/>
    <xf numFmtId="2" fontId="3" fillId="0" borderId="41" xfId="0" applyNumberFormat="1" applyFont="1" applyBorder="1"/>
    <xf numFmtId="0" fontId="3" fillId="0" borderId="63" xfId="0" applyFont="1" applyBorder="1"/>
    <xf numFmtId="0" fontId="3" fillId="5" borderId="50" xfId="0" applyFont="1" applyFill="1" applyBorder="1"/>
    <xf numFmtId="2" fontId="0" fillId="0" borderId="0" xfId="0" applyNumberFormat="1"/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4" borderId="41" xfId="0" applyFill="1" applyBorder="1"/>
    <xf numFmtId="0" fontId="0" fillId="4" borderId="33" xfId="0" applyFont="1" applyFill="1" applyBorder="1"/>
    <xf numFmtId="0" fontId="0" fillId="4" borderId="33" xfId="0" applyFill="1" applyBorder="1"/>
    <xf numFmtId="0" fontId="0" fillId="4" borderId="46" xfId="0" applyFill="1" applyBorder="1"/>
    <xf numFmtId="0" fontId="0" fillId="4" borderId="20" xfId="0" applyFill="1" applyBorder="1"/>
    <xf numFmtId="0" fontId="0" fillId="4" borderId="50" xfId="0" applyFill="1" applyBorder="1"/>
    <xf numFmtId="2" fontId="0" fillId="0" borderId="3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62" xfId="0" applyNumberFormat="1" applyBorder="1"/>
    <xf numFmtId="2" fontId="0" fillId="6" borderId="31" xfId="0" applyNumberFormat="1" applyFill="1" applyBorder="1"/>
    <xf numFmtId="2" fontId="0" fillId="0" borderId="23" xfId="0" applyNumberFormat="1" applyBorder="1"/>
    <xf numFmtId="2" fontId="0" fillId="0" borderId="33" xfId="0" applyNumberFormat="1" applyBorder="1"/>
    <xf numFmtId="2" fontId="0" fillId="0" borderId="46" xfId="0" applyNumberFormat="1" applyBorder="1"/>
    <xf numFmtId="2" fontId="0" fillId="0" borderId="50" xfId="0" applyNumberFormat="1" applyBorder="1"/>
    <xf numFmtId="2" fontId="0" fillId="0" borderId="20" xfId="0" applyNumberFormat="1" applyBorder="1"/>
    <xf numFmtId="2" fontId="0" fillId="0" borderId="31" xfId="0" applyNumberFormat="1" applyBorder="1"/>
    <xf numFmtId="0" fontId="3" fillId="5" borderId="53" xfId="0" applyFont="1" applyFill="1" applyBorder="1" applyAlignment="1">
      <alignment horizontal="center"/>
    </xf>
    <xf numFmtId="2" fontId="0" fillId="0" borderId="41" xfId="0" applyNumberFormat="1" applyBorder="1"/>
    <xf numFmtId="0" fontId="3" fillId="5" borderId="31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7" fillId="6" borderId="31" xfId="0" applyFont="1" applyFill="1" applyBorder="1" applyAlignment="1">
      <alignment horizontal="center"/>
    </xf>
    <xf numFmtId="0" fontId="7" fillId="0" borderId="41" xfId="0" applyFont="1" applyBorder="1"/>
    <xf numFmtId="0" fontId="7" fillId="0" borderId="34" xfId="0" applyFont="1" applyBorder="1"/>
    <xf numFmtId="165" fontId="7" fillId="0" borderId="41" xfId="9" applyNumberFormat="1" applyFont="1" applyBorder="1"/>
    <xf numFmtId="0" fontId="7" fillId="0" borderId="33" xfId="0" applyFont="1" applyBorder="1"/>
    <xf numFmtId="164" fontId="7" fillId="0" borderId="5" xfId="0" applyNumberFormat="1" applyFont="1" applyBorder="1"/>
    <xf numFmtId="172" fontId="7" fillId="0" borderId="33" xfId="0" applyNumberFormat="1" applyFont="1" applyBorder="1"/>
    <xf numFmtId="164" fontId="7" fillId="0" borderId="33" xfId="0" applyNumberFormat="1" applyFont="1" applyBorder="1"/>
    <xf numFmtId="0" fontId="7" fillId="0" borderId="24" xfId="0" applyFont="1" applyBorder="1"/>
    <xf numFmtId="164" fontId="7" fillId="0" borderId="35" xfId="0" applyNumberFormat="1" applyFont="1" applyBorder="1"/>
    <xf numFmtId="172" fontId="7" fillId="0" borderId="24" xfId="0" applyNumberFormat="1" applyFont="1" applyBorder="1"/>
    <xf numFmtId="164" fontId="7" fillId="0" borderId="24" xfId="0" applyNumberFormat="1" applyFont="1" applyBorder="1"/>
    <xf numFmtId="0" fontId="7" fillId="7" borderId="0" xfId="0" applyFont="1" applyFill="1" applyBorder="1"/>
    <xf numFmtId="164" fontId="7" fillId="7" borderId="0" xfId="0" applyNumberFormat="1" applyFont="1" applyFill="1" applyBorder="1"/>
    <xf numFmtId="172" fontId="7" fillId="7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72" fontId="7" fillId="0" borderId="0" xfId="0" applyNumberFormat="1" applyFont="1" applyBorder="1"/>
    <xf numFmtId="0" fontId="3" fillId="7" borderId="50" xfId="0" applyFont="1" applyFill="1" applyBorder="1"/>
    <xf numFmtId="0" fontId="3" fillId="7" borderId="51" xfId="0" applyFont="1" applyFill="1" applyBorder="1"/>
    <xf numFmtId="0" fontId="3" fillId="7" borderId="61" xfId="0" applyFont="1" applyFill="1" applyBorder="1"/>
    <xf numFmtId="0" fontId="3" fillId="6" borderId="20" xfId="0" applyNumberFormat="1" applyFont="1" applyFill="1" applyBorder="1" applyAlignment="1">
      <alignment horizontal="center"/>
    </xf>
    <xf numFmtId="0" fontId="3" fillId="6" borderId="32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72" fontId="7" fillId="0" borderId="35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172" fontId="7" fillId="0" borderId="24" xfId="0" applyNumberFormat="1" applyFont="1" applyBorder="1" applyAlignment="1">
      <alignment horizontal="right"/>
    </xf>
    <xf numFmtId="0" fontId="29" fillId="10" borderId="0" xfId="10" applyFont="1" applyFill="1" applyBorder="1"/>
    <xf numFmtId="166" fontId="29" fillId="10" borderId="0" xfId="10" applyNumberFormat="1" applyFont="1" applyFill="1" applyBorder="1"/>
    <xf numFmtId="172" fontId="3" fillId="7" borderId="0" xfId="0" applyNumberFormat="1" applyFont="1" applyFill="1"/>
    <xf numFmtId="0" fontId="8" fillId="7" borderId="48" xfId="0" applyFont="1" applyFill="1" applyBorder="1" applyAlignment="1"/>
    <xf numFmtId="0" fontId="0" fillId="7" borderId="49" xfId="0" applyFill="1" applyBorder="1"/>
    <xf numFmtId="0" fontId="0" fillId="7" borderId="60" xfId="0" applyFill="1" applyBorder="1"/>
    <xf numFmtId="0" fontId="25" fillId="7" borderId="42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166" fontId="0" fillId="7" borderId="51" xfId="0" applyNumberFormat="1" applyFill="1" applyBorder="1"/>
    <xf numFmtId="166" fontId="21" fillId="7" borderId="51" xfId="0" applyNumberFormat="1" applyFont="1" applyFill="1" applyBorder="1"/>
    <xf numFmtId="166" fontId="23" fillId="7" borderId="51" xfId="0" applyNumberFormat="1" applyFont="1" applyFill="1" applyBorder="1"/>
    <xf numFmtId="166" fontId="21" fillId="7" borderId="41" xfId="0" applyNumberFormat="1" applyFont="1" applyFill="1" applyBorder="1"/>
    <xf numFmtId="166" fontId="22" fillId="7" borderId="51" xfId="0" applyNumberFormat="1" applyFont="1" applyFill="1" applyBorder="1"/>
    <xf numFmtId="166" fontId="0" fillId="7" borderId="41" xfId="0" applyNumberFormat="1" applyFill="1" applyBorder="1"/>
    <xf numFmtId="166" fontId="20" fillId="7" borderId="51" xfId="0" applyNumberFormat="1" applyFont="1" applyFill="1" applyBorder="1"/>
    <xf numFmtId="0" fontId="0" fillId="7" borderId="51" xfId="0" applyFill="1" applyBorder="1"/>
    <xf numFmtId="166" fontId="0" fillId="7" borderId="61" xfId="0" applyNumberFormat="1" applyFill="1" applyBorder="1"/>
    <xf numFmtId="166" fontId="0" fillId="7" borderId="42" xfId="0" applyNumberFormat="1" applyFill="1" applyBorder="1" applyAlignment="1">
      <alignment horizontal="center"/>
    </xf>
    <xf numFmtId="166" fontId="0" fillId="7" borderId="20" xfId="0" applyNumberFormat="1" applyFill="1" applyBorder="1"/>
    <xf numFmtId="166" fontId="0" fillId="7" borderId="31" xfId="0" applyNumberFormat="1" applyFill="1" applyBorder="1"/>
    <xf numFmtId="2" fontId="0" fillId="7" borderId="50" xfId="0" applyNumberFormat="1" applyFill="1" applyBorder="1" applyAlignment="1"/>
    <xf numFmtId="2" fontId="0" fillId="7" borderId="51" xfId="0" applyNumberFormat="1" applyFill="1" applyBorder="1" applyAlignment="1"/>
    <xf numFmtId="2" fontId="0" fillId="7" borderId="51" xfId="0" applyNumberFormat="1" applyFill="1" applyBorder="1" applyAlignment="1">
      <alignment horizontal="center"/>
    </xf>
    <xf numFmtId="0" fontId="0" fillId="7" borderId="51" xfId="0" applyFill="1" applyBorder="1" applyAlignment="1"/>
    <xf numFmtId="0" fontId="0" fillId="7" borderId="51" xfId="0" applyFill="1" applyBorder="1" applyAlignment="1">
      <alignment horizontal="center"/>
    </xf>
    <xf numFmtId="2" fontId="8" fillId="7" borderId="51" xfId="0" applyNumberFormat="1" applyFont="1" applyFill="1" applyBorder="1" applyAlignment="1"/>
    <xf numFmtId="2" fontId="9" fillId="7" borderId="51" xfId="0" applyNumberFormat="1" applyFont="1" applyFill="1" applyBorder="1" applyAlignment="1"/>
    <xf numFmtId="166" fontId="21" fillId="7" borderId="51" xfId="0" applyNumberFormat="1" applyFont="1" applyFill="1" applyBorder="1" applyAlignment="1">
      <alignment horizontal="center"/>
    </xf>
    <xf numFmtId="166" fontId="0" fillId="7" borderId="51" xfId="0" applyNumberFormat="1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173" fontId="22" fillId="5" borderId="11" xfId="0" applyNumberFormat="1" applyFont="1" applyFill="1" applyBorder="1"/>
    <xf numFmtId="9" fontId="22" fillId="5" borderId="17" xfId="0" applyNumberFormat="1" applyFont="1" applyFill="1" applyBorder="1"/>
    <xf numFmtId="0" fontId="8" fillId="7" borderId="0" xfId="0" applyFont="1" applyFill="1" applyBorder="1" applyAlignment="1">
      <alignment horizontal="center"/>
    </xf>
    <xf numFmtId="9" fontId="15" fillId="7" borderId="0" xfId="0" applyNumberFormat="1" applyFont="1" applyFill="1" applyBorder="1" applyAlignment="1">
      <alignment horizontal="center"/>
    </xf>
    <xf numFmtId="0" fontId="8" fillId="7" borderId="0" xfId="0" applyFont="1" applyFill="1"/>
    <xf numFmtId="0" fontId="8" fillId="0" borderId="0" xfId="0" applyFont="1" applyFill="1" applyBorder="1" applyAlignment="1"/>
    <xf numFmtId="9" fontId="8" fillId="0" borderId="0" xfId="1" applyFont="1" applyFill="1" applyBorder="1" applyAlignment="1">
      <alignment horizontal="center"/>
    </xf>
    <xf numFmtId="9" fontId="8" fillId="7" borderId="0" xfId="1" applyFont="1" applyFill="1" applyBorder="1" applyAlignment="1">
      <alignment horizontal="center"/>
    </xf>
    <xf numFmtId="166" fontId="0" fillId="7" borderId="0" xfId="0" applyNumberFormat="1" applyFill="1"/>
    <xf numFmtId="166" fontId="22" fillId="7" borderId="42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/>
    <xf numFmtId="166" fontId="22" fillId="7" borderId="31" xfId="0" applyNumberFormat="1" applyFont="1" applyFill="1" applyBorder="1"/>
    <xf numFmtId="166" fontId="0" fillId="7" borderId="50" xfId="0" applyNumberFormat="1" applyFill="1" applyBorder="1"/>
    <xf numFmtId="0" fontId="0" fillId="7" borderId="61" xfId="0" applyFill="1" applyBorder="1"/>
    <xf numFmtId="0" fontId="0" fillId="0" borderId="51" xfId="0" applyBorder="1"/>
    <xf numFmtId="0" fontId="25" fillId="7" borderId="43" xfId="0" applyFont="1" applyFill="1" applyBorder="1" applyAlignment="1">
      <alignment horizontal="center"/>
    </xf>
    <xf numFmtId="0" fontId="25" fillId="7" borderId="61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0" fontId="25" fillId="7" borderId="60" xfId="0" applyFont="1" applyFill="1" applyBorder="1" applyAlignment="1">
      <alignment horizontal="center"/>
    </xf>
    <xf numFmtId="2" fontId="8" fillId="7" borderId="20" xfId="0" applyNumberFormat="1" applyFont="1" applyFill="1" applyBorder="1" applyAlignment="1"/>
    <xf numFmtId="10" fontId="3" fillId="0" borderId="23" xfId="0" applyNumberFormat="1" applyFont="1" applyBorder="1"/>
    <xf numFmtId="9" fontId="3" fillId="0" borderId="33" xfId="0" applyNumberFormat="1" applyFont="1" applyBorder="1"/>
    <xf numFmtId="10" fontId="3" fillId="0" borderId="24" xfId="0" applyNumberFormat="1" applyFont="1" applyBorder="1"/>
    <xf numFmtId="0" fontId="3" fillId="5" borderId="43" xfId="0" applyFont="1" applyFill="1" applyBorder="1"/>
    <xf numFmtId="10" fontId="3" fillId="5" borderId="60" xfId="0" applyNumberFormat="1" applyFont="1" applyFill="1" applyBorder="1"/>
    <xf numFmtId="166" fontId="3" fillId="0" borderId="21" xfId="0" applyNumberFormat="1" applyFont="1" applyBorder="1"/>
    <xf numFmtId="166" fontId="3" fillId="0" borderId="37" xfId="0" applyNumberFormat="1" applyFont="1" applyBorder="1"/>
    <xf numFmtId="9" fontId="3" fillId="0" borderId="37" xfId="0" applyNumberFormat="1" applyFont="1" applyBorder="1"/>
    <xf numFmtId="9" fontId="3" fillId="0" borderId="52" xfId="0" applyNumberFormat="1" applyFont="1" applyBorder="1"/>
    <xf numFmtId="10" fontId="3" fillId="5" borderId="32" xfId="1" applyNumberFormat="1" applyFont="1" applyFill="1" applyBorder="1"/>
    <xf numFmtId="167" fontId="3" fillId="7" borderId="0" xfId="0" applyNumberFormat="1" applyFont="1" applyFill="1"/>
    <xf numFmtId="166" fontId="0" fillId="0" borderId="0" xfId="0" applyNumberFormat="1"/>
    <xf numFmtId="0" fontId="0" fillId="7" borderId="0" xfId="0" applyFill="1" applyAlignment="1">
      <alignment horizontal="center"/>
    </xf>
    <xf numFmtId="166" fontId="21" fillId="7" borderId="48" xfId="0" applyNumberFormat="1" applyFont="1" applyFill="1" applyBorder="1"/>
    <xf numFmtId="166" fontId="21" fillId="7" borderId="61" xfId="0" applyNumberFormat="1" applyFont="1" applyFill="1" applyBorder="1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43" fontId="8" fillId="0" borderId="0" xfId="11" applyFont="1" applyFill="1" applyBorder="1" applyAlignment="1">
      <alignment horizontal="center"/>
    </xf>
    <xf numFmtId="0" fontId="0" fillId="7" borderId="0" xfId="0" applyFont="1" applyFill="1"/>
    <xf numFmtId="0" fontId="33" fillId="7" borderId="0" xfId="0" applyFont="1" applyFill="1" applyBorder="1" applyAlignment="1">
      <alignment horizontal="center"/>
    </xf>
    <xf numFmtId="0" fontId="33" fillId="7" borderId="0" xfId="0" applyFont="1" applyFill="1"/>
    <xf numFmtId="43" fontId="33" fillId="7" borderId="0" xfId="1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2" fontId="0" fillId="7" borderId="61" xfId="0" applyNumberFormat="1" applyFill="1" applyBorder="1" applyAlignment="1"/>
    <xf numFmtId="166" fontId="0" fillId="7" borderId="64" xfId="0" applyNumberFormat="1" applyFill="1" applyBorder="1"/>
    <xf numFmtId="166" fontId="0" fillId="7" borderId="62" xfId="0" applyNumberFormat="1" applyFill="1" applyBorder="1"/>
    <xf numFmtId="0" fontId="8" fillId="7" borderId="47" xfId="0" applyFont="1" applyFill="1" applyBorder="1" applyAlignment="1"/>
    <xf numFmtId="0" fontId="8" fillId="7" borderId="64" xfId="0" applyNumberFormat="1" applyFont="1" applyFill="1" applyBorder="1" applyAlignment="1">
      <alignment horizontal="center"/>
    </xf>
    <xf numFmtId="0" fontId="5" fillId="2" borderId="31" xfId="0" applyFont="1" applyFill="1" applyBorder="1" applyAlignment="1"/>
    <xf numFmtId="0" fontId="5" fillId="2" borderId="32" xfId="0" applyFont="1" applyFill="1" applyBorder="1" applyAlignment="1"/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166" fontId="6" fillId="7" borderId="0" xfId="0" applyNumberFormat="1" applyFont="1" applyFill="1" applyBorder="1" applyAlignment="1">
      <alignment horizontal="center"/>
    </xf>
    <xf numFmtId="0" fontId="30" fillId="7" borderId="0" xfId="0" applyFont="1" applyFill="1" applyBorder="1"/>
    <xf numFmtId="165" fontId="31" fillId="7" borderId="0" xfId="0" applyNumberFormat="1" applyFont="1" applyFill="1" applyBorder="1"/>
    <xf numFmtId="0" fontId="30" fillId="11" borderId="0" xfId="10" applyFont="1" applyFill="1" applyBorder="1"/>
    <xf numFmtId="165" fontId="15" fillId="11" borderId="0" xfId="10" applyNumberFormat="1" applyFont="1" applyFill="1" applyBorder="1"/>
    <xf numFmtId="0" fontId="16" fillId="6" borderId="47" xfId="0" applyFont="1" applyFill="1" applyBorder="1"/>
    <xf numFmtId="0" fontId="17" fillId="6" borderId="64" xfId="0" applyFont="1" applyFill="1" applyBorder="1"/>
    <xf numFmtId="0" fontId="17" fillId="0" borderId="48" xfId="0" applyFont="1" applyFill="1" applyBorder="1"/>
    <xf numFmtId="0" fontId="17" fillId="0" borderId="49" xfId="0" applyFont="1" applyFill="1" applyBorder="1"/>
    <xf numFmtId="0" fontId="18" fillId="4" borderId="48" xfId="0" applyFont="1" applyFill="1" applyBorder="1"/>
    <xf numFmtId="166" fontId="19" fillId="4" borderId="49" xfId="0" applyNumberFormat="1" applyFont="1" applyFill="1" applyBorder="1"/>
    <xf numFmtId="0" fontId="18" fillId="0" borderId="48" xfId="0" applyFont="1" applyFill="1" applyBorder="1"/>
    <xf numFmtId="166" fontId="19" fillId="0" borderId="49" xfId="0" applyNumberFormat="1" applyFont="1" applyFill="1" applyBorder="1"/>
    <xf numFmtId="3" fontId="19" fillId="4" borderId="49" xfId="0" applyNumberFormat="1" applyFont="1" applyFill="1" applyBorder="1"/>
    <xf numFmtId="10" fontId="19" fillId="0" borderId="49" xfId="0" applyNumberFormat="1" applyFont="1" applyFill="1" applyBorder="1"/>
    <xf numFmtId="0" fontId="18" fillId="4" borderId="43" xfId="0" applyFont="1" applyFill="1" applyBorder="1"/>
    <xf numFmtId="10" fontId="19" fillId="4" borderId="60" xfId="0" applyNumberFormat="1" applyFont="1" applyFill="1" applyBorder="1"/>
    <xf numFmtId="0" fontId="0" fillId="7" borderId="64" xfId="0" applyFill="1" applyBorder="1"/>
    <xf numFmtId="2" fontId="0" fillId="7" borderId="48" xfId="0" applyNumberFormat="1" applyFill="1" applyBorder="1"/>
    <xf numFmtId="2" fontId="0" fillId="7" borderId="0" xfId="0" applyNumberFormat="1" applyFill="1" applyBorder="1"/>
    <xf numFmtId="2" fontId="0" fillId="7" borderId="49" xfId="0" applyNumberFormat="1" applyFill="1" applyBorder="1"/>
    <xf numFmtId="2" fontId="0" fillId="7" borderId="51" xfId="0" applyNumberFormat="1" applyFill="1" applyBorder="1"/>
    <xf numFmtId="0" fontId="0" fillId="5" borderId="32" xfId="0" applyFill="1" applyBorder="1"/>
    <xf numFmtId="166" fontId="21" fillId="7" borderId="47" xfId="0" applyNumberFormat="1" applyFont="1" applyFill="1" applyBorder="1"/>
    <xf numFmtId="2" fontId="23" fillId="5" borderId="42" xfId="0" applyNumberFormat="1" applyFont="1" applyFill="1" applyBorder="1"/>
    <xf numFmtId="2" fontId="23" fillId="5" borderId="20" xfId="0" applyNumberFormat="1" applyFont="1" applyFill="1" applyBorder="1"/>
    <xf numFmtId="2" fontId="23" fillId="5" borderId="31" xfId="0" applyNumberFormat="1" applyFont="1" applyFill="1" applyBorder="1"/>
    <xf numFmtId="2" fontId="34" fillId="5" borderId="20" xfId="0" applyNumberFormat="1" applyFont="1" applyFill="1" applyBorder="1"/>
    <xf numFmtId="2" fontId="34" fillId="5" borderId="32" xfId="0" applyNumberFormat="1" applyFont="1" applyFill="1" applyBorder="1"/>
    <xf numFmtId="166" fontId="21" fillId="7" borderId="50" xfId="0" applyNumberFormat="1" applyFont="1" applyFill="1" applyBorder="1"/>
    <xf numFmtId="166" fontId="21" fillId="7" borderId="62" xfId="0" applyNumberFormat="1" applyFont="1" applyFill="1" applyBorder="1"/>
    <xf numFmtId="166" fontId="22" fillId="7" borderId="61" xfId="0" applyNumberFormat="1" applyFont="1" applyFill="1" applyBorder="1"/>
    <xf numFmtId="2" fontId="0" fillId="7" borderId="48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74" fontId="0" fillId="0" borderId="0" xfId="0" applyNumberFormat="1"/>
    <xf numFmtId="10" fontId="22" fillId="5" borderId="17" xfId="0" applyNumberFormat="1" applyFont="1" applyFill="1" applyBorder="1"/>
    <xf numFmtId="0" fontId="5" fillId="5" borderId="47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9" fontId="3" fillId="7" borderId="47" xfId="0" applyNumberFormat="1" applyFont="1" applyFill="1" applyBorder="1" applyAlignment="1">
      <alignment horizontal="right"/>
    </xf>
    <xf numFmtId="2" fontId="3" fillId="7" borderId="50" xfId="0" applyNumberFormat="1" applyFont="1" applyFill="1" applyBorder="1" applyAlignment="1">
      <alignment horizontal="center"/>
    </xf>
    <xf numFmtId="9" fontId="3" fillId="7" borderId="64" xfId="0" applyNumberFormat="1" applyFont="1" applyFill="1" applyBorder="1" applyAlignment="1">
      <alignment horizontal="center"/>
    </xf>
    <xf numFmtId="9" fontId="3" fillId="7" borderId="48" xfId="0" applyNumberFormat="1" applyFont="1" applyFill="1" applyBorder="1" applyAlignment="1">
      <alignment horizontal="right"/>
    </xf>
    <xf numFmtId="2" fontId="3" fillId="7" borderId="51" xfId="0" applyNumberFormat="1" applyFont="1" applyFill="1" applyBorder="1" applyAlignment="1">
      <alignment horizontal="center"/>
    </xf>
    <xf numFmtId="10" fontId="3" fillId="7" borderId="49" xfId="0" applyNumberFormat="1" applyFont="1" applyFill="1" applyBorder="1" applyAlignment="1">
      <alignment horizontal="center"/>
    </xf>
    <xf numFmtId="9" fontId="3" fillId="7" borderId="43" xfId="0" applyNumberFormat="1" applyFont="1" applyFill="1" applyBorder="1" applyAlignment="1">
      <alignment horizontal="right"/>
    </xf>
    <xf numFmtId="2" fontId="3" fillId="7" borderId="61" xfId="0" applyNumberFormat="1" applyFont="1" applyFill="1" applyBorder="1" applyAlignment="1">
      <alignment horizontal="center"/>
    </xf>
    <xf numFmtId="10" fontId="3" fillId="7" borderId="60" xfId="0" applyNumberFormat="1" applyFont="1" applyFill="1" applyBorder="1" applyAlignment="1">
      <alignment horizontal="center"/>
    </xf>
    <xf numFmtId="9" fontId="0" fillId="0" borderId="0" xfId="0" applyNumberFormat="1"/>
    <xf numFmtId="0" fontId="3" fillId="7" borderId="50" xfId="0" applyFont="1" applyFill="1" applyBorder="1" applyAlignment="1">
      <alignment horizontal="center"/>
    </xf>
    <xf numFmtId="10" fontId="3" fillId="7" borderId="64" xfId="0" applyNumberFormat="1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7" fillId="7" borderId="48" xfId="2" applyFont="1" applyFill="1" applyBorder="1" applyAlignment="1">
      <alignment horizontal="left" vertical="top" wrapText="1"/>
    </xf>
    <xf numFmtId="0" fontId="7" fillId="7" borderId="0" xfId="2" applyFont="1" applyFill="1" applyBorder="1" applyAlignment="1">
      <alignment horizontal="left" vertical="top" wrapText="1"/>
    </xf>
    <xf numFmtId="0" fontId="7" fillId="7" borderId="49" xfId="2" applyFont="1" applyFill="1" applyBorder="1" applyAlignment="1">
      <alignment horizontal="left" vertical="top" wrapText="1"/>
    </xf>
    <xf numFmtId="0" fontId="27" fillId="7" borderId="42" xfId="2" applyFont="1" applyFill="1" applyBorder="1" applyAlignment="1">
      <alignment horizontal="center"/>
    </xf>
    <xf numFmtId="0" fontId="27" fillId="7" borderId="31" xfId="2" applyFont="1" applyFill="1" applyBorder="1" applyAlignment="1">
      <alignment horizontal="center"/>
    </xf>
    <xf numFmtId="0" fontId="27" fillId="7" borderId="32" xfId="2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1" fillId="0" borderId="28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6" fillId="6" borderId="28" xfId="7" applyFont="1" applyFill="1" applyBorder="1" applyAlignment="1">
      <alignment horizontal="center"/>
    </xf>
    <xf numFmtId="0" fontId="6" fillId="6" borderId="29" xfId="7" applyFont="1" applyFill="1" applyBorder="1" applyAlignment="1">
      <alignment horizontal="center"/>
    </xf>
    <xf numFmtId="0" fontId="6" fillId="6" borderId="30" xfId="7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6" borderId="42" xfId="4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2" fontId="5" fillId="4" borderId="41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2" fontId="5" fillId="4" borderId="38" xfId="0" applyNumberFormat="1" applyFont="1" applyFill="1" applyBorder="1" applyAlignment="1">
      <alignment horizontal="center" vertical="center"/>
    </xf>
    <xf numFmtId="2" fontId="5" fillId="4" borderId="4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5" borderId="12" xfId="7" applyFont="1" applyFill="1" applyBorder="1" applyAlignment="1">
      <alignment horizontal="center"/>
    </xf>
    <xf numFmtId="0" fontId="6" fillId="5" borderId="13" xfId="7" applyFont="1" applyFill="1" applyBorder="1" applyAlignment="1">
      <alignment horizontal="center"/>
    </xf>
    <xf numFmtId="0" fontId="6" fillId="6" borderId="25" xfId="7" applyFont="1" applyFill="1" applyBorder="1" applyAlignment="1">
      <alignment horizontal="center"/>
    </xf>
    <xf numFmtId="0" fontId="6" fillId="6" borderId="26" xfId="7" applyFont="1" applyFill="1" applyBorder="1" applyAlignment="1">
      <alignment horizontal="center"/>
    </xf>
    <xf numFmtId="0" fontId="6" fillId="6" borderId="27" xfId="7" applyFont="1" applyFill="1" applyBorder="1" applyAlignment="1">
      <alignment horizontal="center"/>
    </xf>
    <xf numFmtId="0" fontId="11" fillId="0" borderId="5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9" fontId="7" fillId="7" borderId="1" xfId="2" applyNumberFormat="1" applyFont="1" applyFill="1" applyBorder="1" applyAlignment="1">
      <alignment horizontal="center"/>
    </xf>
    <xf numFmtId="169" fontId="6" fillId="4" borderId="1" xfId="2" applyNumberFormat="1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6" fillId="6" borderId="5" xfId="3" applyFont="1" applyFill="1" applyBorder="1" applyAlignment="1">
      <alignment horizontal="center"/>
    </xf>
    <xf numFmtId="0" fontId="6" fillId="6" borderId="4" xfId="3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6" borderId="42" xfId="7" applyFont="1" applyFill="1" applyBorder="1" applyAlignment="1">
      <alignment horizontal="center"/>
    </xf>
    <xf numFmtId="0" fontId="6" fillId="6" borderId="32" xfId="7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6" borderId="4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5" fillId="4" borderId="4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6" fontId="26" fillId="7" borderId="42" xfId="0" applyNumberFormat="1" applyFont="1" applyFill="1" applyBorder="1" applyAlignment="1">
      <alignment horizontal="center"/>
    </xf>
    <xf numFmtId="166" fontId="26" fillId="7" borderId="32" xfId="0" applyNumberFormat="1" applyFont="1" applyFill="1" applyBorder="1" applyAlignment="1">
      <alignment horizontal="center"/>
    </xf>
    <xf numFmtId="166" fontId="26" fillId="7" borderId="31" xfId="0" applyNumberFormat="1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2" fontId="0" fillId="7" borderId="48" xfId="0" applyNumberFormat="1" applyFill="1" applyBorder="1" applyAlignment="1">
      <alignment horizontal="center"/>
    </xf>
    <xf numFmtId="2" fontId="0" fillId="7" borderId="49" xfId="0" applyNumberForma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8" fillId="7" borderId="64" xfId="0" applyFont="1" applyFill="1" applyBorder="1" applyAlignment="1">
      <alignment horizontal="center"/>
    </xf>
    <xf numFmtId="2" fontId="24" fillId="7" borderId="42" xfId="0" applyNumberFormat="1" applyFont="1" applyFill="1" applyBorder="1" applyAlignment="1">
      <alignment horizontal="center"/>
    </xf>
    <xf numFmtId="2" fontId="24" fillId="7" borderId="32" xfId="0" applyNumberFormat="1" applyFont="1" applyFill="1" applyBorder="1" applyAlignment="1">
      <alignment horizontal="center"/>
    </xf>
    <xf numFmtId="2" fontId="24" fillId="7" borderId="48" xfId="0" applyNumberFormat="1" applyFont="1" applyFill="1" applyBorder="1" applyAlignment="1">
      <alignment horizontal="center"/>
    </xf>
    <xf numFmtId="2" fontId="24" fillId="7" borderId="49" xfId="0" applyNumberFormat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2" fontId="24" fillId="7" borderId="31" xfId="0" applyNumberFormat="1" applyFont="1" applyFill="1" applyBorder="1" applyAlignment="1">
      <alignment horizontal="center"/>
    </xf>
    <xf numFmtId="2" fontId="0" fillId="7" borderId="43" xfId="0" applyNumberFormat="1" applyFill="1" applyBorder="1" applyAlignment="1">
      <alignment horizontal="center"/>
    </xf>
    <xf numFmtId="2" fontId="0" fillId="7" borderId="6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24" fillId="7" borderId="65" xfId="0" applyNumberFormat="1" applyFont="1" applyFill="1" applyBorder="1" applyAlignment="1">
      <alignment horizontal="center"/>
    </xf>
    <xf numFmtId="2" fontId="24" fillId="7" borderId="11" xfId="0" applyNumberFormat="1" applyFont="1" applyFill="1" applyBorder="1" applyAlignment="1">
      <alignment horizontal="center"/>
    </xf>
    <xf numFmtId="2" fontId="24" fillId="7" borderId="16" xfId="0" applyNumberFormat="1" applyFont="1" applyFill="1" applyBorder="1" applyAlignment="1">
      <alignment horizontal="center"/>
    </xf>
    <xf numFmtId="2" fontId="24" fillId="7" borderId="17" xfId="0" applyNumberFormat="1" applyFont="1" applyFill="1" applyBorder="1" applyAlignment="1">
      <alignment horizontal="center"/>
    </xf>
    <xf numFmtId="2" fontId="24" fillId="7" borderId="0" xfId="0" applyNumberFormat="1" applyFont="1" applyFill="1" applyBorder="1" applyAlignment="1">
      <alignment horizontal="center"/>
    </xf>
    <xf numFmtId="2" fontId="24" fillId="7" borderId="47" xfId="0" applyNumberFormat="1" applyFont="1" applyFill="1" applyBorder="1" applyAlignment="1">
      <alignment horizontal="center"/>
    </xf>
    <xf numFmtId="2" fontId="24" fillId="7" borderId="64" xfId="0" applyNumberFormat="1" applyFont="1" applyFill="1" applyBorder="1" applyAlignment="1">
      <alignment horizontal="center"/>
    </xf>
    <xf numFmtId="0" fontId="32" fillId="7" borderId="47" xfId="0" applyFont="1" applyFill="1" applyBorder="1" applyAlignment="1">
      <alignment horizontal="center"/>
    </xf>
    <xf numFmtId="0" fontId="32" fillId="7" borderId="64" xfId="0" applyFont="1" applyFill="1" applyBorder="1" applyAlignment="1">
      <alignment horizontal="center"/>
    </xf>
    <xf numFmtId="0" fontId="32" fillId="7" borderId="48" xfId="0" applyFont="1" applyFill="1" applyBorder="1" applyAlignment="1">
      <alignment horizontal="center"/>
    </xf>
    <xf numFmtId="0" fontId="32" fillId="7" borderId="49" xfId="0" applyFont="1" applyFill="1" applyBorder="1" applyAlignment="1">
      <alignment horizontal="center"/>
    </xf>
    <xf numFmtId="0" fontId="32" fillId="5" borderId="42" xfId="0" applyFont="1" applyFill="1" applyBorder="1" applyAlignment="1">
      <alignment horizontal="center"/>
    </xf>
    <xf numFmtId="0" fontId="32" fillId="5" borderId="32" xfId="0" applyFont="1" applyFill="1" applyBorder="1" applyAlignment="1">
      <alignment horizontal="center"/>
    </xf>
    <xf numFmtId="0" fontId="26" fillId="6" borderId="42" xfId="0" applyFont="1" applyFill="1" applyBorder="1" applyAlignment="1">
      <alignment horizontal="center"/>
    </xf>
    <xf numFmtId="0" fontId="26" fillId="6" borderId="31" xfId="0" applyFont="1" applyFill="1" applyBorder="1" applyAlignment="1">
      <alignment horizontal="center"/>
    </xf>
    <xf numFmtId="0" fontId="26" fillId="6" borderId="3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12">
    <cellStyle name="Énfasis3" xfId="10" builtinId="37"/>
    <cellStyle name="Millares" xfId="11" builtinId="3"/>
    <cellStyle name="Moneda" xfId="9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Porcentual" xfId="1" builtinId="5"/>
  </cellStyles>
  <dxfs count="4">
    <dxf>
      <font>
        <strike val="0"/>
        <outline val="0"/>
        <shadow val="0"/>
        <u val="none"/>
        <vertAlign val="baseline"/>
        <color theme="0"/>
        <name val="Calibri"/>
        <scheme val="none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38894</xdr:rowOff>
    </xdr:from>
    <xdr:to>
      <xdr:col>1</xdr:col>
      <xdr:colOff>115094</xdr:colOff>
      <xdr:row>4</xdr:row>
      <xdr:rowOff>257178</xdr:rowOff>
    </xdr:to>
    <xdr:cxnSp macro="">
      <xdr:nvCxnSpPr>
        <xdr:cNvPr id="3" name="2 Conector recto de flecha"/>
        <xdr:cNvCxnSpPr/>
      </xdr:nvCxnSpPr>
      <xdr:spPr>
        <a:xfrm rot="5400000">
          <a:off x="767555" y="528639"/>
          <a:ext cx="21828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</xdr:row>
      <xdr:rowOff>38894</xdr:rowOff>
    </xdr:from>
    <xdr:to>
      <xdr:col>1</xdr:col>
      <xdr:colOff>115094</xdr:colOff>
      <xdr:row>4</xdr:row>
      <xdr:rowOff>257178</xdr:rowOff>
    </xdr:to>
    <xdr:cxnSp macro="">
      <xdr:nvCxnSpPr>
        <xdr:cNvPr id="7" name="6 Conector recto de flecha"/>
        <xdr:cNvCxnSpPr/>
      </xdr:nvCxnSpPr>
      <xdr:spPr>
        <a:xfrm rot="5400000">
          <a:off x="767555" y="719139"/>
          <a:ext cx="21828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5</xdr:row>
      <xdr:rowOff>38894</xdr:rowOff>
    </xdr:from>
    <xdr:to>
      <xdr:col>1</xdr:col>
      <xdr:colOff>115094</xdr:colOff>
      <xdr:row>5</xdr:row>
      <xdr:rowOff>257178</xdr:rowOff>
    </xdr:to>
    <xdr:cxnSp macro="">
      <xdr:nvCxnSpPr>
        <xdr:cNvPr id="8" name="7 Conector recto de flecha"/>
        <xdr:cNvCxnSpPr/>
      </xdr:nvCxnSpPr>
      <xdr:spPr>
        <a:xfrm rot="5400000">
          <a:off x="767555" y="719139"/>
          <a:ext cx="21828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132556</xdr:colOff>
      <xdr:row>10</xdr:row>
      <xdr:rowOff>19844</xdr:rowOff>
    </xdr:from>
    <xdr:to>
      <xdr:col>1</xdr:col>
      <xdr:colOff>134144</xdr:colOff>
      <xdr:row>10</xdr:row>
      <xdr:rowOff>229394</xdr:rowOff>
    </xdr:to>
    <xdr:cxnSp macro="">
      <xdr:nvCxnSpPr>
        <xdr:cNvPr id="13" name="12 Conector recto de flecha"/>
        <xdr:cNvCxnSpPr/>
      </xdr:nvCxnSpPr>
      <xdr:spPr>
        <a:xfrm rot="5400000" flipH="1" flipV="1">
          <a:off x="790575" y="1905000"/>
          <a:ext cx="209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11</xdr:row>
      <xdr:rowOff>28575</xdr:rowOff>
    </xdr:from>
    <xdr:to>
      <xdr:col>1</xdr:col>
      <xdr:colOff>134938</xdr:colOff>
      <xdr:row>11</xdr:row>
      <xdr:rowOff>238125</xdr:rowOff>
    </xdr:to>
    <xdr:cxnSp macro="">
      <xdr:nvCxnSpPr>
        <xdr:cNvPr id="14" name="13 Conector recto de flecha"/>
        <xdr:cNvCxnSpPr/>
      </xdr:nvCxnSpPr>
      <xdr:spPr>
        <a:xfrm rot="5400000" flipH="1" flipV="1">
          <a:off x="791369" y="2189956"/>
          <a:ext cx="209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12</xdr:row>
      <xdr:rowOff>28575</xdr:rowOff>
    </xdr:from>
    <xdr:to>
      <xdr:col>1</xdr:col>
      <xdr:colOff>134938</xdr:colOff>
      <xdr:row>12</xdr:row>
      <xdr:rowOff>238125</xdr:rowOff>
    </xdr:to>
    <xdr:cxnSp macro="">
      <xdr:nvCxnSpPr>
        <xdr:cNvPr id="15" name="14 Conector recto de flecha"/>
        <xdr:cNvCxnSpPr/>
      </xdr:nvCxnSpPr>
      <xdr:spPr>
        <a:xfrm rot="5400000" flipH="1" flipV="1">
          <a:off x="791369" y="2466181"/>
          <a:ext cx="209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</xdr:row>
      <xdr:rowOff>28575</xdr:rowOff>
    </xdr:from>
    <xdr:to>
      <xdr:col>1</xdr:col>
      <xdr:colOff>124619</xdr:colOff>
      <xdr:row>3</xdr:row>
      <xdr:rowOff>246859</xdr:rowOff>
    </xdr:to>
    <xdr:cxnSp macro="">
      <xdr:nvCxnSpPr>
        <xdr:cNvPr id="9" name="8 Conector recto de flecha"/>
        <xdr:cNvCxnSpPr/>
      </xdr:nvCxnSpPr>
      <xdr:spPr>
        <a:xfrm rot="5400000">
          <a:off x="777080" y="746920"/>
          <a:ext cx="21828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6</xdr:row>
      <xdr:rowOff>38894</xdr:rowOff>
    </xdr:from>
    <xdr:to>
      <xdr:col>1</xdr:col>
      <xdr:colOff>115094</xdr:colOff>
      <xdr:row>6</xdr:row>
      <xdr:rowOff>257178</xdr:rowOff>
    </xdr:to>
    <xdr:cxnSp macro="">
      <xdr:nvCxnSpPr>
        <xdr:cNvPr id="10" name="9 Conector recto de flecha"/>
        <xdr:cNvCxnSpPr/>
      </xdr:nvCxnSpPr>
      <xdr:spPr>
        <a:xfrm rot="5400000">
          <a:off x="767555" y="1309689"/>
          <a:ext cx="21828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13</xdr:row>
      <xdr:rowOff>28575</xdr:rowOff>
    </xdr:from>
    <xdr:to>
      <xdr:col>1</xdr:col>
      <xdr:colOff>134938</xdr:colOff>
      <xdr:row>13</xdr:row>
      <xdr:rowOff>238125</xdr:rowOff>
    </xdr:to>
    <xdr:cxnSp macro="">
      <xdr:nvCxnSpPr>
        <xdr:cNvPr id="16" name="15 Conector recto de flecha"/>
        <xdr:cNvCxnSpPr/>
      </xdr:nvCxnSpPr>
      <xdr:spPr>
        <a:xfrm rot="5400000" flipH="1" flipV="1">
          <a:off x="791369" y="3009106"/>
          <a:ext cx="209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a16" displayName="Tabla16" ref="B3:C13" headerRowCount="0" totalsRowShown="0" headerRowDxfId="3" dataDxfId="2">
  <tableColumns count="2">
    <tableColumn id="1" name="Columna1" dataDxfId="1"/>
    <tableColumn id="2" name="Columna2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5"/>
  <sheetViews>
    <sheetView topLeftCell="N1" zoomScale="75" zoomScaleNormal="75" workbookViewId="0">
      <selection activeCell="T22" sqref="T22"/>
    </sheetView>
  </sheetViews>
  <sheetFormatPr baseColWidth="10" defaultRowHeight="15"/>
  <cols>
    <col min="1" max="1" width="11.42578125" style="30"/>
    <col min="2" max="2" width="5" style="41" customWidth="1"/>
    <col min="3" max="3" width="26.5703125" style="1" customWidth="1"/>
    <col min="4" max="4" width="13.5703125" style="1" bestFit="1" customWidth="1"/>
    <col min="5" max="5" width="15" style="1" bestFit="1" customWidth="1"/>
    <col min="6" max="6" width="13.5703125" style="1" customWidth="1"/>
    <col min="7" max="7" width="13" style="1" customWidth="1"/>
    <col min="8" max="8" width="13.28515625" style="1" customWidth="1"/>
    <col min="9" max="9" width="18.5703125" style="1" customWidth="1"/>
    <col min="10" max="10" width="17.140625" style="1" bestFit="1" customWidth="1"/>
    <col min="11" max="11" width="11" style="1" customWidth="1"/>
    <col min="12" max="12" width="6.28515625" style="1" customWidth="1"/>
    <col min="13" max="13" width="28.7109375" style="1" bestFit="1" customWidth="1"/>
    <col min="14" max="14" width="16.85546875" style="1" customWidth="1"/>
    <col min="15" max="15" width="14.7109375" style="1" bestFit="1" customWidth="1"/>
    <col min="16" max="16" width="16.42578125" style="1" customWidth="1"/>
    <col min="17" max="17" width="14" style="1" customWidth="1"/>
    <col min="18" max="18" width="17.5703125" style="1" customWidth="1"/>
    <col min="19" max="19" width="17.5703125" style="56" customWidth="1"/>
    <col min="20" max="20" width="13.28515625" style="1" bestFit="1" customWidth="1"/>
    <col min="21" max="21" width="14.85546875" style="1" bestFit="1" customWidth="1"/>
    <col min="22" max="22" width="11.42578125" style="1"/>
    <col min="23" max="23" width="15" style="1" bestFit="1" customWidth="1"/>
    <col min="24" max="24" width="15.140625" style="1" customWidth="1"/>
    <col min="25" max="25" width="12.85546875" style="1" bestFit="1" customWidth="1"/>
    <col min="26" max="26" width="20.85546875" style="1" bestFit="1" customWidth="1"/>
    <col min="27" max="33" width="11.42578125" style="1"/>
  </cols>
  <sheetData>
    <row r="1" spans="2:33" s="30" customForma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6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2:33" s="30" customFormat="1" ht="15.75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6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2:33" ht="15.75" thickBot="1">
      <c r="C3" s="514" t="s">
        <v>0</v>
      </c>
      <c r="D3" s="515"/>
      <c r="E3" s="515"/>
      <c r="F3" s="515"/>
      <c r="G3" s="515"/>
      <c r="H3" s="515"/>
      <c r="I3" s="515"/>
      <c r="J3" s="516"/>
      <c r="K3" s="41"/>
      <c r="L3" s="41"/>
      <c r="M3" s="41"/>
      <c r="N3" s="41"/>
      <c r="O3" s="41"/>
      <c r="P3" s="41"/>
      <c r="Q3" s="41"/>
      <c r="R3" s="41"/>
      <c r="T3" s="41"/>
      <c r="U3" s="41"/>
      <c r="V3" s="41"/>
      <c r="W3" s="41"/>
      <c r="X3" s="41"/>
      <c r="Y3" s="41"/>
      <c r="Z3" s="41"/>
      <c r="AA3" s="41"/>
    </row>
    <row r="4" spans="2:33" ht="48" customHeight="1" thickBot="1">
      <c r="C4" s="60" t="s">
        <v>1</v>
      </c>
      <c r="D4" s="61" t="s">
        <v>2</v>
      </c>
      <c r="E4" s="62" t="s">
        <v>3</v>
      </c>
      <c r="F4" s="61" t="s">
        <v>4</v>
      </c>
      <c r="G4" s="62" t="s">
        <v>106</v>
      </c>
      <c r="H4" s="61" t="s">
        <v>107</v>
      </c>
      <c r="I4" s="63" t="s">
        <v>108</v>
      </c>
      <c r="J4" s="63" t="s">
        <v>109</v>
      </c>
      <c r="K4" s="41"/>
      <c r="L4" s="41"/>
      <c r="M4" s="535" t="s">
        <v>196</v>
      </c>
      <c r="N4" s="536"/>
      <c r="O4" s="536"/>
      <c r="P4" s="537"/>
      <c r="Q4" s="41"/>
      <c r="R4" s="41"/>
      <c r="T4" s="41"/>
      <c r="U4" s="41"/>
      <c r="V4" s="41"/>
      <c r="W4" s="41"/>
      <c r="X4" s="183" t="s">
        <v>179</v>
      </c>
      <c r="Y4" s="184" t="s">
        <v>98</v>
      </c>
      <c r="Z4" s="185" t="s">
        <v>99</v>
      </c>
      <c r="AA4" s="41"/>
    </row>
    <row r="5" spans="2:33" ht="15.75" thickBot="1">
      <c r="C5" s="64" t="s">
        <v>5</v>
      </c>
      <c r="D5" s="70">
        <v>600</v>
      </c>
      <c r="E5" s="67">
        <v>2</v>
      </c>
      <c r="F5" s="70">
        <f>+D5*E5</f>
        <v>1200</v>
      </c>
      <c r="G5" s="73">
        <v>10</v>
      </c>
      <c r="H5" s="70">
        <f>+F5/G5</f>
        <v>120</v>
      </c>
      <c r="I5" s="396">
        <f>+H5*5</f>
        <v>600</v>
      </c>
      <c r="J5" s="76">
        <f t="shared" ref="J5:J14" si="0">+F5-I5</f>
        <v>600</v>
      </c>
      <c r="K5" s="41"/>
      <c r="L5" s="41"/>
      <c r="M5" s="199" t="s">
        <v>89</v>
      </c>
      <c r="N5" s="198" t="s">
        <v>90</v>
      </c>
      <c r="O5" s="196" t="s">
        <v>91</v>
      </c>
      <c r="P5" s="197" t="s">
        <v>92</v>
      </c>
      <c r="Q5" s="41"/>
      <c r="R5" s="538" t="s">
        <v>100</v>
      </c>
      <c r="S5" s="539"/>
      <c r="T5" s="540"/>
      <c r="U5" s="186">
        <f>28*35</f>
        <v>980</v>
      </c>
      <c r="V5" s="180">
        <f>+(0.25)</f>
        <v>0.25</v>
      </c>
      <c r="W5" s="187" t="s">
        <v>101</v>
      </c>
      <c r="X5" s="67">
        <f>+V5*$U$5</f>
        <v>245</v>
      </c>
      <c r="Y5" s="106">
        <f>+V5*$U$6</f>
        <v>7350</v>
      </c>
      <c r="Z5" s="67">
        <f>+V5*$U$7</f>
        <v>88200</v>
      </c>
      <c r="AA5" s="41"/>
    </row>
    <row r="6" spans="2:33">
      <c r="C6" s="65" t="s">
        <v>6</v>
      </c>
      <c r="D6" s="71">
        <v>300</v>
      </c>
      <c r="E6" s="68">
        <v>2</v>
      </c>
      <c r="F6" s="71">
        <f t="shared" ref="F6:F14" si="1">+D6*E6</f>
        <v>600</v>
      </c>
      <c r="G6" s="68">
        <v>10</v>
      </c>
      <c r="H6" s="71">
        <f t="shared" ref="H6:H14" si="2">+F6/G6</f>
        <v>60</v>
      </c>
      <c r="I6" s="78">
        <f t="shared" ref="I6:I14" si="3">+H6*5</f>
        <v>300</v>
      </c>
      <c r="J6" s="78">
        <f t="shared" si="0"/>
        <v>300</v>
      </c>
      <c r="K6" s="41"/>
      <c r="L6" s="41"/>
      <c r="M6" s="200" t="s">
        <v>93</v>
      </c>
      <c r="N6" s="203">
        <v>0.15</v>
      </c>
      <c r="O6" s="204">
        <f>(+N6*470)*2</f>
        <v>141</v>
      </c>
      <c r="P6" s="204">
        <f>+O6*12</f>
        <v>1692</v>
      </c>
      <c r="Q6" s="41"/>
      <c r="R6" s="541" t="s">
        <v>102</v>
      </c>
      <c r="S6" s="542"/>
      <c r="T6" s="543"/>
      <c r="U6" s="188">
        <f>+U5*30</f>
        <v>29400</v>
      </c>
      <c r="V6" s="181">
        <f>+(0.375)</f>
        <v>0.375</v>
      </c>
      <c r="W6" s="89" t="s">
        <v>103</v>
      </c>
      <c r="X6" s="83">
        <f>+V6*$U$5</f>
        <v>367.5</v>
      </c>
      <c r="Y6" s="98">
        <f t="shared" ref="Y6:Y7" si="4">+V6*$U$6</f>
        <v>11025</v>
      </c>
      <c r="Z6" s="83">
        <f t="shared" ref="Z6:Z7" si="5">+V6*$U$7</f>
        <v>132300</v>
      </c>
      <c r="AA6" s="41"/>
    </row>
    <row r="7" spans="2:33" ht="15.75" thickBot="1">
      <c r="C7" s="65" t="s">
        <v>7</v>
      </c>
      <c r="D7" s="71">
        <v>250.88</v>
      </c>
      <c r="E7" s="68">
        <v>2</v>
      </c>
      <c r="F7" s="71">
        <f t="shared" si="1"/>
        <v>501.76</v>
      </c>
      <c r="G7" s="68">
        <v>10</v>
      </c>
      <c r="H7" s="71">
        <f t="shared" si="2"/>
        <v>50.176000000000002</v>
      </c>
      <c r="I7" s="78">
        <f t="shared" si="3"/>
        <v>250.88</v>
      </c>
      <c r="J7" s="78">
        <f t="shared" si="0"/>
        <v>250.88</v>
      </c>
      <c r="K7" s="41"/>
      <c r="L7" s="41"/>
      <c r="M7" s="65" t="s">
        <v>94</v>
      </c>
      <c r="N7" s="89">
        <v>0.63</v>
      </c>
      <c r="O7" s="205">
        <f>(+N7*135)*2</f>
        <v>170.1</v>
      </c>
      <c r="P7" s="205">
        <f t="shared" ref="P7:P9" si="6">+O7*12</f>
        <v>2041.1999999999998</v>
      </c>
      <c r="R7" s="484" t="s">
        <v>104</v>
      </c>
      <c r="S7" s="544"/>
      <c r="T7" s="485"/>
      <c r="U7" s="189">
        <f>+U6*12</f>
        <v>352800</v>
      </c>
      <c r="V7" s="182">
        <f>+(0.375)</f>
        <v>0.375</v>
      </c>
      <c r="W7" s="90" t="s">
        <v>105</v>
      </c>
      <c r="X7" s="381">
        <f>+V7*$U$5</f>
        <v>367.5</v>
      </c>
      <c r="Y7" s="382">
        <f t="shared" si="4"/>
        <v>11025</v>
      </c>
      <c r="Z7" s="381">
        <f t="shared" si="5"/>
        <v>132300</v>
      </c>
      <c r="AA7" s="41"/>
    </row>
    <row r="8" spans="2:33" ht="15.75" thickBot="1">
      <c r="C8" s="65" t="s">
        <v>8</v>
      </c>
      <c r="D8" s="71">
        <v>830</v>
      </c>
      <c r="E8" s="68">
        <v>2</v>
      </c>
      <c r="F8" s="71">
        <f t="shared" si="1"/>
        <v>1660</v>
      </c>
      <c r="G8" s="68">
        <v>10</v>
      </c>
      <c r="H8" s="71">
        <f t="shared" si="2"/>
        <v>166</v>
      </c>
      <c r="I8" s="78">
        <f t="shared" si="3"/>
        <v>830</v>
      </c>
      <c r="J8" s="78">
        <f t="shared" si="0"/>
        <v>830</v>
      </c>
      <c r="K8" s="41"/>
      <c r="L8" s="41"/>
      <c r="M8" s="65" t="s">
        <v>95</v>
      </c>
      <c r="N8" s="89"/>
      <c r="O8" s="205">
        <f>30*2</f>
        <v>60</v>
      </c>
      <c r="P8" s="205">
        <f t="shared" si="6"/>
        <v>720</v>
      </c>
      <c r="Q8" s="41"/>
      <c r="R8" s="532" t="s">
        <v>315</v>
      </c>
      <c r="S8" s="533"/>
      <c r="T8" s="534"/>
      <c r="U8" s="41"/>
      <c r="V8" s="41"/>
      <c r="W8" s="41"/>
      <c r="X8" s="385">
        <f>SUM(X5:X7)</f>
        <v>980</v>
      </c>
      <c r="Y8" s="383">
        <f t="shared" ref="Y8:Z8" si="7">SUM(Y5:Y7)</f>
        <v>29400</v>
      </c>
      <c r="Z8" s="384">
        <f t="shared" si="7"/>
        <v>352800</v>
      </c>
      <c r="AA8" s="41"/>
    </row>
    <row r="9" spans="2:33">
      <c r="C9" s="65" t="s">
        <v>9</v>
      </c>
      <c r="D9" s="71">
        <v>960</v>
      </c>
      <c r="E9" s="68">
        <v>2</v>
      </c>
      <c r="F9" s="71">
        <f t="shared" si="1"/>
        <v>1920</v>
      </c>
      <c r="G9" s="68">
        <v>10</v>
      </c>
      <c r="H9" s="71">
        <f t="shared" si="2"/>
        <v>192</v>
      </c>
      <c r="I9" s="78">
        <f t="shared" si="3"/>
        <v>960</v>
      </c>
      <c r="J9" s="78">
        <f t="shared" si="0"/>
        <v>960</v>
      </c>
      <c r="K9" s="41"/>
      <c r="L9" s="41"/>
      <c r="M9" s="65" t="s">
        <v>96</v>
      </c>
      <c r="N9" s="89"/>
      <c r="O9" s="205">
        <f>80*2</f>
        <v>160</v>
      </c>
      <c r="P9" s="205">
        <f t="shared" si="6"/>
        <v>1920</v>
      </c>
      <c r="Q9" s="41"/>
      <c r="R9" s="41"/>
      <c r="T9" s="41"/>
      <c r="U9" s="41"/>
      <c r="V9" s="41"/>
      <c r="W9" s="41"/>
      <c r="X9" s="41"/>
      <c r="Y9" s="41"/>
      <c r="Z9" s="41"/>
      <c r="AA9" s="41"/>
    </row>
    <row r="10" spans="2:33" ht="15.75" thickBot="1">
      <c r="C10" s="65" t="s">
        <v>10</v>
      </c>
      <c r="D10" s="71">
        <v>650</v>
      </c>
      <c r="E10" s="68">
        <v>2</v>
      </c>
      <c r="F10" s="71">
        <f t="shared" si="1"/>
        <v>1300</v>
      </c>
      <c r="G10" s="68">
        <v>10</v>
      </c>
      <c r="H10" s="71">
        <f t="shared" si="2"/>
        <v>130</v>
      </c>
      <c r="I10" s="78">
        <f t="shared" si="3"/>
        <v>650</v>
      </c>
      <c r="J10" s="78">
        <f t="shared" si="0"/>
        <v>650</v>
      </c>
      <c r="K10" s="41"/>
      <c r="L10" s="41"/>
      <c r="M10" s="201" t="s">
        <v>97</v>
      </c>
      <c r="N10" s="66"/>
      <c r="O10" s="207">
        <f>30*2</f>
        <v>60</v>
      </c>
      <c r="P10" s="207">
        <f>+O10*12</f>
        <v>720</v>
      </c>
      <c r="Q10" s="41"/>
      <c r="R10" s="41"/>
      <c r="T10" s="41"/>
      <c r="U10" s="41"/>
      <c r="V10" s="41"/>
      <c r="W10" s="41"/>
      <c r="X10" s="41"/>
      <c r="Y10" s="41"/>
      <c r="Z10" s="41"/>
      <c r="AA10" s="41"/>
    </row>
    <row r="11" spans="2:33" ht="15.75" thickBot="1">
      <c r="C11" s="65" t="s">
        <v>11</v>
      </c>
      <c r="D11" s="71">
        <v>784</v>
      </c>
      <c r="E11" s="68">
        <v>2</v>
      </c>
      <c r="F11" s="71">
        <f t="shared" si="1"/>
        <v>1568</v>
      </c>
      <c r="G11" s="68">
        <v>10</v>
      </c>
      <c r="H11" s="71">
        <f t="shared" si="2"/>
        <v>156.80000000000001</v>
      </c>
      <c r="I11" s="78">
        <f t="shared" si="3"/>
        <v>784</v>
      </c>
      <c r="J11" s="78">
        <f t="shared" si="0"/>
        <v>784</v>
      </c>
      <c r="K11" s="41"/>
      <c r="L11" s="41"/>
      <c r="M11" s="202" t="s">
        <v>53</v>
      </c>
      <c r="O11" s="208">
        <f>SUM(O6:O10)</f>
        <v>591.1</v>
      </c>
      <c r="P11" s="208">
        <f>SUM(P6:P10)</f>
        <v>7093.2</v>
      </c>
      <c r="Q11" s="41"/>
      <c r="R11" s="41"/>
      <c r="T11" s="41"/>
      <c r="U11" s="41"/>
      <c r="V11" s="41"/>
      <c r="W11" s="41"/>
      <c r="X11" s="41"/>
      <c r="Y11" s="41"/>
      <c r="Z11" s="41"/>
      <c r="AA11" s="41"/>
    </row>
    <row r="12" spans="2:33">
      <c r="C12" s="65" t="s">
        <v>12</v>
      </c>
      <c r="D12" s="71">
        <v>500</v>
      </c>
      <c r="E12" s="68">
        <v>2</v>
      </c>
      <c r="F12" s="71">
        <f t="shared" si="1"/>
        <v>1000</v>
      </c>
      <c r="G12" s="68">
        <v>10</v>
      </c>
      <c r="H12" s="71">
        <f t="shared" si="2"/>
        <v>100</v>
      </c>
      <c r="I12" s="78">
        <f t="shared" si="3"/>
        <v>500</v>
      </c>
      <c r="J12" s="78">
        <f t="shared" si="0"/>
        <v>500</v>
      </c>
      <c r="K12" s="41"/>
      <c r="L12" s="41"/>
      <c r="M12" s="41"/>
      <c r="N12" s="41"/>
      <c r="O12" s="41"/>
      <c r="P12" s="41"/>
      <c r="Q12" s="41"/>
      <c r="R12" s="41"/>
      <c r="T12" s="41"/>
      <c r="U12" s="41"/>
      <c r="V12" s="41"/>
      <c r="W12" s="41"/>
      <c r="X12" s="41"/>
      <c r="Y12" s="41"/>
      <c r="Z12" s="41"/>
    </row>
    <row r="13" spans="2:33">
      <c r="C13" s="65" t="s">
        <v>13</v>
      </c>
      <c r="D13" s="71">
        <v>110</v>
      </c>
      <c r="E13" s="68">
        <v>4</v>
      </c>
      <c r="F13" s="71">
        <f t="shared" si="1"/>
        <v>440</v>
      </c>
      <c r="G13" s="68">
        <v>10</v>
      </c>
      <c r="H13" s="71">
        <f t="shared" si="2"/>
        <v>44</v>
      </c>
      <c r="I13" s="78">
        <f t="shared" si="3"/>
        <v>220</v>
      </c>
      <c r="J13" s="78">
        <f t="shared" si="0"/>
        <v>220</v>
      </c>
      <c r="K13" s="41"/>
      <c r="L13" s="41"/>
      <c r="M13" s="41"/>
      <c r="N13" s="41"/>
      <c r="O13" s="41"/>
      <c r="P13" s="41"/>
      <c r="Q13" s="41"/>
      <c r="R13" s="41"/>
      <c r="T13" s="41"/>
      <c r="U13" s="41"/>
      <c r="V13" s="41"/>
      <c r="W13" s="41"/>
      <c r="X13" s="41"/>
      <c r="Y13" s="41"/>
      <c r="Z13" s="41"/>
    </row>
    <row r="14" spans="2:33" ht="15.75" thickBot="1">
      <c r="C14" s="66" t="s">
        <v>14</v>
      </c>
      <c r="D14" s="72">
        <v>56</v>
      </c>
      <c r="E14" s="69">
        <v>2</v>
      </c>
      <c r="F14" s="72">
        <f t="shared" si="1"/>
        <v>112</v>
      </c>
      <c r="G14" s="69">
        <v>10</v>
      </c>
      <c r="H14" s="72">
        <f t="shared" si="2"/>
        <v>11.2</v>
      </c>
      <c r="I14" s="80">
        <f t="shared" si="3"/>
        <v>56</v>
      </c>
      <c r="J14" s="80">
        <f t="shared" si="0"/>
        <v>56</v>
      </c>
      <c r="K14" s="41"/>
      <c r="L14" s="41"/>
      <c r="M14" s="41"/>
      <c r="N14" s="41"/>
      <c r="O14" s="41"/>
      <c r="P14" s="41"/>
      <c r="Q14" s="41"/>
      <c r="R14" s="41"/>
      <c r="T14" s="41"/>
      <c r="U14" s="41"/>
      <c r="V14" s="41"/>
      <c r="W14" s="41"/>
      <c r="X14" s="41"/>
      <c r="Y14" s="41"/>
      <c r="Z14" s="41"/>
    </row>
    <row r="15" spans="2:33">
      <c r="C15" s="41"/>
      <c r="D15" s="41"/>
      <c r="E15" s="531" t="s">
        <v>15</v>
      </c>
      <c r="F15" s="499">
        <f ca="1">SUM(F5:F15)</f>
        <v>13089.48</v>
      </c>
      <c r="G15" s="43"/>
      <c r="H15" s="527">
        <f>SUM(H5:H14)</f>
        <v>1030.1759999999999</v>
      </c>
      <c r="I15" s="499" t="s">
        <v>110</v>
      </c>
      <c r="J15" s="529">
        <f>SUM(J5:J14)</f>
        <v>5150.88</v>
      </c>
      <c r="K15" s="41"/>
      <c r="L15" s="41"/>
      <c r="M15" s="41"/>
      <c r="N15" s="41"/>
      <c r="O15" s="41"/>
      <c r="P15" s="41"/>
      <c r="Q15" s="41"/>
      <c r="R15" s="41"/>
      <c r="T15" s="41"/>
      <c r="U15" s="41"/>
      <c r="V15" s="41"/>
      <c r="W15" s="41"/>
      <c r="X15" s="41"/>
      <c r="Y15" s="41"/>
      <c r="Z15" s="41"/>
    </row>
    <row r="16" spans="2:33" ht="15.75" thickBot="1">
      <c r="C16" s="41"/>
      <c r="D16" s="41"/>
      <c r="E16" s="530"/>
      <c r="F16" s="500"/>
      <c r="G16" s="8"/>
      <c r="H16" s="528"/>
      <c r="I16" s="500"/>
      <c r="J16" s="530"/>
      <c r="K16" s="41"/>
      <c r="L16" s="41"/>
      <c r="M16" s="41"/>
      <c r="N16" s="41"/>
      <c r="O16" s="41"/>
      <c r="P16" s="41"/>
      <c r="Q16" s="41"/>
      <c r="R16" s="41"/>
      <c r="T16" s="41"/>
      <c r="U16" s="41"/>
      <c r="V16" s="41"/>
      <c r="W16" s="41"/>
      <c r="X16" s="41"/>
      <c r="Y16" s="41"/>
      <c r="Z16" s="41"/>
    </row>
    <row r="17" spans="2:35">
      <c r="C17" s="41"/>
      <c r="D17" s="42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41"/>
      <c r="U17" s="41"/>
      <c r="V17" s="41"/>
      <c r="W17" s="41"/>
      <c r="X17" s="41"/>
      <c r="Y17" s="41"/>
      <c r="Z17" s="41"/>
    </row>
    <row r="18" spans="2:35" s="30" customForma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56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2:35" s="30" customForma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 t="s">
        <v>215</v>
      </c>
      <c r="N19" s="59">
        <v>0.1115</v>
      </c>
      <c r="O19" s="41"/>
      <c r="P19" s="41"/>
      <c r="Q19" s="41"/>
      <c r="R19" s="41"/>
      <c r="S19" s="56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5" s="30" customFormat="1" ht="7.5" customHeight="1" thickBo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 t="s">
        <v>216</v>
      </c>
      <c r="N20" s="59">
        <v>9.35E-2</v>
      </c>
      <c r="O20" s="41"/>
      <c r="P20" s="41"/>
      <c r="Q20" s="41"/>
      <c r="R20" s="41"/>
      <c r="S20" s="56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2:35" ht="15.75" thickBot="1">
      <c r="C21" s="501" t="s">
        <v>199</v>
      </c>
      <c r="D21" s="502"/>
      <c r="E21" s="502"/>
      <c r="F21" s="502"/>
      <c r="G21" s="502"/>
      <c r="H21" s="503"/>
      <c r="I21" s="391"/>
      <c r="J21" s="392"/>
      <c r="K21" s="41"/>
      <c r="L21" s="41"/>
      <c r="M21" s="41"/>
      <c r="N21" s="41"/>
      <c r="O21" s="41"/>
      <c r="P21" s="41"/>
      <c r="Q21" s="41"/>
      <c r="R21" s="41"/>
      <c r="T21" s="24">
        <f>T31*12</f>
        <v>97902.000000000029</v>
      </c>
      <c r="U21" s="41"/>
      <c r="V21" s="41"/>
      <c r="W21" s="41"/>
      <c r="X21" s="41"/>
      <c r="Y21" s="41"/>
      <c r="Z21" s="41"/>
    </row>
    <row r="22" spans="2:35" ht="47.25" customHeight="1" thickBot="1">
      <c r="C22" s="102" t="s">
        <v>1</v>
      </c>
      <c r="D22" s="62" t="s">
        <v>2</v>
      </c>
      <c r="E22" s="103" t="s">
        <v>3</v>
      </c>
      <c r="F22" s="62" t="s">
        <v>4</v>
      </c>
      <c r="G22" s="103" t="s">
        <v>106</v>
      </c>
      <c r="H22" s="62" t="s">
        <v>107</v>
      </c>
      <c r="I22" s="103" t="s">
        <v>108</v>
      </c>
      <c r="J22" s="62" t="s">
        <v>109</v>
      </c>
      <c r="K22" s="41"/>
      <c r="L22" s="41"/>
      <c r="M22" s="212" t="s">
        <v>133</v>
      </c>
      <c r="N22" s="211" t="s">
        <v>134</v>
      </c>
      <c r="O22" s="213" t="s">
        <v>135</v>
      </c>
      <c r="P22" s="214" t="s">
        <v>305</v>
      </c>
      <c r="Q22" s="215" t="s">
        <v>304</v>
      </c>
      <c r="R22" s="214" t="s">
        <v>147</v>
      </c>
      <c r="S22" s="53"/>
      <c r="T22" s="215" t="s">
        <v>147</v>
      </c>
      <c r="U22" s="218" t="s">
        <v>136</v>
      </c>
      <c r="V22" s="219" t="s">
        <v>137</v>
      </c>
      <c r="W22" s="212" t="s">
        <v>138</v>
      </c>
      <c r="X22" s="53"/>
      <c r="AH22" s="1"/>
      <c r="AI22" s="1"/>
    </row>
    <row r="23" spans="2:35">
      <c r="C23" s="105" t="s">
        <v>16</v>
      </c>
      <c r="D23" s="67">
        <v>350</v>
      </c>
      <c r="E23" s="106">
        <v>4</v>
      </c>
      <c r="F23" s="75">
        <f>+D23*E23</f>
        <v>1400</v>
      </c>
      <c r="G23" s="107">
        <v>3</v>
      </c>
      <c r="H23" s="75">
        <f>+F23/G23</f>
        <v>466.66666666666669</v>
      </c>
      <c r="I23" s="109">
        <f>+H23*3</f>
        <v>1400</v>
      </c>
      <c r="J23" s="75">
        <f t="shared" ref="J23:J50" si="8">+F23-I23</f>
        <v>0</v>
      </c>
      <c r="K23" s="44"/>
      <c r="L23" s="41"/>
      <c r="M23" s="209" t="s">
        <v>139</v>
      </c>
      <c r="N23" s="220">
        <v>2</v>
      </c>
      <c r="O23" s="209">
        <v>800</v>
      </c>
      <c r="P23" s="209">
        <f>R23*$N$19</f>
        <v>178.4</v>
      </c>
      <c r="Q23" s="209">
        <f t="shared" ref="Q23:Q30" si="9">R23*$N$20</f>
        <v>149.6</v>
      </c>
      <c r="R23" s="195">
        <f>N23*O23</f>
        <v>1600</v>
      </c>
      <c r="S23" s="57"/>
      <c r="T23" s="216">
        <f>R23-Q23</f>
        <v>1450.4</v>
      </c>
      <c r="U23" s="195">
        <f>+R23</f>
        <v>1600</v>
      </c>
      <c r="V23" s="216">
        <v>240</v>
      </c>
      <c r="W23" s="195">
        <f>+U23/2</f>
        <v>800</v>
      </c>
      <c r="X23" s="54"/>
      <c r="AH23" s="1"/>
      <c r="AI23" s="1"/>
    </row>
    <row r="24" spans="2:35">
      <c r="C24" s="81" t="s">
        <v>17</v>
      </c>
      <c r="D24" s="77">
        <v>9</v>
      </c>
      <c r="E24" s="98">
        <v>6</v>
      </c>
      <c r="F24" s="77">
        <f t="shared" ref="F24:F50" si="10">+D24*E24</f>
        <v>54</v>
      </c>
      <c r="G24" s="104">
        <v>3</v>
      </c>
      <c r="H24" s="77">
        <f t="shared" ref="H24:H50" si="11">+F24/G24</f>
        <v>18</v>
      </c>
      <c r="I24" s="71">
        <f t="shared" ref="I24:I45" si="12">+H24*3</f>
        <v>54</v>
      </c>
      <c r="J24" s="77">
        <f t="shared" si="8"/>
        <v>0</v>
      </c>
      <c r="K24" s="44"/>
      <c r="L24" s="41"/>
      <c r="M24" s="210" t="s">
        <v>140</v>
      </c>
      <c r="N24" s="221">
        <v>2</v>
      </c>
      <c r="O24" s="210">
        <v>400</v>
      </c>
      <c r="P24" s="210">
        <f t="shared" ref="P24:P30" si="13">R24*$N$19</f>
        <v>89.2</v>
      </c>
      <c r="Q24" s="210">
        <f t="shared" si="9"/>
        <v>74.8</v>
      </c>
      <c r="R24" s="210">
        <f t="shared" ref="R24:R30" si="14">N24*O24</f>
        <v>800</v>
      </c>
      <c r="S24" s="57"/>
      <c r="T24" s="217">
        <f t="shared" ref="T24:T30" si="15">R24-Q24</f>
        <v>725.2</v>
      </c>
      <c r="U24" s="210">
        <f t="shared" ref="U24:U30" si="16">+R24</f>
        <v>800</v>
      </c>
      <c r="V24" s="217">
        <v>240</v>
      </c>
      <c r="W24" s="210">
        <f>+U24/2</f>
        <v>400</v>
      </c>
      <c r="X24" s="54"/>
      <c r="AH24" s="1"/>
      <c r="AI24" s="1"/>
    </row>
    <row r="25" spans="2:35">
      <c r="C25" s="81" t="s">
        <v>18</v>
      </c>
      <c r="D25" s="77">
        <v>5</v>
      </c>
      <c r="E25" s="98">
        <v>6</v>
      </c>
      <c r="F25" s="77">
        <f t="shared" si="10"/>
        <v>30</v>
      </c>
      <c r="G25" s="104">
        <v>3</v>
      </c>
      <c r="H25" s="77">
        <f t="shared" si="11"/>
        <v>10</v>
      </c>
      <c r="I25" s="71">
        <f t="shared" si="12"/>
        <v>30</v>
      </c>
      <c r="J25" s="77">
        <f t="shared" si="8"/>
        <v>0</v>
      </c>
      <c r="K25" s="44"/>
      <c r="L25" s="41"/>
      <c r="M25" s="210" t="s">
        <v>141</v>
      </c>
      <c r="N25" s="221">
        <v>2</v>
      </c>
      <c r="O25" s="210">
        <v>600</v>
      </c>
      <c r="P25" s="210">
        <f t="shared" si="13"/>
        <v>133.80000000000001</v>
      </c>
      <c r="Q25" s="210">
        <f t="shared" si="9"/>
        <v>112.2</v>
      </c>
      <c r="R25" s="210">
        <f t="shared" si="14"/>
        <v>1200</v>
      </c>
      <c r="S25" s="57"/>
      <c r="T25" s="217">
        <f t="shared" si="15"/>
        <v>1087.8</v>
      </c>
      <c r="U25" s="210">
        <f t="shared" si="16"/>
        <v>1200</v>
      </c>
      <c r="V25" s="217">
        <v>240</v>
      </c>
      <c r="W25" s="210">
        <f t="shared" ref="W25:W31" si="17">+U25/2</f>
        <v>600</v>
      </c>
      <c r="X25" s="54"/>
      <c r="AH25" s="1"/>
      <c r="AI25" s="1"/>
    </row>
    <row r="26" spans="2:35">
      <c r="C26" s="81" t="s">
        <v>19</v>
      </c>
      <c r="D26" s="77">
        <v>4</v>
      </c>
      <c r="E26" s="98">
        <v>2</v>
      </c>
      <c r="F26" s="77">
        <f t="shared" si="10"/>
        <v>8</v>
      </c>
      <c r="G26" s="104">
        <v>3</v>
      </c>
      <c r="H26" s="77">
        <f t="shared" si="11"/>
        <v>2.6666666666666665</v>
      </c>
      <c r="I26" s="71">
        <f t="shared" si="12"/>
        <v>8</v>
      </c>
      <c r="J26" s="77">
        <f t="shared" si="8"/>
        <v>0</v>
      </c>
      <c r="K26" s="44"/>
      <c r="L26" s="41"/>
      <c r="M26" s="210" t="s">
        <v>142</v>
      </c>
      <c r="N26" s="221">
        <v>2</v>
      </c>
      <c r="O26" s="210">
        <v>500</v>
      </c>
      <c r="P26" s="210">
        <f t="shared" si="13"/>
        <v>111.5</v>
      </c>
      <c r="Q26" s="210">
        <f t="shared" si="9"/>
        <v>93.5</v>
      </c>
      <c r="R26" s="210">
        <f t="shared" si="14"/>
        <v>1000</v>
      </c>
      <c r="S26" s="57"/>
      <c r="T26" s="217">
        <f t="shared" si="15"/>
        <v>906.5</v>
      </c>
      <c r="U26" s="210">
        <f t="shared" si="16"/>
        <v>1000</v>
      </c>
      <c r="V26" s="217">
        <v>240</v>
      </c>
      <c r="W26" s="210">
        <f t="shared" si="17"/>
        <v>500</v>
      </c>
      <c r="X26" s="54"/>
      <c r="AH26" s="1"/>
      <c r="AI26" s="1"/>
    </row>
    <row r="27" spans="2:35">
      <c r="C27" s="81" t="s">
        <v>20</v>
      </c>
      <c r="D27" s="77">
        <v>4</v>
      </c>
      <c r="E27" s="98">
        <v>2</v>
      </c>
      <c r="F27" s="77">
        <f t="shared" si="10"/>
        <v>8</v>
      </c>
      <c r="G27" s="104">
        <v>3</v>
      </c>
      <c r="H27" s="77">
        <f t="shared" si="11"/>
        <v>2.6666666666666665</v>
      </c>
      <c r="I27" s="71">
        <f t="shared" si="12"/>
        <v>8</v>
      </c>
      <c r="J27" s="77">
        <f t="shared" si="8"/>
        <v>0</v>
      </c>
      <c r="K27" s="44"/>
      <c r="L27" s="41"/>
      <c r="M27" s="210" t="s">
        <v>143</v>
      </c>
      <c r="N27" s="221">
        <v>4</v>
      </c>
      <c r="O27" s="210">
        <v>300</v>
      </c>
      <c r="P27" s="210">
        <f t="shared" si="13"/>
        <v>133.80000000000001</v>
      </c>
      <c r="Q27" s="210">
        <f t="shared" si="9"/>
        <v>112.2</v>
      </c>
      <c r="R27" s="210">
        <f t="shared" si="14"/>
        <v>1200</v>
      </c>
      <c r="S27" s="57"/>
      <c r="T27" s="217">
        <f t="shared" si="15"/>
        <v>1087.8</v>
      </c>
      <c r="U27" s="210">
        <f t="shared" si="16"/>
        <v>1200</v>
      </c>
      <c r="V27" s="217">
        <v>240</v>
      </c>
      <c r="W27" s="210">
        <f t="shared" si="17"/>
        <v>600</v>
      </c>
      <c r="X27" s="54"/>
      <c r="AH27" s="1"/>
      <c r="AI27" s="1"/>
    </row>
    <row r="28" spans="2:35">
      <c r="C28" s="81" t="s">
        <v>21</v>
      </c>
      <c r="D28" s="77">
        <v>3</v>
      </c>
      <c r="E28" s="98">
        <v>2</v>
      </c>
      <c r="F28" s="77">
        <f t="shared" si="10"/>
        <v>6</v>
      </c>
      <c r="G28" s="104">
        <v>3</v>
      </c>
      <c r="H28" s="77">
        <f t="shared" si="11"/>
        <v>2</v>
      </c>
      <c r="I28" s="71">
        <f t="shared" si="12"/>
        <v>6</v>
      </c>
      <c r="J28" s="77">
        <f t="shared" si="8"/>
        <v>0</v>
      </c>
      <c r="K28" s="44"/>
      <c r="L28" s="41"/>
      <c r="M28" s="210" t="s">
        <v>144</v>
      </c>
      <c r="N28" s="221">
        <v>4</v>
      </c>
      <c r="O28" s="210">
        <v>300</v>
      </c>
      <c r="P28" s="210">
        <f t="shared" si="13"/>
        <v>133.80000000000001</v>
      </c>
      <c r="Q28" s="210">
        <f t="shared" si="9"/>
        <v>112.2</v>
      </c>
      <c r="R28" s="210">
        <f t="shared" si="14"/>
        <v>1200</v>
      </c>
      <c r="S28" s="57"/>
      <c r="T28" s="217">
        <f t="shared" si="15"/>
        <v>1087.8</v>
      </c>
      <c r="U28" s="210">
        <f t="shared" si="16"/>
        <v>1200</v>
      </c>
      <c r="V28" s="217">
        <v>240</v>
      </c>
      <c r="W28" s="210">
        <f t="shared" si="17"/>
        <v>600</v>
      </c>
      <c r="X28" s="54"/>
      <c r="AH28" s="1"/>
      <c r="AI28" s="1"/>
    </row>
    <row r="29" spans="2:35">
      <c r="C29" s="81" t="s">
        <v>22</v>
      </c>
      <c r="D29" s="77">
        <v>5</v>
      </c>
      <c r="E29" s="98">
        <v>2</v>
      </c>
      <c r="F29" s="77">
        <f t="shared" si="10"/>
        <v>10</v>
      </c>
      <c r="G29" s="104">
        <v>3</v>
      </c>
      <c r="H29" s="77">
        <f t="shared" si="11"/>
        <v>3.3333333333333335</v>
      </c>
      <c r="I29" s="71">
        <f t="shared" si="12"/>
        <v>10</v>
      </c>
      <c r="J29" s="77">
        <f t="shared" si="8"/>
        <v>0</v>
      </c>
      <c r="K29" s="44"/>
      <c r="L29" s="41"/>
      <c r="M29" s="210" t="s">
        <v>145</v>
      </c>
      <c r="N29" s="221">
        <v>2</v>
      </c>
      <c r="O29" s="210">
        <v>280</v>
      </c>
      <c r="P29" s="210">
        <f t="shared" si="13"/>
        <v>62.44</v>
      </c>
      <c r="Q29" s="210">
        <f t="shared" si="9"/>
        <v>52.36</v>
      </c>
      <c r="R29" s="210">
        <f t="shared" si="14"/>
        <v>560</v>
      </c>
      <c r="S29" s="57"/>
      <c r="T29" s="217">
        <f t="shared" si="15"/>
        <v>507.64</v>
      </c>
      <c r="U29" s="210">
        <f t="shared" si="16"/>
        <v>560</v>
      </c>
      <c r="V29" s="217">
        <v>240</v>
      </c>
      <c r="W29" s="210">
        <f t="shared" si="17"/>
        <v>280</v>
      </c>
      <c r="X29" s="54"/>
      <c r="AH29" s="1"/>
      <c r="AI29" s="1"/>
    </row>
    <row r="30" spans="2:35" ht="15.75" thickBot="1">
      <c r="C30" s="81" t="s">
        <v>23</v>
      </c>
      <c r="D30" s="77">
        <v>5</v>
      </c>
      <c r="E30" s="98">
        <v>4</v>
      </c>
      <c r="F30" s="77">
        <f t="shared" si="10"/>
        <v>20</v>
      </c>
      <c r="G30" s="104">
        <v>3</v>
      </c>
      <c r="H30" s="77">
        <f t="shared" si="11"/>
        <v>6.666666666666667</v>
      </c>
      <c r="I30" s="71">
        <f t="shared" si="12"/>
        <v>20</v>
      </c>
      <c r="J30" s="77">
        <f t="shared" si="8"/>
        <v>0</v>
      </c>
      <c r="K30" s="44"/>
      <c r="L30" s="41"/>
      <c r="M30" s="192" t="s">
        <v>146</v>
      </c>
      <c r="N30" s="222">
        <v>6</v>
      </c>
      <c r="O30" s="192">
        <v>240</v>
      </c>
      <c r="P30" s="192">
        <f t="shared" si="13"/>
        <v>160.56</v>
      </c>
      <c r="Q30" s="192">
        <f t="shared" si="9"/>
        <v>134.63999999999999</v>
      </c>
      <c r="R30" s="223">
        <f t="shared" si="14"/>
        <v>1440</v>
      </c>
      <c r="S30" s="57"/>
      <c r="T30" s="225">
        <f t="shared" si="15"/>
        <v>1305.3600000000001</v>
      </c>
      <c r="U30" s="223">
        <f t="shared" si="16"/>
        <v>1440</v>
      </c>
      <c r="V30" s="225">
        <v>240</v>
      </c>
      <c r="W30" s="223">
        <f t="shared" si="17"/>
        <v>720</v>
      </c>
      <c r="X30" s="54"/>
      <c r="AH30" s="1"/>
      <c r="AI30" s="1"/>
    </row>
    <row r="31" spans="2:35" ht="15.75" thickBot="1">
      <c r="C31" s="81" t="s">
        <v>24</v>
      </c>
      <c r="D31" s="77">
        <v>6</v>
      </c>
      <c r="E31" s="98">
        <v>4</v>
      </c>
      <c r="F31" s="77">
        <f t="shared" si="10"/>
        <v>24</v>
      </c>
      <c r="G31" s="104">
        <v>3</v>
      </c>
      <c r="H31" s="77">
        <f t="shared" si="11"/>
        <v>8</v>
      </c>
      <c r="I31" s="71">
        <f t="shared" si="12"/>
        <v>24</v>
      </c>
      <c r="J31" s="77">
        <f t="shared" si="8"/>
        <v>0</v>
      </c>
      <c r="K31" s="44"/>
      <c r="L31" s="41"/>
      <c r="M31" s="191" t="s">
        <v>260</v>
      </c>
      <c r="N31" s="57"/>
      <c r="O31" s="57"/>
      <c r="P31" s="57"/>
      <c r="Q31" s="57"/>
      <c r="R31" s="224">
        <f>SUM(R23:R30)</f>
        <v>9000</v>
      </c>
      <c r="S31" s="399"/>
      <c r="T31" s="226">
        <f>SUM(T23:T30)</f>
        <v>8158.5000000000018</v>
      </c>
      <c r="U31" s="224">
        <f>SUM(U23:U30)</f>
        <v>9000</v>
      </c>
      <c r="V31" s="226">
        <f>SUM(V23:V30)</f>
        <v>1920</v>
      </c>
      <c r="W31" s="224">
        <f t="shared" si="17"/>
        <v>4500</v>
      </c>
      <c r="X31" s="55"/>
      <c r="AH31" s="1"/>
      <c r="AI31" s="1"/>
    </row>
    <row r="32" spans="2:35">
      <c r="C32" s="81" t="s">
        <v>25</v>
      </c>
      <c r="D32" s="77">
        <v>7</v>
      </c>
      <c r="E32" s="98">
        <v>4</v>
      </c>
      <c r="F32" s="77">
        <f t="shared" si="10"/>
        <v>28</v>
      </c>
      <c r="G32" s="104">
        <v>3</v>
      </c>
      <c r="H32" s="77">
        <f t="shared" si="11"/>
        <v>9.3333333333333339</v>
      </c>
      <c r="I32" s="71">
        <f t="shared" si="12"/>
        <v>28</v>
      </c>
      <c r="J32" s="77">
        <f t="shared" si="8"/>
        <v>0</v>
      </c>
      <c r="K32" s="44"/>
      <c r="L32" s="41"/>
      <c r="M32" s="41"/>
      <c r="N32" s="41"/>
      <c r="O32" s="41"/>
      <c r="P32" s="41"/>
      <c r="Q32" s="41"/>
      <c r="R32" s="41"/>
      <c r="T32" s="41"/>
      <c r="U32" s="41"/>
      <c r="V32" s="41"/>
      <c r="W32" s="41"/>
      <c r="X32" s="56"/>
    </row>
    <row r="33" spans="3:27" ht="15.75" thickBot="1">
      <c r="C33" s="81" t="s">
        <v>26</v>
      </c>
      <c r="D33" s="77">
        <v>7</v>
      </c>
      <c r="E33" s="98">
        <v>4</v>
      </c>
      <c r="F33" s="77">
        <f t="shared" si="10"/>
        <v>28</v>
      </c>
      <c r="G33" s="104">
        <v>3</v>
      </c>
      <c r="H33" s="77">
        <f t="shared" si="11"/>
        <v>9.3333333333333339</v>
      </c>
      <c r="I33" s="71">
        <f t="shared" si="12"/>
        <v>28</v>
      </c>
      <c r="J33" s="77">
        <f t="shared" si="8"/>
        <v>0</v>
      </c>
      <c r="K33" s="44"/>
      <c r="L33" s="41"/>
      <c r="M33" s="41"/>
      <c r="N33" s="41"/>
      <c r="O33" s="41"/>
      <c r="P33" s="41"/>
      <c r="Q33" s="41"/>
      <c r="R33" s="41"/>
      <c r="T33" s="56"/>
      <c r="U33" s="41"/>
      <c r="V33" s="41"/>
      <c r="W33" s="41"/>
      <c r="X33" s="41"/>
    </row>
    <row r="34" spans="3:27" ht="15.75" thickBot="1">
      <c r="C34" s="81" t="s">
        <v>27</v>
      </c>
      <c r="D34" s="77">
        <v>3</v>
      </c>
      <c r="E34" s="98">
        <v>4</v>
      </c>
      <c r="F34" s="77">
        <f t="shared" si="10"/>
        <v>12</v>
      </c>
      <c r="G34" s="104">
        <v>3</v>
      </c>
      <c r="H34" s="77">
        <f t="shared" si="11"/>
        <v>4</v>
      </c>
      <c r="I34" s="71">
        <f t="shared" si="12"/>
        <v>12</v>
      </c>
      <c r="J34" s="77">
        <f t="shared" si="8"/>
        <v>0</v>
      </c>
      <c r="K34" s="44"/>
      <c r="L34" s="41"/>
      <c r="M34" s="511" t="s">
        <v>158</v>
      </c>
      <c r="N34" s="512"/>
      <c r="O34" s="41"/>
      <c r="P34" s="452" t="s">
        <v>209</v>
      </c>
      <c r="Q34" s="453"/>
      <c r="R34" s="454"/>
      <c r="S34" s="397"/>
      <c r="T34" s="120"/>
      <c r="U34" s="41"/>
      <c r="V34" s="41"/>
      <c r="W34" s="41"/>
      <c r="X34" s="41"/>
      <c r="Y34" s="41"/>
      <c r="Z34" s="41"/>
      <c r="AA34" s="41"/>
    </row>
    <row r="35" spans="3:27" ht="15.75" thickBot="1">
      <c r="C35" s="81" t="s">
        <v>28</v>
      </c>
      <c r="D35" s="77">
        <v>4.2</v>
      </c>
      <c r="E35" s="98">
        <v>2</v>
      </c>
      <c r="F35" s="77">
        <f t="shared" si="10"/>
        <v>8.4</v>
      </c>
      <c r="G35" s="104">
        <v>3</v>
      </c>
      <c r="H35" s="77">
        <f t="shared" si="11"/>
        <v>2.8000000000000003</v>
      </c>
      <c r="I35" s="71">
        <f t="shared" si="12"/>
        <v>8.4</v>
      </c>
      <c r="J35" s="77">
        <f t="shared" si="8"/>
        <v>0</v>
      </c>
      <c r="K35" s="44"/>
      <c r="L35" s="41"/>
      <c r="M35" s="110" t="s">
        <v>133</v>
      </c>
      <c r="N35" s="114" t="s">
        <v>159</v>
      </c>
      <c r="O35" s="41"/>
      <c r="P35" s="486" t="s">
        <v>133</v>
      </c>
      <c r="Q35" s="487"/>
      <c r="R35" s="398" t="s">
        <v>91</v>
      </c>
      <c r="S35" s="121"/>
      <c r="T35" s="121"/>
      <c r="U35" s="41"/>
      <c r="V35" s="41"/>
      <c r="W35" s="41"/>
      <c r="X35" s="41"/>
      <c r="Y35" s="41"/>
      <c r="Z35" s="41"/>
      <c r="AA35" s="41"/>
    </row>
    <row r="36" spans="3:27" ht="15.75" thickBot="1">
      <c r="C36" s="81" t="s">
        <v>29</v>
      </c>
      <c r="D36" s="77">
        <v>3</v>
      </c>
      <c r="E36" s="98">
        <v>4</v>
      </c>
      <c r="F36" s="77">
        <f t="shared" si="10"/>
        <v>12</v>
      </c>
      <c r="G36" s="104">
        <v>3</v>
      </c>
      <c r="H36" s="77">
        <f t="shared" si="11"/>
        <v>4</v>
      </c>
      <c r="I36" s="71">
        <f t="shared" si="12"/>
        <v>12</v>
      </c>
      <c r="J36" s="77">
        <f t="shared" si="8"/>
        <v>0</v>
      </c>
      <c r="K36" s="44"/>
      <c r="L36" s="41"/>
      <c r="M36" s="111" t="s">
        <v>160</v>
      </c>
      <c r="N36" s="115">
        <f>2000*2</f>
        <v>4000</v>
      </c>
      <c r="O36" s="41"/>
      <c r="P36" s="484" t="s">
        <v>208</v>
      </c>
      <c r="Q36" s="485"/>
      <c r="R36" s="100">
        <v>200</v>
      </c>
      <c r="S36" s="121"/>
      <c r="T36" s="121"/>
      <c r="U36" s="41"/>
      <c r="V36" s="452" t="s">
        <v>270</v>
      </c>
      <c r="W36" s="453"/>
      <c r="X36" s="453"/>
      <c r="Y36" s="453"/>
      <c r="Z36" s="454"/>
      <c r="AA36" s="41"/>
    </row>
    <row r="37" spans="3:27" ht="16.5" thickBot="1">
      <c r="C37" s="81" t="s">
        <v>30</v>
      </c>
      <c r="D37" s="77">
        <v>3</v>
      </c>
      <c r="E37" s="98">
        <v>4</v>
      </c>
      <c r="F37" s="77">
        <f t="shared" si="10"/>
        <v>12</v>
      </c>
      <c r="G37" s="104">
        <v>3</v>
      </c>
      <c r="H37" s="77">
        <f t="shared" si="11"/>
        <v>4</v>
      </c>
      <c r="I37" s="71">
        <f t="shared" si="12"/>
        <v>12</v>
      </c>
      <c r="J37" s="77">
        <f t="shared" si="8"/>
        <v>0</v>
      </c>
      <c r="K37" s="44"/>
      <c r="L37" s="41"/>
      <c r="M37" s="112" t="s">
        <v>161</v>
      </c>
      <c r="N37" s="115">
        <v>600</v>
      </c>
      <c r="O37" s="41"/>
      <c r="P37" s="41"/>
      <c r="Q37" s="41"/>
      <c r="R37" s="41"/>
      <c r="T37" s="56"/>
      <c r="U37" s="41"/>
      <c r="V37" s="458" t="s">
        <v>133</v>
      </c>
      <c r="W37" s="459"/>
      <c r="X37" s="459"/>
      <c r="Y37" s="460"/>
      <c r="Z37" s="130" t="s">
        <v>149</v>
      </c>
      <c r="AA37" s="41"/>
    </row>
    <row r="38" spans="3:27" ht="16.5" thickBot="1">
      <c r="C38" s="81" t="s">
        <v>31</v>
      </c>
      <c r="D38" s="77">
        <v>2.1800000000000002</v>
      </c>
      <c r="E38" s="98">
        <v>4</v>
      </c>
      <c r="F38" s="77">
        <f t="shared" si="10"/>
        <v>8.7200000000000006</v>
      </c>
      <c r="G38" s="104">
        <v>3</v>
      </c>
      <c r="H38" s="77">
        <f t="shared" si="11"/>
        <v>2.9066666666666667</v>
      </c>
      <c r="I38" s="71">
        <f t="shared" si="12"/>
        <v>8.7200000000000006</v>
      </c>
      <c r="J38" s="77">
        <f t="shared" si="8"/>
        <v>0</v>
      </c>
      <c r="K38" s="44"/>
      <c r="L38" s="41"/>
      <c r="M38" s="113" t="s">
        <v>162</v>
      </c>
      <c r="N38" s="116">
        <v>2200</v>
      </c>
      <c r="O38" s="41"/>
      <c r="P38" s="41"/>
      <c r="Q38" s="41"/>
      <c r="R38" s="41"/>
      <c r="T38" s="56"/>
      <c r="U38" s="41"/>
      <c r="V38" s="455" t="s">
        <v>150</v>
      </c>
      <c r="W38" s="456"/>
      <c r="X38" s="456"/>
      <c r="Y38" s="457"/>
      <c r="Z38" s="129">
        <v>800</v>
      </c>
      <c r="AA38" s="41"/>
    </row>
    <row r="39" spans="3:27" ht="16.5" thickBot="1">
      <c r="C39" s="81" t="s">
        <v>32</v>
      </c>
      <c r="D39" s="77">
        <v>1.3</v>
      </c>
      <c r="E39" s="98">
        <v>8</v>
      </c>
      <c r="F39" s="77">
        <f t="shared" si="10"/>
        <v>10.4</v>
      </c>
      <c r="G39" s="104">
        <v>3</v>
      </c>
      <c r="H39" s="77">
        <f t="shared" si="11"/>
        <v>3.4666666666666668</v>
      </c>
      <c r="I39" s="71">
        <f t="shared" si="12"/>
        <v>10.4</v>
      </c>
      <c r="J39" s="77">
        <f t="shared" si="8"/>
        <v>0</v>
      </c>
      <c r="K39" s="44"/>
      <c r="L39" s="41"/>
      <c r="M39" s="117" t="s">
        <v>53</v>
      </c>
      <c r="N39" s="118">
        <f>SUM(N36:N38)</f>
        <v>6800</v>
      </c>
      <c r="O39" s="41"/>
      <c r="P39" s="41"/>
      <c r="Q39" s="41"/>
      <c r="R39" s="41"/>
      <c r="T39" s="41"/>
      <c r="U39" s="41"/>
      <c r="V39" s="455" t="s">
        <v>151</v>
      </c>
      <c r="W39" s="456"/>
      <c r="X39" s="456"/>
      <c r="Y39" s="457"/>
      <c r="Z39" s="128">
        <v>700</v>
      </c>
      <c r="AA39" s="41"/>
    </row>
    <row r="40" spans="3:27" ht="16.5" thickBot="1">
      <c r="C40" s="81" t="s">
        <v>33</v>
      </c>
      <c r="D40" s="77">
        <v>1.6</v>
      </c>
      <c r="E40" s="98">
        <v>8</v>
      </c>
      <c r="F40" s="77">
        <f t="shared" si="10"/>
        <v>12.8</v>
      </c>
      <c r="G40" s="104">
        <v>3</v>
      </c>
      <c r="H40" s="77">
        <f t="shared" si="11"/>
        <v>4.2666666666666666</v>
      </c>
      <c r="I40" s="71">
        <f t="shared" si="12"/>
        <v>12.8</v>
      </c>
      <c r="J40" s="77">
        <f t="shared" si="8"/>
        <v>0</v>
      </c>
      <c r="K40" s="44"/>
      <c r="L40" s="41"/>
      <c r="M40" s="41"/>
      <c r="N40" s="41"/>
      <c r="O40" s="41"/>
      <c r="P40" s="41"/>
      <c r="Q40" s="41"/>
      <c r="T40" s="41"/>
      <c r="U40" s="41"/>
      <c r="V40" s="455" t="s">
        <v>153</v>
      </c>
      <c r="W40" s="456"/>
      <c r="X40" s="456"/>
      <c r="Y40" s="457"/>
      <c r="Z40" s="131">
        <v>1200</v>
      </c>
      <c r="AA40" s="41"/>
    </row>
    <row r="41" spans="3:27" ht="16.5" thickBot="1">
      <c r="C41" s="81" t="s">
        <v>34</v>
      </c>
      <c r="D41" s="77">
        <v>2</v>
      </c>
      <c r="E41" s="98">
        <v>6</v>
      </c>
      <c r="F41" s="77">
        <f t="shared" si="10"/>
        <v>12</v>
      </c>
      <c r="G41" s="104">
        <v>3</v>
      </c>
      <c r="H41" s="77">
        <f t="shared" si="11"/>
        <v>4</v>
      </c>
      <c r="I41" s="71">
        <f t="shared" si="12"/>
        <v>12</v>
      </c>
      <c r="J41" s="77">
        <f t="shared" si="8"/>
        <v>0</v>
      </c>
      <c r="K41" s="44"/>
      <c r="L41" s="41"/>
      <c r="M41" s="41"/>
      <c r="N41" s="41"/>
      <c r="O41" s="41"/>
      <c r="P41" s="41"/>
      <c r="Q41" s="41"/>
      <c r="R41" s="41"/>
      <c r="T41" s="41"/>
      <c r="U41" s="41"/>
      <c r="V41" s="458" t="s">
        <v>53</v>
      </c>
      <c r="W41" s="459"/>
      <c r="X41" s="459"/>
      <c r="Y41" s="460"/>
      <c r="Z41" s="132">
        <f>SUM(Z38:Z40)</f>
        <v>2700</v>
      </c>
      <c r="AA41" s="41"/>
    </row>
    <row r="42" spans="3:27" ht="15.75" thickBot="1">
      <c r="C42" s="81" t="s">
        <v>35</v>
      </c>
      <c r="D42" s="77">
        <v>1.3</v>
      </c>
      <c r="E42" s="98">
        <v>4</v>
      </c>
      <c r="F42" s="77">
        <f t="shared" si="10"/>
        <v>5.2</v>
      </c>
      <c r="G42" s="104">
        <v>3</v>
      </c>
      <c r="H42" s="77">
        <f t="shared" si="11"/>
        <v>1.7333333333333334</v>
      </c>
      <c r="I42" s="71">
        <f t="shared" si="12"/>
        <v>5.2</v>
      </c>
      <c r="J42" s="77">
        <f t="shared" si="8"/>
        <v>0</v>
      </c>
      <c r="K42" s="44"/>
      <c r="L42" s="41"/>
      <c r="M42" s="465" t="s">
        <v>193</v>
      </c>
      <c r="N42" s="466"/>
      <c r="O42" s="466"/>
      <c r="P42" s="467"/>
      <c r="Q42" s="41"/>
      <c r="R42" s="41">
        <f>+R31*12</f>
        <v>108000</v>
      </c>
      <c r="U42" s="41"/>
      <c r="AA42" s="41"/>
    </row>
    <row r="43" spans="3:27" ht="15.75" thickBot="1">
      <c r="C43" s="81" t="s">
        <v>36</v>
      </c>
      <c r="D43" s="77">
        <v>15</v>
      </c>
      <c r="E43" s="98">
        <v>6</v>
      </c>
      <c r="F43" s="77">
        <f t="shared" si="10"/>
        <v>90</v>
      </c>
      <c r="G43" s="104">
        <v>3</v>
      </c>
      <c r="H43" s="77">
        <f t="shared" si="11"/>
        <v>30</v>
      </c>
      <c r="I43" s="71">
        <f t="shared" si="12"/>
        <v>90</v>
      </c>
      <c r="J43" s="77">
        <f t="shared" si="8"/>
        <v>0</v>
      </c>
      <c r="K43" s="44"/>
      <c r="L43" s="41"/>
      <c r="M43" s="463" t="s">
        <v>133</v>
      </c>
      <c r="N43" s="464"/>
      <c r="O43" s="193" t="s">
        <v>91</v>
      </c>
      <c r="P43" s="194" t="s">
        <v>92</v>
      </c>
      <c r="Q43" s="41"/>
      <c r="U43" s="41"/>
      <c r="V43" s="41"/>
      <c r="W43" s="41"/>
      <c r="X43" s="41"/>
      <c r="Y43" s="41"/>
      <c r="Z43" s="41"/>
      <c r="AA43" s="41"/>
    </row>
    <row r="44" spans="3:27">
      <c r="C44" s="81" t="s">
        <v>37</v>
      </c>
      <c r="D44" s="77">
        <v>8</v>
      </c>
      <c r="E44" s="98">
        <v>6</v>
      </c>
      <c r="F44" s="77">
        <f t="shared" si="10"/>
        <v>48</v>
      </c>
      <c r="G44" s="104">
        <v>3</v>
      </c>
      <c r="H44" s="77">
        <f t="shared" si="11"/>
        <v>16</v>
      </c>
      <c r="I44" s="71">
        <f t="shared" si="12"/>
        <v>48</v>
      </c>
      <c r="J44" s="77">
        <f t="shared" si="8"/>
        <v>0</v>
      </c>
      <c r="K44" s="44"/>
      <c r="L44" s="41"/>
      <c r="M44" s="461" t="s">
        <v>194</v>
      </c>
      <c r="N44" s="462"/>
      <c r="O44" s="209">
        <v>620</v>
      </c>
      <c r="P44" s="227">
        <f>+O44*12</f>
        <v>7440</v>
      </c>
      <c r="Q44" s="41"/>
      <c r="U44" s="41"/>
      <c r="V44" s="41"/>
      <c r="W44" s="41"/>
      <c r="X44" s="41"/>
      <c r="Y44" s="41"/>
      <c r="Z44" s="41"/>
      <c r="AA44" s="41"/>
    </row>
    <row r="45" spans="3:27" ht="15.75" thickBot="1">
      <c r="C45" s="81" t="s">
        <v>38</v>
      </c>
      <c r="D45" s="77">
        <v>2.5</v>
      </c>
      <c r="E45" s="98">
        <v>10</v>
      </c>
      <c r="F45" s="77">
        <f t="shared" si="10"/>
        <v>25</v>
      </c>
      <c r="G45" s="104">
        <v>3</v>
      </c>
      <c r="H45" s="77">
        <f t="shared" si="11"/>
        <v>8.3333333333333339</v>
      </c>
      <c r="I45" s="71">
        <f t="shared" si="12"/>
        <v>25</v>
      </c>
      <c r="J45" s="77">
        <f t="shared" si="8"/>
        <v>0</v>
      </c>
      <c r="K45" s="44"/>
      <c r="L45" s="41"/>
      <c r="M45" s="468" t="s">
        <v>195</v>
      </c>
      <c r="N45" s="469"/>
      <c r="O45" s="192">
        <v>500</v>
      </c>
      <c r="P45" s="228">
        <f>+O45*12</f>
        <v>6000</v>
      </c>
      <c r="Q45" s="41"/>
      <c r="U45" s="41"/>
      <c r="V45" s="41"/>
      <c r="W45" s="41"/>
      <c r="X45" s="41"/>
      <c r="Y45" s="41"/>
      <c r="Z45" s="41"/>
      <c r="AA45" s="41"/>
    </row>
    <row r="46" spans="3:27" ht="15.75" thickBot="1">
      <c r="C46" s="81" t="s">
        <v>39</v>
      </c>
      <c r="D46" s="77">
        <v>100</v>
      </c>
      <c r="E46" s="98">
        <v>2</v>
      </c>
      <c r="F46" s="77">
        <f t="shared" si="10"/>
        <v>200</v>
      </c>
      <c r="G46" s="104">
        <v>3</v>
      </c>
      <c r="H46" s="77">
        <f t="shared" si="11"/>
        <v>66.666666666666671</v>
      </c>
      <c r="I46" s="71">
        <f>+H46*3</f>
        <v>200</v>
      </c>
      <c r="J46" s="77">
        <f t="shared" si="8"/>
        <v>0</v>
      </c>
      <c r="K46" s="44"/>
      <c r="L46" s="41"/>
      <c r="M46" s="480" t="s">
        <v>53</v>
      </c>
      <c r="N46" s="481"/>
      <c r="O46" s="191">
        <f>SUM(O44:O45)</f>
        <v>1120</v>
      </c>
      <c r="P46" s="190">
        <f>SUM(P44:P45)</f>
        <v>13440</v>
      </c>
      <c r="Q46" s="58"/>
    </row>
    <row r="47" spans="3:27">
      <c r="C47" s="81" t="s">
        <v>40</v>
      </c>
      <c r="D47" s="77">
        <v>30</v>
      </c>
      <c r="E47" s="98">
        <v>2</v>
      </c>
      <c r="F47" s="77">
        <f t="shared" si="10"/>
        <v>60</v>
      </c>
      <c r="G47" s="104">
        <v>3</v>
      </c>
      <c r="H47" s="77">
        <f t="shared" si="11"/>
        <v>20</v>
      </c>
      <c r="I47" s="71">
        <f t="shared" ref="I47:I49" si="18">+H47*3</f>
        <v>60</v>
      </c>
      <c r="J47" s="77">
        <f t="shared" si="8"/>
        <v>0</v>
      </c>
      <c r="K47" s="44"/>
      <c r="L47" s="41"/>
      <c r="M47" s="41"/>
      <c r="N47" s="41"/>
      <c r="O47" s="41"/>
      <c r="P47" s="41"/>
      <c r="Q47" s="41"/>
    </row>
    <row r="48" spans="3:27" ht="15.75" thickBot="1">
      <c r="C48" s="81" t="s">
        <v>41</v>
      </c>
      <c r="D48" s="77">
        <v>175</v>
      </c>
      <c r="E48" s="98">
        <v>4</v>
      </c>
      <c r="F48" s="77">
        <f t="shared" si="10"/>
        <v>700</v>
      </c>
      <c r="G48" s="104">
        <v>3</v>
      </c>
      <c r="H48" s="77">
        <f t="shared" si="11"/>
        <v>233.33333333333334</v>
      </c>
      <c r="I48" s="71">
        <f t="shared" si="18"/>
        <v>700</v>
      </c>
      <c r="J48" s="77">
        <f t="shared" si="8"/>
        <v>0</v>
      </c>
      <c r="K48" s="44"/>
      <c r="L48" s="41"/>
      <c r="M48" s="41"/>
      <c r="N48" s="41"/>
      <c r="O48" s="41"/>
      <c r="P48" s="41"/>
      <c r="Q48" s="41"/>
    </row>
    <row r="49" spans="1:33" ht="15.75" thickBot="1">
      <c r="C49" s="81" t="s">
        <v>42</v>
      </c>
      <c r="D49" s="77">
        <v>120</v>
      </c>
      <c r="E49" s="98">
        <v>2</v>
      </c>
      <c r="F49" s="77">
        <f t="shared" si="10"/>
        <v>240</v>
      </c>
      <c r="G49" s="104">
        <v>3</v>
      </c>
      <c r="H49" s="77">
        <f t="shared" si="11"/>
        <v>80</v>
      </c>
      <c r="I49" s="71">
        <f t="shared" si="18"/>
        <v>240</v>
      </c>
      <c r="J49" s="77">
        <f t="shared" si="8"/>
        <v>0</v>
      </c>
      <c r="K49" s="44"/>
      <c r="L49" s="41"/>
      <c r="M49" s="488" t="s">
        <v>193</v>
      </c>
      <c r="N49" s="489"/>
      <c r="O49" s="489"/>
      <c r="P49" s="490"/>
      <c r="Q49" s="41"/>
    </row>
    <row r="50" spans="1:33" ht="15.75" thickBot="1">
      <c r="C50" s="82" t="s">
        <v>43</v>
      </c>
      <c r="D50" s="79">
        <v>11</v>
      </c>
      <c r="E50" s="100">
        <v>4</v>
      </c>
      <c r="F50" s="79">
        <f t="shared" si="10"/>
        <v>44</v>
      </c>
      <c r="G50" s="108">
        <v>3</v>
      </c>
      <c r="H50" s="79">
        <f t="shared" si="11"/>
        <v>14.666666666666666</v>
      </c>
      <c r="I50" s="72">
        <f>+H50*3</f>
        <v>44</v>
      </c>
      <c r="J50" s="79">
        <f t="shared" si="8"/>
        <v>0</v>
      </c>
      <c r="K50" s="44"/>
      <c r="L50" s="41"/>
      <c r="M50" s="463" t="s">
        <v>133</v>
      </c>
      <c r="N50" s="491"/>
      <c r="O50" s="193" t="s">
        <v>91</v>
      </c>
      <c r="P50" s="229" t="s">
        <v>92</v>
      </c>
      <c r="Q50" s="41"/>
    </row>
    <row r="51" spans="1:33" ht="15.75" thickBot="1">
      <c r="C51" s="41"/>
      <c r="D51" s="41"/>
      <c r="E51" s="474" t="s">
        <v>15</v>
      </c>
      <c r="F51" s="476">
        <f>SUM(F23:F50)</f>
        <v>3116.5200000000004</v>
      </c>
      <c r="G51" s="46"/>
      <c r="H51" s="476">
        <f>SUM(H23:H50)</f>
        <v>1038.8400000000001</v>
      </c>
      <c r="I51" s="41"/>
      <c r="J51" s="41"/>
      <c r="K51" s="41"/>
      <c r="L51" s="41"/>
      <c r="M51" s="482" t="s">
        <v>211</v>
      </c>
      <c r="N51" s="483"/>
      <c r="O51" s="230">
        <v>400</v>
      </c>
      <c r="P51" s="231">
        <f>+O51*12</f>
        <v>4800</v>
      </c>
      <c r="Q51" s="41"/>
    </row>
    <row r="52" spans="1:33" ht="15.75" thickBot="1">
      <c r="C52" s="41"/>
      <c r="D52" s="41"/>
      <c r="E52" s="475"/>
      <c r="F52" s="477"/>
      <c r="G52" s="46"/>
      <c r="H52" s="477"/>
      <c r="I52" s="41"/>
      <c r="J52" s="41"/>
      <c r="K52" s="41"/>
      <c r="L52" s="41"/>
      <c r="M52" s="41"/>
      <c r="N52" s="41"/>
      <c r="O52" s="41"/>
      <c r="P52" s="41"/>
      <c r="Q52" s="41"/>
    </row>
    <row r="53" spans="1:33">
      <c r="C53" s="41"/>
      <c r="D53" s="41"/>
      <c r="E53" s="41"/>
      <c r="F53" s="41"/>
      <c r="G53" s="47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33" s="7" customFormat="1" ht="15.75" thickBot="1">
      <c r="A54" s="30"/>
      <c r="B54" s="41"/>
      <c r="C54" s="41"/>
      <c r="D54" s="41"/>
      <c r="E54" s="41"/>
      <c r="F54" s="41"/>
      <c r="G54" s="47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1"/>
      <c r="S54" s="56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7" customFormat="1" ht="15.75" thickBot="1">
      <c r="A55" s="30"/>
      <c r="B55" s="41"/>
      <c r="C55" s="471" t="s">
        <v>261</v>
      </c>
      <c r="D55" s="472"/>
      <c r="E55" s="472"/>
      <c r="F55" s="472"/>
      <c r="G55" s="472"/>
      <c r="H55" s="472"/>
      <c r="I55" s="472"/>
      <c r="J55" s="473"/>
      <c r="K55" s="41"/>
      <c r="L55" s="41"/>
      <c r="M55" s="41"/>
      <c r="N55" s="41"/>
      <c r="O55" s="41"/>
      <c r="P55" s="41"/>
      <c r="Q55" s="41"/>
      <c r="R55" s="1"/>
      <c r="S55" s="5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7" customFormat="1" ht="30" thickBot="1">
      <c r="A56" s="30"/>
      <c r="B56" s="41"/>
      <c r="C56" s="95" t="s">
        <v>262</v>
      </c>
      <c r="D56" s="62" t="s">
        <v>197</v>
      </c>
      <c r="E56" s="61" t="s">
        <v>2</v>
      </c>
      <c r="F56" s="62" t="s">
        <v>4</v>
      </c>
      <c r="G56" s="61" t="s">
        <v>198</v>
      </c>
      <c r="H56" s="95" t="s">
        <v>107</v>
      </c>
      <c r="I56" s="61" t="s">
        <v>108</v>
      </c>
      <c r="J56" s="62" t="s">
        <v>109</v>
      </c>
      <c r="K56" s="41"/>
      <c r="L56" s="41"/>
      <c r="M56" s="1"/>
      <c r="N56" s="1"/>
      <c r="O56" s="1"/>
      <c r="P56" s="1"/>
      <c r="Q56" s="1"/>
      <c r="R56" s="1"/>
      <c r="S56" s="5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7" customFormat="1">
      <c r="A57" s="30"/>
      <c r="B57" s="41"/>
      <c r="C57" s="91" t="s">
        <v>154</v>
      </c>
      <c r="D57" s="92">
        <v>4</v>
      </c>
      <c r="E57" s="93">
        <v>500</v>
      </c>
      <c r="F57" s="94">
        <f>+D57*E57</f>
        <v>2000</v>
      </c>
      <c r="G57" s="96">
        <v>5</v>
      </c>
      <c r="H57" s="395">
        <f>+F57/G57</f>
        <v>400</v>
      </c>
      <c r="I57" s="70">
        <f>+H57*3</f>
        <v>1200</v>
      </c>
      <c r="J57" s="97">
        <f>+F57-I57</f>
        <v>800</v>
      </c>
      <c r="K57" s="41"/>
      <c r="L57" s="41"/>
      <c r="M57" s="1"/>
      <c r="N57" s="1"/>
      <c r="O57" s="1"/>
      <c r="P57" s="1"/>
      <c r="Q57" s="1"/>
      <c r="R57" s="1"/>
      <c r="S57" s="5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7" customFormat="1">
      <c r="A58" s="30"/>
      <c r="B58" s="41"/>
      <c r="C58" s="81" t="s">
        <v>155</v>
      </c>
      <c r="D58" s="83">
        <v>2</v>
      </c>
      <c r="E58" s="85">
        <v>300</v>
      </c>
      <c r="F58" s="87">
        <f t="shared" ref="F58:F60" si="19">+D58*E58</f>
        <v>600</v>
      </c>
      <c r="G58" s="98">
        <v>10</v>
      </c>
      <c r="H58" s="393">
        <f t="shared" ref="H58:H60" si="20">+F58/G58</f>
        <v>60</v>
      </c>
      <c r="I58" s="71">
        <f>+H58*5</f>
        <v>300</v>
      </c>
      <c r="J58" s="99">
        <f>+F58-I58</f>
        <v>300</v>
      </c>
      <c r="K58" s="41"/>
      <c r="L58" s="41"/>
      <c r="M58" s="1"/>
      <c r="N58" s="1"/>
      <c r="O58" s="1"/>
      <c r="P58" s="1"/>
      <c r="Q58" s="1"/>
      <c r="R58" s="1"/>
      <c r="S58" s="56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7" customFormat="1">
      <c r="A59" s="30"/>
      <c r="B59" s="41"/>
      <c r="C59" s="81" t="s">
        <v>156</v>
      </c>
      <c r="D59" s="83">
        <v>4</v>
      </c>
      <c r="E59" s="85">
        <v>200</v>
      </c>
      <c r="F59" s="87">
        <f t="shared" si="19"/>
        <v>800</v>
      </c>
      <c r="G59" s="98">
        <v>5</v>
      </c>
      <c r="H59" s="393">
        <f t="shared" si="20"/>
        <v>160</v>
      </c>
      <c r="I59" s="71">
        <f>+H59*5</f>
        <v>800</v>
      </c>
      <c r="J59" s="99">
        <f>+F59-I59</f>
        <v>0</v>
      </c>
      <c r="K59" s="41"/>
      <c r="L59" s="41"/>
      <c r="M59" s="1"/>
      <c r="N59" s="1"/>
      <c r="O59" s="1"/>
      <c r="P59" s="1"/>
      <c r="Q59" s="1"/>
      <c r="R59" s="1"/>
      <c r="S59" s="56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7" customFormat="1" ht="15.75" thickBot="1">
      <c r="A60" s="30"/>
      <c r="B60" s="41"/>
      <c r="C60" s="82" t="s">
        <v>157</v>
      </c>
      <c r="D60" s="84">
        <v>2</v>
      </c>
      <c r="E60" s="86">
        <v>900</v>
      </c>
      <c r="F60" s="88">
        <f t="shared" si="19"/>
        <v>1800</v>
      </c>
      <c r="G60" s="100">
        <v>10</v>
      </c>
      <c r="H60" s="394">
        <f t="shared" si="20"/>
        <v>180</v>
      </c>
      <c r="I60" s="72">
        <f>+H60*5</f>
        <v>900</v>
      </c>
      <c r="J60" s="101">
        <f>+F60-I60</f>
        <v>900</v>
      </c>
      <c r="K60" s="41"/>
      <c r="L60" s="41"/>
      <c r="M60" s="1"/>
      <c r="N60" s="1"/>
      <c r="O60" s="1"/>
      <c r="P60" s="1"/>
      <c r="Q60" s="1"/>
      <c r="R60" s="1"/>
      <c r="S60" s="56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7" customFormat="1">
      <c r="A61" s="30"/>
      <c r="B61" s="41"/>
      <c r="C61" s="12"/>
      <c r="D61" s="12"/>
      <c r="E61" s="474" t="s">
        <v>15</v>
      </c>
      <c r="F61" s="476">
        <f>SUM(F57:F60)</f>
        <v>5200</v>
      </c>
      <c r="G61" s="41"/>
      <c r="H61" s="478">
        <f>SUM(H57:H60)</f>
        <v>800</v>
      </c>
      <c r="I61" s="499" t="s">
        <v>110</v>
      </c>
      <c r="J61" s="476">
        <f>SUM(J57:J60)</f>
        <v>2000</v>
      </c>
      <c r="K61" s="41"/>
      <c r="L61" s="41"/>
      <c r="M61" s="1"/>
      <c r="N61" s="1"/>
      <c r="O61" s="1"/>
      <c r="P61" s="1"/>
      <c r="Q61" s="1"/>
      <c r="R61" s="1"/>
      <c r="S61" s="56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7" customFormat="1" ht="15.75" thickBot="1">
      <c r="A62" s="30"/>
      <c r="B62" s="41"/>
      <c r="C62" s="41"/>
      <c r="D62" s="41"/>
      <c r="E62" s="475"/>
      <c r="F62" s="477"/>
      <c r="G62" s="47"/>
      <c r="H62" s="479"/>
      <c r="I62" s="500"/>
      <c r="J62" s="477"/>
      <c r="K62" s="41"/>
      <c r="L62" s="41"/>
      <c r="M62" s="1"/>
      <c r="N62" s="1"/>
      <c r="O62" s="1"/>
      <c r="P62" s="1"/>
      <c r="Q62" s="1"/>
      <c r="R62" s="1"/>
      <c r="S62" s="5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7" customFormat="1">
      <c r="A63" s="30"/>
      <c r="B63" s="41"/>
      <c r="C63" s="41"/>
      <c r="D63" s="41"/>
      <c r="E63" s="41"/>
      <c r="F63" s="41"/>
      <c r="G63" s="47"/>
      <c r="H63" s="41"/>
      <c r="I63" s="41"/>
      <c r="J63" s="41"/>
      <c r="K63" s="41"/>
      <c r="L63" s="41"/>
      <c r="M63" s="1"/>
      <c r="N63" s="1"/>
      <c r="O63" s="1"/>
      <c r="P63" s="1"/>
      <c r="Q63" s="1"/>
      <c r="R63" s="1"/>
      <c r="S63" s="5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7" customFormat="1">
      <c r="A64" s="30"/>
      <c r="B64" s="41"/>
      <c r="C64" s="41"/>
      <c r="D64" s="41"/>
      <c r="E64" s="41"/>
      <c r="F64" s="41"/>
      <c r="G64" s="47"/>
      <c r="H64" s="41"/>
      <c r="I64" s="41"/>
      <c r="J64" s="41"/>
      <c r="K64" s="41"/>
      <c r="L64" s="41"/>
      <c r="M64" s="1"/>
      <c r="N64" s="1"/>
      <c r="O64" s="1"/>
      <c r="P64" s="1"/>
      <c r="Q64" s="1"/>
      <c r="R64" s="1"/>
      <c r="S64" s="5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7" customFormat="1">
      <c r="A65" s="30"/>
      <c r="B65" s="41"/>
      <c r="C65" s="41"/>
      <c r="D65" s="48"/>
      <c r="E65" s="41"/>
      <c r="F65" s="49"/>
      <c r="G65" s="47"/>
      <c r="H65" s="41"/>
      <c r="I65" s="41"/>
      <c r="J65" s="41"/>
      <c r="K65" s="41"/>
      <c r="L65" s="41"/>
      <c r="M65" s="1"/>
      <c r="N65" s="1"/>
      <c r="O65" s="1"/>
      <c r="P65" s="1"/>
      <c r="Q65" s="1"/>
      <c r="R65" s="1"/>
      <c r="S65" s="56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7" customFormat="1">
      <c r="A66" s="30"/>
      <c r="B66" s="41"/>
      <c r="C66" s="41"/>
      <c r="D66" s="41"/>
      <c r="E66" s="41"/>
      <c r="F66" s="41"/>
      <c r="G66" s="47"/>
      <c r="H66" s="41"/>
      <c r="I66" s="41"/>
      <c r="J66" s="41"/>
      <c r="K66" s="41"/>
      <c r="L66" s="41"/>
      <c r="M66" s="1"/>
      <c r="N66" s="1"/>
      <c r="O66" s="1"/>
      <c r="P66" s="1"/>
      <c r="Q66" s="1"/>
      <c r="R66" s="1"/>
      <c r="S66" s="5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7" customFormat="1">
      <c r="A67" s="30"/>
      <c r="B67" s="41"/>
      <c r="C67" s="41"/>
      <c r="D67" s="41"/>
      <c r="E67" s="41"/>
      <c r="F67" s="41"/>
      <c r="G67" s="47"/>
      <c r="H67" s="41"/>
      <c r="I67" s="41"/>
      <c r="J67" s="41"/>
      <c r="K67" s="41"/>
      <c r="L67" s="41"/>
      <c r="M67" s="1"/>
      <c r="N67" s="1"/>
      <c r="O67" s="1"/>
      <c r="P67" s="1"/>
      <c r="Q67" s="1"/>
      <c r="R67" s="1"/>
      <c r="S67" s="5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7" customFormat="1">
      <c r="A68" s="30"/>
      <c r="B68" s="41"/>
      <c r="C68" s="41"/>
      <c r="D68" s="41"/>
      <c r="E68" s="41"/>
      <c r="F68" s="41"/>
      <c r="G68" s="47"/>
      <c r="H68" s="41"/>
      <c r="I68" s="41"/>
      <c r="J68" s="41"/>
      <c r="K68" s="41"/>
      <c r="L68" s="41"/>
      <c r="M68" s="1"/>
      <c r="N68" s="1"/>
      <c r="O68" s="1"/>
      <c r="P68" s="1"/>
      <c r="Q68" s="1"/>
      <c r="R68" s="1"/>
      <c r="S68" s="5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6" customFormat="1" ht="15.75" thickBot="1">
      <c r="A69" s="30"/>
      <c r="B69" s="41"/>
      <c r="C69" s="41"/>
      <c r="D69" s="41"/>
      <c r="E69" s="41"/>
      <c r="F69" s="41"/>
      <c r="G69" s="41"/>
      <c r="H69" s="45"/>
      <c r="I69" s="45"/>
      <c r="J69" s="45"/>
      <c r="K69" s="45"/>
      <c r="L69" s="45"/>
      <c r="M69" s="1"/>
      <c r="N69" s="1"/>
      <c r="O69" s="1"/>
      <c r="P69" s="1"/>
      <c r="Q69" s="1"/>
      <c r="R69" s="1"/>
      <c r="S69" s="5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thickBot="1">
      <c r="C70" s="519" t="s">
        <v>44</v>
      </c>
      <c r="D70" s="238" t="s">
        <v>45</v>
      </c>
      <c r="E70" s="238" t="s">
        <v>45</v>
      </c>
      <c r="F70" s="41"/>
      <c r="G70" s="513" t="s">
        <v>170</v>
      </c>
      <c r="H70" s="513"/>
      <c r="I70" s="513"/>
      <c r="J70" s="16" t="s">
        <v>167</v>
      </c>
      <c r="K70" s="16" t="s">
        <v>168</v>
      </c>
      <c r="L70" s="41"/>
    </row>
    <row r="71" spans="1:33" ht="15.75" thickBot="1">
      <c r="C71" s="520"/>
      <c r="D71" s="239" t="s">
        <v>46</v>
      </c>
      <c r="E71" s="237" t="s">
        <v>47</v>
      </c>
      <c r="F71" s="41"/>
      <c r="G71" s="492" t="s">
        <v>163</v>
      </c>
      <c r="H71" s="493"/>
      <c r="I71" s="494"/>
      <c r="J71" s="15">
        <v>4</v>
      </c>
      <c r="K71" s="25">
        <f>+J71/100</f>
        <v>0.04</v>
      </c>
      <c r="L71" s="52"/>
    </row>
    <row r="72" spans="1:33">
      <c r="C72" s="240" t="s">
        <v>48</v>
      </c>
      <c r="D72" s="241">
        <v>3.5</v>
      </c>
      <c r="E72" s="204">
        <f>+D72/10</f>
        <v>0.35</v>
      </c>
      <c r="F72" s="41"/>
      <c r="G72" s="492" t="s">
        <v>164</v>
      </c>
      <c r="H72" s="493"/>
      <c r="I72" s="494"/>
      <c r="J72" s="15">
        <v>5.0999999999999996</v>
      </c>
      <c r="K72" s="25">
        <f t="shared" ref="K72:K76" si="21">+J72/100</f>
        <v>5.0999999999999997E-2</v>
      </c>
      <c r="L72" s="52"/>
    </row>
    <row r="73" spans="1:33">
      <c r="C73" s="242" t="s">
        <v>49</v>
      </c>
      <c r="D73" s="243">
        <v>4.5</v>
      </c>
      <c r="E73" s="205">
        <f t="shared" ref="E73:E77" si="22">+D73/10</f>
        <v>0.45</v>
      </c>
      <c r="F73" s="41"/>
      <c r="G73" s="492" t="s">
        <v>169</v>
      </c>
      <c r="H73" s="493"/>
      <c r="I73" s="494"/>
      <c r="J73" s="15">
        <v>4.5</v>
      </c>
      <c r="K73" s="25">
        <f t="shared" si="21"/>
        <v>4.4999999999999998E-2</v>
      </c>
      <c r="L73" s="52"/>
    </row>
    <row r="74" spans="1:33">
      <c r="C74" s="242" t="s">
        <v>50</v>
      </c>
      <c r="D74" s="243">
        <v>4.5</v>
      </c>
      <c r="E74" s="205">
        <f t="shared" si="22"/>
        <v>0.45</v>
      </c>
      <c r="F74" s="41"/>
      <c r="G74" s="492" t="s">
        <v>165</v>
      </c>
      <c r="H74" s="493"/>
      <c r="I74" s="494"/>
      <c r="J74" s="15">
        <v>4</v>
      </c>
      <c r="K74" s="25">
        <f t="shared" si="21"/>
        <v>0.04</v>
      </c>
      <c r="L74" s="52"/>
    </row>
    <row r="75" spans="1:33">
      <c r="C75" s="242" t="s">
        <v>51</v>
      </c>
      <c r="D75" s="243">
        <v>3</v>
      </c>
      <c r="E75" s="205">
        <f t="shared" si="22"/>
        <v>0.3</v>
      </c>
      <c r="F75" s="41"/>
      <c r="G75" s="492" t="s">
        <v>171</v>
      </c>
      <c r="H75" s="493"/>
      <c r="I75" s="494"/>
      <c r="J75" s="15">
        <v>1.5</v>
      </c>
      <c r="K75" s="25">
        <f t="shared" si="21"/>
        <v>1.4999999999999999E-2</v>
      </c>
      <c r="L75" s="52"/>
    </row>
    <row r="76" spans="1:33">
      <c r="C76" s="242" t="s">
        <v>52</v>
      </c>
      <c r="D76" s="243">
        <v>3</v>
      </c>
      <c r="E76" s="205">
        <f t="shared" si="22"/>
        <v>0.3</v>
      </c>
      <c r="F76" s="41"/>
      <c r="G76" s="495" t="s">
        <v>166</v>
      </c>
      <c r="H76" s="496"/>
      <c r="I76" s="497"/>
      <c r="J76" s="17">
        <v>3</v>
      </c>
      <c r="K76" s="18">
        <f t="shared" si="21"/>
        <v>0.03</v>
      </c>
      <c r="L76" s="52"/>
    </row>
    <row r="77" spans="1:33" ht="15.75" thickBot="1">
      <c r="C77" s="244" t="s">
        <v>53</v>
      </c>
      <c r="D77" s="245">
        <v>18.5</v>
      </c>
      <c r="E77" s="207">
        <f t="shared" si="22"/>
        <v>1.85</v>
      </c>
      <c r="F77" s="41"/>
      <c r="G77" s="498"/>
      <c r="H77" s="498"/>
      <c r="I77" s="498"/>
      <c r="J77" s="50"/>
      <c r="K77" s="51"/>
      <c r="L77" s="41"/>
      <c r="M77" s="41"/>
      <c r="N77" s="41"/>
      <c r="O77" s="41"/>
      <c r="P77" s="41"/>
    </row>
    <row r="78" spans="1:33" ht="15.75" thickBot="1">
      <c r="C78" s="482" t="s">
        <v>54</v>
      </c>
      <c r="D78" s="521"/>
      <c r="E78" s="208">
        <f>+E77/5</f>
        <v>0.37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33">
      <c r="C79" s="41"/>
      <c r="D79" s="48"/>
      <c r="E79" s="48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33" ht="15.75" thickBot="1">
      <c r="C80" s="41"/>
      <c r="D80" s="48"/>
      <c r="E80" s="48"/>
      <c r="F80" s="41"/>
      <c r="G80" s="41"/>
      <c r="H80" s="41"/>
      <c r="I80" s="41"/>
      <c r="J80" s="16" t="s">
        <v>172</v>
      </c>
      <c r="K80" s="16" t="s">
        <v>173</v>
      </c>
      <c r="L80" s="16" t="s">
        <v>53</v>
      </c>
      <c r="M80" s="16" t="s">
        <v>180</v>
      </c>
      <c r="N80" s="16" t="s">
        <v>91</v>
      </c>
      <c r="O80" s="16" t="s">
        <v>92</v>
      </c>
      <c r="P80" s="41"/>
    </row>
    <row r="81" spans="3:16" ht="15.75" thickBot="1">
      <c r="C81" s="522" t="s">
        <v>55</v>
      </c>
      <c r="D81" s="238" t="s">
        <v>45</v>
      </c>
      <c r="E81" s="238" t="s">
        <v>45</v>
      </c>
      <c r="F81" s="41"/>
      <c r="G81" s="3" t="s">
        <v>101</v>
      </c>
      <c r="H81" s="470" t="s">
        <v>174</v>
      </c>
      <c r="I81" s="470"/>
      <c r="J81" s="2">
        <f>+E78+E94</f>
        <v>0.5</v>
      </c>
      <c r="K81" s="25">
        <f>+K71+K74+K75+K76</f>
        <v>0.125</v>
      </c>
      <c r="L81" s="2">
        <f>+J81+K81</f>
        <v>0.625</v>
      </c>
      <c r="M81" s="4">
        <f>+X5*L81</f>
        <v>153.125</v>
      </c>
      <c r="N81" s="4">
        <f>+M81*30</f>
        <v>4593.75</v>
      </c>
      <c r="O81" s="4">
        <f>+N81*12</f>
        <v>55125</v>
      </c>
      <c r="P81" s="41"/>
    </row>
    <row r="82" spans="3:16" ht="15.75" thickBot="1">
      <c r="C82" s="520"/>
      <c r="D82" s="238" t="s">
        <v>46</v>
      </c>
      <c r="E82" s="238" t="s">
        <v>47</v>
      </c>
      <c r="F82" s="41"/>
      <c r="G82" s="3" t="s">
        <v>175</v>
      </c>
      <c r="H82" s="470" t="s">
        <v>178</v>
      </c>
      <c r="I82" s="470"/>
      <c r="J82" s="2">
        <f>+E107+E120+E94</f>
        <v>1.0264285714285712</v>
      </c>
      <c r="K82" s="25">
        <f>+K72+K73+K74+K75+K76</f>
        <v>0.18100000000000002</v>
      </c>
      <c r="L82" s="2">
        <f>+J82+K82</f>
        <v>1.2074285714285713</v>
      </c>
      <c r="M82" s="4">
        <f>+X6*L82</f>
        <v>443.72999999999996</v>
      </c>
      <c r="N82" s="4">
        <f t="shared" ref="N82:N83" si="23">+M82*30</f>
        <v>13311.9</v>
      </c>
      <c r="O82" s="4">
        <f t="shared" ref="O82:O83" si="24">+N82*12</f>
        <v>159742.79999999999</v>
      </c>
      <c r="P82" s="41"/>
    </row>
    <row r="83" spans="3:16">
      <c r="C83" s="64" t="s">
        <v>56</v>
      </c>
      <c r="D83" s="204">
        <v>1</v>
      </c>
      <c r="E83" s="246">
        <f>+D83/10</f>
        <v>0.1</v>
      </c>
      <c r="F83" s="41"/>
      <c r="G83" s="3" t="s">
        <v>176</v>
      </c>
      <c r="H83" s="470" t="s">
        <v>177</v>
      </c>
      <c r="I83" s="470"/>
      <c r="J83" s="2">
        <f>+E131+E94</f>
        <v>0.52</v>
      </c>
      <c r="K83" s="25">
        <f>+K71+K75+K74+K76</f>
        <v>0.125</v>
      </c>
      <c r="L83" s="2">
        <f>+J83+K83</f>
        <v>0.64500000000000002</v>
      </c>
      <c r="M83" s="4">
        <f>+X7*L83</f>
        <v>237.03749999999999</v>
      </c>
      <c r="N83" s="4">
        <f t="shared" si="23"/>
        <v>7111.125</v>
      </c>
      <c r="O83" s="4">
        <f t="shared" si="24"/>
        <v>85333.5</v>
      </c>
      <c r="P83" s="41"/>
    </row>
    <row r="84" spans="3:16">
      <c r="C84" s="65" t="s">
        <v>57</v>
      </c>
      <c r="D84" s="205">
        <v>1</v>
      </c>
      <c r="E84" s="205">
        <f t="shared" ref="E84:E93" si="25">+D84/10</f>
        <v>0.1</v>
      </c>
      <c r="F84" s="41"/>
      <c r="G84" s="510" t="s">
        <v>181</v>
      </c>
      <c r="H84" s="510"/>
      <c r="I84" s="510"/>
      <c r="J84" s="510"/>
      <c r="K84" s="510"/>
      <c r="L84" s="510"/>
      <c r="M84" s="510"/>
      <c r="N84" s="5">
        <f>SUM(N81:N83)</f>
        <v>25016.775000000001</v>
      </c>
      <c r="O84" s="5">
        <f>SUM(O81:O83)</f>
        <v>300201.3</v>
      </c>
      <c r="P84" s="41"/>
    </row>
    <row r="85" spans="3:16">
      <c r="C85" s="65" t="s">
        <v>58</v>
      </c>
      <c r="D85" s="205">
        <v>1.5</v>
      </c>
      <c r="E85" s="205">
        <f t="shared" si="25"/>
        <v>0.15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3:16">
      <c r="C86" s="65" t="s">
        <v>59</v>
      </c>
      <c r="D86" s="205">
        <v>1.5</v>
      </c>
      <c r="E86" s="205">
        <f t="shared" si="25"/>
        <v>0.15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3:16">
      <c r="C87" s="65" t="s">
        <v>60</v>
      </c>
      <c r="D87" s="205">
        <v>1</v>
      </c>
      <c r="E87" s="205">
        <f t="shared" si="25"/>
        <v>0.1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3:16">
      <c r="C88" s="65" t="s">
        <v>61</v>
      </c>
      <c r="D88" s="205">
        <v>1</v>
      </c>
      <c r="E88" s="205">
        <f t="shared" si="25"/>
        <v>0.1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3:16">
      <c r="C89" s="65" t="s">
        <v>62</v>
      </c>
      <c r="D89" s="205">
        <v>1.5</v>
      </c>
      <c r="E89" s="205">
        <f t="shared" si="25"/>
        <v>0.15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3:16">
      <c r="C90" s="65" t="s">
        <v>63</v>
      </c>
      <c r="D90" s="205">
        <v>3</v>
      </c>
      <c r="E90" s="205">
        <f t="shared" si="25"/>
        <v>0.3</v>
      </c>
      <c r="F90" s="41"/>
    </row>
    <row r="91" spans="3:16">
      <c r="C91" s="65" t="s">
        <v>64</v>
      </c>
      <c r="D91" s="205">
        <v>0.5</v>
      </c>
      <c r="E91" s="205">
        <f t="shared" si="25"/>
        <v>0.05</v>
      </c>
      <c r="F91" s="41"/>
    </row>
    <row r="92" spans="3:16">
      <c r="C92" s="65" t="s">
        <v>65</v>
      </c>
      <c r="D92" s="205">
        <v>1</v>
      </c>
      <c r="E92" s="205">
        <f t="shared" si="25"/>
        <v>0.1</v>
      </c>
      <c r="F92" s="41"/>
    </row>
    <row r="93" spans="3:16" ht="15.75" thickBot="1">
      <c r="C93" s="66" t="s">
        <v>53</v>
      </c>
      <c r="D93" s="74">
        <f>SUM(D83:D92)</f>
        <v>13</v>
      </c>
      <c r="E93" s="207">
        <f t="shared" si="25"/>
        <v>1.3</v>
      </c>
      <c r="F93" s="41"/>
    </row>
    <row r="94" spans="3:16" ht="15.75" thickBot="1">
      <c r="C94" s="482" t="s">
        <v>54</v>
      </c>
      <c r="D94" s="521"/>
      <c r="E94" s="208">
        <f>+E93/10</f>
        <v>0.13</v>
      </c>
      <c r="F94" s="41"/>
    </row>
    <row r="95" spans="3:16">
      <c r="C95" s="41"/>
      <c r="D95" s="48"/>
      <c r="E95" s="48"/>
      <c r="F95" s="41"/>
    </row>
    <row r="96" spans="3:16" ht="15.75" thickBot="1">
      <c r="C96" s="41"/>
      <c r="D96" s="41"/>
      <c r="E96" s="41"/>
      <c r="F96" s="41"/>
    </row>
    <row r="97" spans="3:6" ht="15.75" thickBot="1">
      <c r="C97" s="522" t="s">
        <v>66</v>
      </c>
      <c r="D97" s="238" t="s">
        <v>45</v>
      </c>
      <c r="E97" s="238" t="s">
        <v>45</v>
      </c>
      <c r="F97" s="41"/>
    </row>
    <row r="98" spans="3:6" ht="15.75" thickBot="1">
      <c r="C98" s="523"/>
      <c r="D98" s="238" t="s">
        <v>46</v>
      </c>
      <c r="E98" s="238" t="s">
        <v>47</v>
      </c>
      <c r="F98" s="41"/>
    </row>
    <row r="99" spans="3:6">
      <c r="C99" s="105" t="s">
        <v>67</v>
      </c>
      <c r="D99" s="204">
        <v>3</v>
      </c>
      <c r="E99" s="204">
        <f>+D99/10</f>
        <v>0.3</v>
      </c>
      <c r="F99" s="41"/>
    </row>
    <row r="100" spans="3:6">
      <c r="C100" s="81" t="s">
        <v>68</v>
      </c>
      <c r="D100" s="205">
        <v>3</v>
      </c>
      <c r="E100" s="205">
        <f t="shared" ref="E100:E106" si="26">+D100/10</f>
        <v>0.3</v>
      </c>
      <c r="F100" s="41"/>
    </row>
    <row r="101" spans="3:6">
      <c r="C101" s="81" t="s">
        <v>69</v>
      </c>
      <c r="D101" s="205">
        <v>4.5</v>
      </c>
      <c r="E101" s="205">
        <f t="shared" si="26"/>
        <v>0.45</v>
      </c>
      <c r="F101" s="41"/>
    </row>
    <row r="102" spans="3:6">
      <c r="C102" s="81" t="s">
        <v>70</v>
      </c>
      <c r="D102" s="205">
        <v>4.5</v>
      </c>
      <c r="E102" s="205">
        <f t="shared" si="26"/>
        <v>0.45</v>
      </c>
      <c r="F102" s="41"/>
    </row>
    <row r="103" spans="3:6">
      <c r="C103" s="81" t="s">
        <v>71</v>
      </c>
      <c r="D103" s="205">
        <v>4.5</v>
      </c>
      <c r="E103" s="205">
        <f t="shared" si="26"/>
        <v>0.45</v>
      </c>
      <c r="F103" s="41"/>
    </row>
    <row r="104" spans="3:6">
      <c r="C104" s="81" t="s">
        <v>72</v>
      </c>
      <c r="D104" s="205">
        <v>5</v>
      </c>
      <c r="E104" s="205">
        <f t="shared" si="26"/>
        <v>0.5</v>
      </c>
      <c r="F104" s="41"/>
    </row>
    <row r="105" spans="3:6">
      <c r="C105" s="81" t="s">
        <v>73</v>
      </c>
      <c r="D105" s="205">
        <v>3</v>
      </c>
      <c r="E105" s="205">
        <f t="shared" si="26"/>
        <v>0.3</v>
      </c>
      <c r="F105" s="41"/>
    </row>
    <row r="106" spans="3:6" ht="15.75" thickBot="1">
      <c r="C106" s="82" t="s">
        <v>53</v>
      </c>
      <c r="D106" s="74">
        <v>27.5</v>
      </c>
      <c r="E106" s="74">
        <f t="shared" si="26"/>
        <v>2.75</v>
      </c>
      <c r="F106" s="41"/>
    </row>
    <row r="107" spans="3:6" ht="15.75" thickBot="1">
      <c r="C107" s="517" t="s">
        <v>54</v>
      </c>
      <c r="D107" s="524"/>
      <c r="E107" s="208">
        <f>+E106/10</f>
        <v>0.27500000000000002</v>
      </c>
      <c r="F107" s="41"/>
    </row>
    <row r="108" spans="3:6">
      <c r="C108" s="41"/>
      <c r="D108" s="48"/>
      <c r="E108" s="48"/>
      <c r="F108" s="41"/>
    </row>
    <row r="109" spans="3:6" ht="15.75" thickBot="1">
      <c r="C109" s="41"/>
      <c r="D109" s="48"/>
      <c r="E109" s="48"/>
      <c r="F109" s="41"/>
    </row>
    <row r="110" spans="3:6" ht="15.75" thickBot="1">
      <c r="C110" s="522" t="s">
        <v>74</v>
      </c>
      <c r="D110" s="238" t="s">
        <v>45</v>
      </c>
      <c r="E110" s="238" t="s">
        <v>45</v>
      </c>
      <c r="F110" s="41"/>
    </row>
    <row r="111" spans="3:6" ht="15.75" thickBot="1">
      <c r="C111" s="523"/>
      <c r="D111" s="238" t="s">
        <v>46</v>
      </c>
      <c r="E111" s="238" t="s">
        <v>47</v>
      </c>
      <c r="F111" s="41"/>
    </row>
    <row r="112" spans="3:6">
      <c r="C112" s="105" t="s">
        <v>75</v>
      </c>
      <c r="D112" s="204">
        <v>6</v>
      </c>
      <c r="E112" s="204">
        <f>+D112/10</f>
        <v>0.6</v>
      </c>
      <c r="F112" s="41"/>
    </row>
    <row r="113" spans="3:6">
      <c r="C113" s="81" t="s">
        <v>76</v>
      </c>
      <c r="D113" s="205">
        <v>6</v>
      </c>
      <c r="E113" s="205">
        <f t="shared" ref="E113:E119" si="27">+D113/10</f>
        <v>0.6</v>
      </c>
      <c r="F113" s="41"/>
    </row>
    <row r="114" spans="3:6">
      <c r="C114" s="81" t="s">
        <v>77</v>
      </c>
      <c r="D114" s="205">
        <v>7</v>
      </c>
      <c r="E114" s="205">
        <f t="shared" si="27"/>
        <v>0.7</v>
      </c>
      <c r="F114" s="41"/>
    </row>
    <row r="115" spans="3:6">
      <c r="C115" s="81" t="s">
        <v>78</v>
      </c>
      <c r="D115" s="205">
        <v>6.5</v>
      </c>
      <c r="E115" s="205">
        <f t="shared" si="27"/>
        <v>0.65</v>
      </c>
      <c r="F115" s="41"/>
    </row>
    <row r="116" spans="3:6">
      <c r="C116" s="81" t="s">
        <v>79</v>
      </c>
      <c r="D116" s="205">
        <v>6</v>
      </c>
      <c r="E116" s="205">
        <f t="shared" si="27"/>
        <v>0.6</v>
      </c>
      <c r="F116" s="41"/>
    </row>
    <row r="117" spans="3:6">
      <c r="C117" s="81" t="s">
        <v>80</v>
      </c>
      <c r="D117" s="205">
        <v>6</v>
      </c>
      <c r="E117" s="205">
        <f t="shared" si="27"/>
        <v>0.6</v>
      </c>
      <c r="F117" s="41"/>
    </row>
    <row r="118" spans="3:6">
      <c r="C118" s="81" t="s">
        <v>81</v>
      </c>
      <c r="D118" s="205">
        <v>6</v>
      </c>
      <c r="E118" s="205">
        <f t="shared" si="27"/>
        <v>0.6</v>
      </c>
      <c r="F118" s="41"/>
    </row>
    <row r="119" spans="3:6" ht="15.75" thickBot="1">
      <c r="C119" s="247" t="s">
        <v>53</v>
      </c>
      <c r="D119" s="207">
        <f>SUM(D112:D118)</f>
        <v>43.5</v>
      </c>
      <c r="E119" s="205">
        <f t="shared" si="27"/>
        <v>4.3499999999999996</v>
      </c>
      <c r="F119" s="41"/>
    </row>
    <row r="120" spans="3:6" ht="15.75" thickBot="1">
      <c r="C120" s="525" t="s">
        <v>54</v>
      </c>
      <c r="D120" s="526"/>
      <c r="E120" s="206">
        <f>+E119/7</f>
        <v>0.62142857142857133</v>
      </c>
      <c r="F120" s="41"/>
    </row>
    <row r="121" spans="3:6">
      <c r="C121" s="41"/>
      <c r="D121" s="48"/>
      <c r="E121" s="48"/>
      <c r="F121" s="41"/>
    </row>
    <row r="122" spans="3:6" ht="15.75" thickBot="1">
      <c r="C122" s="41"/>
      <c r="D122" s="48"/>
      <c r="E122" s="48"/>
      <c r="F122" s="41"/>
    </row>
    <row r="123" spans="3:6" ht="15.75" thickBot="1">
      <c r="C123" s="519" t="s">
        <v>82</v>
      </c>
      <c r="D123" s="248" t="s">
        <v>45</v>
      </c>
      <c r="E123" s="248" t="s">
        <v>45</v>
      </c>
      <c r="F123" s="41"/>
    </row>
    <row r="124" spans="3:6" ht="15.75" thickBot="1">
      <c r="C124" s="520"/>
      <c r="D124" s="238" t="s">
        <v>46</v>
      </c>
      <c r="E124" s="238" t="s">
        <v>47</v>
      </c>
      <c r="F124" s="41"/>
    </row>
    <row r="125" spans="3:6">
      <c r="C125" s="64" t="s">
        <v>83</v>
      </c>
      <c r="D125" s="246">
        <v>3</v>
      </c>
      <c r="E125" s="246">
        <f>+D125/10</f>
        <v>0.3</v>
      </c>
      <c r="F125" s="41"/>
    </row>
    <row r="126" spans="3:6">
      <c r="C126" s="65" t="s">
        <v>84</v>
      </c>
      <c r="D126" s="205">
        <v>4</v>
      </c>
      <c r="E126" s="205">
        <f t="shared" ref="E126:E130" si="28">+D126/10</f>
        <v>0.4</v>
      </c>
      <c r="F126" s="41"/>
    </row>
    <row r="127" spans="3:6">
      <c r="C127" s="65" t="s">
        <v>85</v>
      </c>
      <c r="D127" s="205">
        <v>4.5</v>
      </c>
      <c r="E127" s="205">
        <f t="shared" si="28"/>
        <v>0.45</v>
      </c>
      <c r="F127" s="41"/>
    </row>
    <row r="128" spans="3:6">
      <c r="C128" s="65" t="s">
        <v>86</v>
      </c>
      <c r="D128" s="205">
        <v>4</v>
      </c>
      <c r="E128" s="205">
        <f t="shared" si="28"/>
        <v>0.4</v>
      </c>
      <c r="F128" s="41"/>
    </row>
    <row r="129" spans="1:33">
      <c r="C129" s="65" t="s">
        <v>87</v>
      </c>
      <c r="D129" s="205">
        <v>4</v>
      </c>
      <c r="E129" s="205">
        <f t="shared" si="28"/>
        <v>0.4</v>
      </c>
      <c r="F129" s="41"/>
    </row>
    <row r="130" spans="1:33" ht="15.75" thickBot="1">
      <c r="C130" s="66" t="s">
        <v>53</v>
      </c>
      <c r="D130" s="207">
        <v>19.5</v>
      </c>
      <c r="E130" s="207">
        <f t="shared" si="28"/>
        <v>1.95</v>
      </c>
      <c r="F130" s="41"/>
    </row>
    <row r="131" spans="1:33" ht="15.75" thickBot="1">
      <c r="C131" s="517" t="s">
        <v>54</v>
      </c>
      <c r="D131" s="518"/>
      <c r="E131" s="208">
        <f>+E130/5</f>
        <v>0.39</v>
      </c>
      <c r="F131" s="41"/>
    </row>
    <row r="132" spans="1:33">
      <c r="C132" s="41"/>
      <c r="D132" s="41"/>
      <c r="E132" s="41"/>
      <c r="F132" s="41"/>
      <c r="G132" s="41"/>
    </row>
    <row r="133" spans="1:33">
      <c r="C133" s="41"/>
      <c r="D133" s="41"/>
      <c r="E133" s="41"/>
      <c r="F133" s="41"/>
      <c r="G133" s="41"/>
    </row>
    <row r="134" spans="1:33">
      <c r="C134" s="506" t="s">
        <v>148</v>
      </c>
      <c r="D134" s="507"/>
      <c r="E134" s="508"/>
      <c r="F134" s="41"/>
    </row>
    <row r="135" spans="1:33">
      <c r="C135" s="11" t="s">
        <v>133</v>
      </c>
      <c r="D135" s="509" t="s">
        <v>149</v>
      </c>
      <c r="E135" s="509"/>
      <c r="F135" s="41"/>
    </row>
    <row r="136" spans="1:33" ht="28.5">
      <c r="C136" s="9" t="s">
        <v>150</v>
      </c>
      <c r="D136" s="504">
        <v>800</v>
      </c>
      <c r="E136" s="504"/>
      <c r="F136" s="41"/>
    </row>
    <row r="137" spans="1:33">
      <c r="C137" s="9" t="s">
        <v>151</v>
      </c>
      <c r="D137" s="504">
        <v>600</v>
      </c>
      <c r="E137" s="504"/>
      <c r="F137" s="41"/>
    </row>
    <row r="138" spans="1:33" ht="28.5">
      <c r="C138" s="9" t="s">
        <v>152</v>
      </c>
      <c r="D138" s="504">
        <v>2000</v>
      </c>
      <c r="E138" s="504"/>
      <c r="F138" s="41"/>
    </row>
    <row r="139" spans="1:33" ht="28.5">
      <c r="C139" s="9" t="s">
        <v>153</v>
      </c>
      <c r="D139" s="504">
        <v>6000</v>
      </c>
      <c r="E139" s="504"/>
      <c r="F139" s="41"/>
    </row>
    <row r="140" spans="1:33">
      <c r="C140" s="10" t="s">
        <v>53</v>
      </c>
      <c r="D140" s="505">
        <f>SUM(D136:D139)</f>
        <v>9400</v>
      </c>
      <c r="E140" s="505"/>
      <c r="F140" s="41"/>
    </row>
    <row r="141" spans="1:33">
      <c r="C141" s="41"/>
      <c r="D141" s="41"/>
      <c r="E141" s="41"/>
      <c r="F141" s="41"/>
    </row>
    <row r="142" spans="1:33" s="7" customFormat="1">
      <c r="A142" s="30"/>
      <c r="B142" s="41"/>
      <c r="C142" s="41"/>
      <c r="D142" s="41"/>
      <c r="E142" s="41"/>
      <c r="F142" s="4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>
      <c r="C143" s="41"/>
      <c r="D143" s="41"/>
      <c r="E143" s="41"/>
      <c r="F143" s="41"/>
    </row>
    <row r="144" spans="1:33">
      <c r="C144" s="41"/>
      <c r="D144" s="41"/>
      <c r="E144" s="41"/>
      <c r="F144" s="41"/>
    </row>
    <row r="145" spans="3:6">
      <c r="C145" s="41"/>
      <c r="D145" s="41"/>
      <c r="E145" s="41"/>
      <c r="F145" s="41"/>
    </row>
  </sheetData>
  <mergeCells count="68">
    <mergeCell ref="R8:T8"/>
    <mergeCell ref="M4:P4"/>
    <mergeCell ref="R5:T5"/>
    <mergeCell ref="R6:T6"/>
    <mergeCell ref="R7:T7"/>
    <mergeCell ref="C3:J3"/>
    <mergeCell ref="C131:D131"/>
    <mergeCell ref="C70:C71"/>
    <mergeCell ref="C78:D78"/>
    <mergeCell ref="C81:C82"/>
    <mergeCell ref="C94:D94"/>
    <mergeCell ref="C97:C98"/>
    <mergeCell ref="C107:D107"/>
    <mergeCell ref="C110:C111"/>
    <mergeCell ref="C120:D120"/>
    <mergeCell ref="C123:C124"/>
    <mergeCell ref="H15:H16"/>
    <mergeCell ref="H51:H52"/>
    <mergeCell ref="I15:I16"/>
    <mergeCell ref="J15:J16"/>
    <mergeCell ref="E15:E16"/>
    <mergeCell ref="F15:F16"/>
    <mergeCell ref="C21:H21"/>
    <mergeCell ref="D139:E139"/>
    <mergeCell ref="D140:E140"/>
    <mergeCell ref="C134:E134"/>
    <mergeCell ref="D135:E135"/>
    <mergeCell ref="D136:E136"/>
    <mergeCell ref="D137:E137"/>
    <mergeCell ref="D138:E138"/>
    <mergeCell ref="H83:I83"/>
    <mergeCell ref="I61:I62"/>
    <mergeCell ref="G84:M84"/>
    <mergeCell ref="M34:N34"/>
    <mergeCell ref="G70:I70"/>
    <mergeCell ref="G71:I71"/>
    <mergeCell ref="G72:I72"/>
    <mergeCell ref="G73:I73"/>
    <mergeCell ref="G74:I74"/>
    <mergeCell ref="G75:I75"/>
    <mergeCell ref="G76:I76"/>
    <mergeCell ref="G77:I77"/>
    <mergeCell ref="H81:I81"/>
    <mergeCell ref="H82:I82"/>
    <mergeCell ref="C55:J55"/>
    <mergeCell ref="E51:E52"/>
    <mergeCell ref="P34:R34"/>
    <mergeCell ref="J61:J62"/>
    <mergeCell ref="H61:H62"/>
    <mergeCell ref="F61:F62"/>
    <mergeCell ref="E61:E62"/>
    <mergeCell ref="F51:F52"/>
    <mergeCell ref="M46:N46"/>
    <mergeCell ref="M51:N51"/>
    <mergeCell ref="P36:Q36"/>
    <mergeCell ref="P35:Q35"/>
    <mergeCell ref="M49:P49"/>
    <mergeCell ref="M50:N50"/>
    <mergeCell ref="M44:N44"/>
    <mergeCell ref="M43:N43"/>
    <mergeCell ref="M42:P42"/>
    <mergeCell ref="M45:N45"/>
    <mergeCell ref="V41:Y41"/>
    <mergeCell ref="V36:Z36"/>
    <mergeCell ref="V38:Y38"/>
    <mergeCell ref="V39:Y39"/>
    <mergeCell ref="V40:Y40"/>
    <mergeCell ref="V37:Y37"/>
  </mergeCells>
  <pageMargins left="0.7" right="0.7" top="0.75" bottom="0.75" header="0.3" footer="0.3"/>
  <pageSetup paperSize="9" orientation="portrait" r:id="rId1"/>
  <ignoredErrors>
    <ignoredError sqref="O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48"/>
  <sheetViews>
    <sheetView topLeftCell="C6" zoomScale="75" zoomScaleNormal="75" workbookViewId="0">
      <pane ySplit="8265" topLeftCell="A36"/>
      <selection activeCell="C22" sqref="C22:D22"/>
      <selection pane="bottomLeft" activeCell="E34" sqref="E34:E35"/>
    </sheetView>
  </sheetViews>
  <sheetFormatPr baseColWidth="10" defaultRowHeight="15"/>
  <cols>
    <col min="1" max="1" width="14.7109375" style="7" customWidth="1"/>
    <col min="2" max="2" width="3.7109375" style="30" customWidth="1"/>
    <col min="3" max="3" width="40.42578125" style="7" customWidth="1"/>
    <col min="4" max="5" width="14.28515625" style="7" bestFit="1" customWidth="1"/>
    <col min="6" max="6" width="14.42578125" style="7" bestFit="1" customWidth="1"/>
    <col min="7" max="9" width="15.5703125" style="7" bestFit="1" customWidth="1"/>
    <col min="10" max="10" width="16.7109375" style="7" bestFit="1" customWidth="1"/>
    <col min="11" max="11" width="3" style="30" customWidth="1"/>
    <col min="12" max="12" width="11.42578125" style="30"/>
    <col min="13" max="13" width="14.28515625" style="7" bestFit="1" customWidth="1"/>
    <col min="14" max="16384" width="11.42578125" style="7"/>
  </cols>
  <sheetData>
    <row r="1" spans="3:10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0">
      <c r="C2" s="26" t="s">
        <v>191</v>
      </c>
      <c r="D2" s="21">
        <v>8.8300000000000003E-2</v>
      </c>
      <c r="E2" s="27"/>
      <c r="G2" s="19"/>
      <c r="H2" s="19"/>
      <c r="I2" s="19"/>
    </row>
    <row r="3" spans="3:10" s="30" customFormat="1">
      <c r="C3" s="26" t="s">
        <v>192</v>
      </c>
      <c r="D3" s="20">
        <v>0.25</v>
      </c>
      <c r="E3" s="27"/>
      <c r="F3" s="7"/>
      <c r="G3" s="19"/>
      <c r="H3" s="19"/>
      <c r="I3" s="19"/>
      <c r="J3" s="7"/>
    </row>
    <row r="4" spans="3:10" s="30" customFormat="1">
      <c r="C4" s="344"/>
      <c r="D4" s="345"/>
      <c r="E4" s="344"/>
      <c r="F4" s="7"/>
      <c r="G4" s="19"/>
      <c r="H4" s="19"/>
      <c r="I4" s="19"/>
      <c r="J4" s="7"/>
    </row>
    <row r="5" spans="3:10" s="30" customFormat="1">
      <c r="C5" s="344"/>
      <c r="D5" s="376"/>
      <c r="E5" s="344"/>
      <c r="F5" s="7"/>
      <c r="G5" s="19"/>
      <c r="H5" s="19"/>
      <c r="I5" s="19"/>
      <c r="J5" s="7"/>
    </row>
    <row r="6" spans="3:10" s="30" customFormat="1">
      <c r="C6" s="344"/>
      <c r="D6" s="345"/>
      <c r="E6" s="344"/>
      <c r="F6" s="7"/>
      <c r="G6" s="19"/>
      <c r="H6" s="19"/>
      <c r="I6" s="19"/>
      <c r="J6" s="7"/>
    </row>
    <row r="7" spans="3:10" s="30" customFormat="1">
      <c r="C7" s="28"/>
      <c r="D7" s="346"/>
      <c r="E7" s="28"/>
      <c r="G7" s="343"/>
      <c r="H7" s="343"/>
      <c r="I7" s="343"/>
    </row>
    <row r="8" spans="3:10" s="377" customFormat="1" ht="7.5" customHeight="1" thickBot="1">
      <c r="C8" s="378"/>
      <c r="D8" s="378"/>
      <c r="E8" s="378"/>
      <c r="F8" s="380"/>
      <c r="G8" s="379"/>
      <c r="H8" s="379"/>
      <c r="I8" s="379"/>
    </row>
    <row r="9" spans="3:10" s="30" customFormat="1" ht="16.5" thickBot="1">
      <c r="C9" s="564" t="s">
        <v>316</v>
      </c>
      <c r="D9" s="571"/>
      <c r="E9" s="571"/>
      <c r="F9" s="571"/>
      <c r="G9" s="571"/>
      <c r="H9" s="571"/>
      <c r="I9" s="571"/>
      <c r="J9" s="572"/>
    </row>
    <row r="10" spans="3:10" s="30" customFormat="1" ht="15.75" thickBot="1">
      <c r="C10" s="311"/>
      <c r="D10" s="29"/>
      <c r="E10" s="314">
        <v>0</v>
      </c>
      <c r="F10" s="316">
        <v>1</v>
      </c>
      <c r="G10" s="315">
        <v>2</v>
      </c>
      <c r="H10" s="316">
        <v>3</v>
      </c>
      <c r="I10" s="315">
        <v>4</v>
      </c>
      <c r="J10" s="316">
        <v>5</v>
      </c>
    </row>
    <row r="11" spans="3:10" s="30" customFormat="1">
      <c r="C11" s="562" t="s">
        <v>182</v>
      </c>
      <c r="D11" s="576"/>
      <c r="E11" s="329"/>
      <c r="F11" s="317">
        <f>+Ingresos!D19</f>
        <v>467460</v>
      </c>
      <c r="G11" s="31">
        <f>+F11*(1.1)</f>
        <v>514206.00000000006</v>
      </c>
      <c r="H11" s="351">
        <f t="shared" ref="H11:J11" si="0">+G11*(1.1)</f>
        <v>565626.60000000009</v>
      </c>
      <c r="I11" s="31">
        <f t="shared" si="0"/>
        <v>622189.26000000013</v>
      </c>
      <c r="J11" s="351">
        <f t="shared" si="0"/>
        <v>684408.18600000022</v>
      </c>
    </row>
    <row r="12" spans="3:10" s="30" customFormat="1">
      <c r="C12" s="562"/>
      <c r="D12" s="576"/>
      <c r="E12" s="330"/>
      <c r="F12" s="317"/>
      <c r="G12" s="31"/>
      <c r="H12" s="317"/>
      <c r="I12" s="31"/>
      <c r="J12" s="317"/>
    </row>
    <row r="13" spans="3:10" s="30" customFormat="1">
      <c r="C13" s="562" t="s">
        <v>249</v>
      </c>
      <c r="D13" s="576"/>
      <c r="E13" s="330"/>
      <c r="F13" s="318">
        <f>(+Hoja1!O84)</f>
        <v>300201.3</v>
      </c>
      <c r="G13" s="32">
        <f>+F13*(1+$D$2)</f>
        <v>326709.07478999998</v>
      </c>
      <c r="H13" s="318">
        <f>+G13*(1+$D$2)</f>
        <v>355557.48609395698</v>
      </c>
      <c r="I13" s="32">
        <f>+H13*(1+$D$2)</f>
        <v>386953.21211605339</v>
      </c>
      <c r="J13" s="318">
        <f>+I13*(1+$D$2)</f>
        <v>421121.1807459009</v>
      </c>
    </row>
    <row r="14" spans="3:10" s="30" customFormat="1" ht="9.75" customHeight="1">
      <c r="C14" s="562"/>
      <c r="D14" s="576"/>
      <c r="E14" s="330"/>
      <c r="F14" s="317"/>
      <c r="G14" s="31"/>
      <c r="H14" s="317"/>
      <c r="I14" s="31"/>
      <c r="J14" s="317"/>
    </row>
    <row r="15" spans="3:10" s="30" customFormat="1">
      <c r="C15" s="562" t="s">
        <v>183</v>
      </c>
      <c r="D15" s="576"/>
      <c r="E15" s="330"/>
      <c r="F15" s="319">
        <f>SUM(F16:F25)</f>
        <v>157161.41600000003</v>
      </c>
      <c r="G15" s="33">
        <f>SUM(G16:G25)</f>
        <v>170086.84292000005</v>
      </c>
      <c r="H15" s="319">
        <f t="shared" ref="H15:J15" si="1">SUM(H16:H25)</f>
        <v>184118.65543703607</v>
      </c>
      <c r="I15" s="33">
        <f t="shared" si="1"/>
        <v>199352.80091932637</v>
      </c>
      <c r="J15" s="319">
        <f t="shared" si="1"/>
        <v>215893.61156370293</v>
      </c>
    </row>
    <row r="16" spans="3:10" s="30" customFormat="1">
      <c r="C16" s="562" t="s">
        <v>201</v>
      </c>
      <c r="D16" s="576"/>
      <c r="E16" s="331"/>
      <c r="F16" s="318">
        <f>Hoja1!T31*12</f>
        <v>97902.000000000029</v>
      </c>
      <c r="G16" s="32">
        <f>F16*1.0883</f>
        <v>106546.74660000004</v>
      </c>
      <c r="H16" s="318">
        <f t="shared" ref="H16:I19" si="2">G16*1.0883</f>
        <v>115954.82432478006</v>
      </c>
      <c r="I16" s="32">
        <f t="shared" si="2"/>
        <v>126193.63531265814</v>
      </c>
      <c r="J16" s="318">
        <f>I16*1.0883</f>
        <v>137336.53331076587</v>
      </c>
    </row>
    <row r="17" spans="3:12" s="30" customFormat="1">
      <c r="C17" s="562" t="s">
        <v>242</v>
      </c>
      <c r="D17" s="576"/>
      <c r="E17" s="331"/>
      <c r="F17" s="318">
        <f>SUM(Hoja1!U23:U30)</f>
        <v>9000</v>
      </c>
      <c r="G17" s="32">
        <f>F17*1.0883</f>
        <v>9794.7000000000007</v>
      </c>
      <c r="H17" s="318">
        <f t="shared" si="2"/>
        <v>10659.572010000002</v>
      </c>
      <c r="I17" s="32">
        <f t="shared" si="2"/>
        <v>11600.812218483003</v>
      </c>
      <c r="J17" s="318">
        <f>I17*1.0883</f>
        <v>12625.163937375053</v>
      </c>
    </row>
    <row r="18" spans="3:12" s="30" customFormat="1">
      <c r="C18" s="562" t="s">
        <v>213</v>
      </c>
      <c r="D18" s="576"/>
      <c r="E18" s="331"/>
      <c r="F18" s="318">
        <f>SUM(Hoja1!V23:V30)</f>
        <v>1920</v>
      </c>
      <c r="G18" s="32">
        <f>F18*1.0883</f>
        <v>2089.5360000000001</v>
      </c>
      <c r="H18" s="318">
        <f t="shared" si="2"/>
        <v>2274.0420288</v>
      </c>
      <c r="I18" s="32">
        <f t="shared" si="2"/>
        <v>2474.83993994304</v>
      </c>
      <c r="J18" s="318">
        <f>I18*1.0883</f>
        <v>2693.3683066400104</v>
      </c>
    </row>
    <row r="19" spans="3:12" s="30" customFormat="1">
      <c r="C19" s="562" t="s">
        <v>214</v>
      </c>
      <c r="D19" s="576"/>
      <c r="E19" s="331"/>
      <c r="F19" s="318">
        <f>SUM(Hoja1!W23:W30)</f>
        <v>4500</v>
      </c>
      <c r="G19" s="32">
        <f>F19*1.0883</f>
        <v>4897.3500000000004</v>
      </c>
      <c r="H19" s="318">
        <f t="shared" si="2"/>
        <v>5329.7860050000008</v>
      </c>
      <c r="I19" s="32">
        <f t="shared" si="2"/>
        <v>5800.4061092415013</v>
      </c>
      <c r="J19" s="318">
        <f>I19*1.0883</f>
        <v>6312.5819686875266</v>
      </c>
      <c r="K19" s="32"/>
    </row>
    <row r="20" spans="3:12">
      <c r="C20" s="562" t="s">
        <v>248</v>
      </c>
      <c r="D20" s="576"/>
      <c r="E20" s="331"/>
      <c r="F20" s="318">
        <f>+'Flujo de Caja mensual'!F18*12</f>
        <v>22730.400000000005</v>
      </c>
      <c r="G20" s="372">
        <f>+F20*1.0883</f>
        <v>24737.494320000005</v>
      </c>
      <c r="H20" s="318">
        <f t="shared" ref="H20:I20" si="3">+G20*1.0883</f>
        <v>26921.815068456006</v>
      </c>
      <c r="I20" s="32">
        <f t="shared" si="3"/>
        <v>29299.011339000674</v>
      </c>
      <c r="J20" s="318">
        <f>+I20*1.0883</f>
        <v>31886.114040234435</v>
      </c>
    </row>
    <row r="21" spans="3:12">
      <c r="C21" s="562" t="s">
        <v>202</v>
      </c>
      <c r="D21" s="576"/>
      <c r="E21" s="331"/>
      <c r="F21" s="318">
        <f>Hoja1!P46</f>
        <v>13440</v>
      </c>
      <c r="G21" s="372">
        <f>+F21*1.05</f>
        <v>14112</v>
      </c>
      <c r="H21" s="318">
        <f t="shared" ref="H21:J21" si="4">+G21*1.05</f>
        <v>14817.6</v>
      </c>
      <c r="I21" s="32">
        <f t="shared" si="4"/>
        <v>15558.480000000001</v>
      </c>
      <c r="J21" s="318">
        <f t="shared" si="4"/>
        <v>16336.404000000002</v>
      </c>
    </row>
    <row r="22" spans="3:12">
      <c r="C22" s="562" t="s">
        <v>212</v>
      </c>
      <c r="D22" s="576"/>
      <c r="E22" s="331"/>
      <c r="F22" s="318">
        <f>Hoja1!P51</f>
        <v>4800</v>
      </c>
      <c r="G22" s="32">
        <f>F22*1.05</f>
        <v>5040</v>
      </c>
      <c r="H22" s="318">
        <f t="shared" ref="H22:I22" si="5">G22*1.05</f>
        <v>5292</v>
      </c>
      <c r="I22" s="32">
        <f t="shared" si="5"/>
        <v>5556.6</v>
      </c>
      <c r="J22" s="318">
        <f>I22*1.05</f>
        <v>5834.43</v>
      </c>
    </row>
    <row r="23" spans="3:12">
      <c r="C23" s="562" t="s">
        <v>250</v>
      </c>
      <c r="D23" s="576"/>
      <c r="E23" s="330"/>
      <c r="F23" s="318">
        <f>Hoja1!$H$15</f>
        <v>1030.1759999999999</v>
      </c>
      <c r="G23" s="32">
        <f>Hoja1!$H$15</f>
        <v>1030.1759999999999</v>
      </c>
      <c r="H23" s="318">
        <f>Hoja1!$H$15</f>
        <v>1030.1759999999999</v>
      </c>
      <c r="I23" s="32">
        <f>Hoja1!$H$15</f>
        <v>1030.1759999999999</v>
      </c>
      <c r="J23" s="318">
        <f>Hoja1!$H$15</f>
        <v>1030.1759999999999</v>
      </c>
      <c r="L23" s="347"/>
    </row>
    <row r="24" spans="3:12">
      <c r="C24" s="562" t="s">
        <v>251</v>
      </c>
      <c r="D24" s="576"/>
      <c r="E24" s="330"/>
      <c r="F24" s="318">
        <f>Hoja1!$H$51</f>
        <v>1038.8400000000001</v>
      </c>
      <c r="G24" s="32">
        <f>Hoja1!$H$51</f>
        <v>1038.8400000000001</v>
      </c>
      <c r="H24" s="318">
        <f>Hoja1!$H$51</f>
        <v>1038.8400000000001</v>
      </c>
      <c r="I24" s="32">
        <f>Hoja1!$H$51</f>
        <v>1038.8400000000001</v>
      </c>
      <c r="J24" s="318">
        <f>Hoja1!$H$51</f>
        <v>1038.8400000000001</v>
      </c>
    </row>
    <row r="25" spans="3:12">
      <c r="C25" s="562" t="s">
        <v>217</v>
      </c>
      <c r="D25" s="576"/>
      <c r="E25" s="332"/>
      <c r="F25" s="318">
        <f>Hoja1!$H$61</f>
        <v>800</v>
      </c>
      <c r="G25" s="32">
        <f>Hoja1!$H$61</f>
        <v>800</v>
      </c>
      <c r="H25" s="318">
        <f>Hoja1!$H$61</f>
        <v>800</v>
      </c>
      <c r="I25" s="32">
        <f>Hoja1!$H$61</f>
        <v>800</v>
      </c>
      <c r="J25" s="318">
        <f>Hoja1!$H$61</f>
        <v>800</v>
      </c>
    </row>
    <row r="26" spans="3:12" ht="15.75" thickBot="1">
      <c r="C26" s="562" t="s">
        <v>243</v>
      </c>
      <c r="D26" s="576"/>
      <c r="E26" s="333"/>
      <c r="F26" s="318">
        <f>Hoja1!$P$11</f>
        <v>7093.2</v>
      </c>
      <c r="G26" s="32">
        <f>+F26*1.05</f>
        <v>7447.86</v>
      </c>
      <c r="H26" s="373">
        <f t="shared" ref="H26:I26" si="6">+G26*1.05</f>
        <v>7820.2529999999997</v>
      </c>
      <c r="I26" s="32">
        <f t="shared" si="6"/>
        <v>8211.2656499999994</v>
      </c>
      <c r="J26" s="373">
        <f>+I26*1.05</f>
        <v>8621.8289325000005</v>
      </c>
    </row>
    <row r="27" spans="3:12" ht="15.75" thickBot="1">
      <c r="C27" s="567" t="s">
        <v>186</v>
      </c>
      <c r="D27" s="573"/>
      <c r="E27" s="358"/>
      <c r="F27" s="349">
        <f>+F11-F13-F15-F26</f>
        <v>3004.0839999999853</v>
      </c>
      <c r="G27" s="350">
        <f t="shared" ref="G27:J27" si="7">+G11-G13-G15-G26</f>
        <v>9962.2222900000197</v>
      </c>
      <c r="H27" s="349">
        <f t="shared" si="7"/>
        <v>18130.205469007047</v>
      </c>
      <c r="I27" s="350">
        <f t="shared" si="7"/>
        <v>27671.981314620367</v>
      </c>
      <c r="J27" s="349">
        <f t="shared" si="7"/>
        <v>38771.564757896391</v>
      </c>
    </row>
    <row r="28" spans="3:12">
      <c r="C28" s="562" t="s">
        <v>184</v>
      </c>
      <c r="D28" s="576"/>
      <c r="E28" s="330"/>
      <c r="F28" s="320">
        <f>Prestamo!E19</f>
        <v>2967.6017679543156</v>
      </c>
      <c r="G28" s="125">
        <f>Prestamo!F19</f>
        <v>2512.8074694483294</v>
      </c>
      <c r="H28" s="320">
        <f>Prestamo!G19</f>
        <v>1980.0614281784178</v>
      </c>
      <c r="I28" s="125">
        <f>Prestamo!H19</f>
        <v>1356.0027154348425</v>
      </c>
      <c r="J28" s="320">
        <f>Prestamo!I19</f>
        <v>624.98033932701844</v>
      </c>
    </row>
    <row r="29" spans="3:12">
      <c r="C29" s="569" t="s">
        <v>252</v>
      </c>
      <c r="D29" s="581"/>
      <c r="E29" s="334"/>
      <c r="F29" s="321">
        <f>F27-F28</f>
        <v>36.482232045669662</v>
      </c>
      <c r="G29" s="34">
        <f>G27-G28</f>
        <v>7449.4148205516904</v>
      </c>
      <c r="H29" s="321">
        <f>H27-H28</f>
        <v>16150.144040828629</v>
      </c>
      <c r="I29" s="34">
        <f>I27-I28</f>
        <v>26315.978599185524</v>
      </c>
      <c r="J29" s="321">
        <f>J27-J28</f>
        <v>38146.584418569371</v>
      </c>
    </row>
    <row r="30" spans="3:12">
      <c r="C30" s="562" t="s">
        <v>185</v>
      </c>
      <c r="D30" s="576"/>
      <c r="E30" s="335"/>
      <c r="F30" s="320">
        <f>F29*15%</f>
        <v>5.4723348068504487</v>
      </c>
      <c r="G30" s="125">
        <f>G29*15%</f>
        <v>1117.4122230827536</v>
      </c>
      <c r="H30" s="320">
        <f>H29*15%</f>
        <v>2422.5216061242941</v>
      </c>
      <c r="I30" s="125">
        <f>I29*15%</f>
        <v>3947.3967898778283</v>
      </c>
      <c r="J30" s="320">
        <f>J29*15%</f>
        <v>5721.9876627854055</v>
      </c>
    </row>
    <row r="31" spans="3:12">
      <c r="C31" s="562" t="s">
        <v>252</v>
      </c>
      <c r="D31" s="576"/>
      <c r="E31" s="334"/>
      <c r="F31" s="321">
        <f>F29-F30</f>
        <v>31.009897238819214</v>
      </c>
      <c r="G31" s="34">
        <f t="shared" ref="G31:J31" si="8">G29-G30</f>
        <v>6332.002597468937</v>
      </c>
      <c r="H31" s="321">
        <f t="shared" si="8"/>
        <v>13727.622434704335</v>
      </c>
      <c r="I31" s="34">
        <f t="shared" si="8"/>
        <v>22368.581809307696</v>
      </c>
      <c r="J31" s="321">
        <f t="shared" si="8"/>
        <v>32424.596755783965</v>
      </c>
    </row>
    <row r="32" spans="3:12">
      <c r="C32" s="562" t="s">
        <v>253</v>
      </c>
      <c r="D32" s="576"/>
      <c r="E32" s="330"/>
      <c r="F32" s="322">
        <f>F31*$D$3</f>
        <v>7.7524743097048034</v>
      </c>
      <c r="G32" s="126">
        <f>G31*$D$3</f>
        <v>1583.0006493672342</v>
      </c>
      <c r="H32" s="322">
        <f>H31*$D$3</f>
        <v>3431.9056086760838</v>
      </c>
      <c r="I32" s="126">
        <f>I31*$D$3</f>
        <v>5592.145452326924</v>
      </c>
      <c r="J32" s="322">
        <f>J31*$D$3</f>
        <v>8106.1491889459912</v>
      </c>
    </row>
    <row r="33" spans="3:12">
      <c r="C33" s="569" t="s">
        <v>186</v>
      </c>
      <c r="D33" s="581"/>
      <c r="E33" s="334"/>
      <c r="F33" s="321">
        <f>F31-F32</f>
        <v>23.257422929114412</v>
      </c>
      <c r="G33" s="34">
        <f t="shared" ref="G33:J33" si="9">G31-G32</f>
        <v>4749.0019481017025</v>
      </c>
      <c r="H33" s="321">
        <f t="shared" si="9"/>
        <v>10295.716826028252</v>
      </c>
      <c r="I33" s="34">
        <f t="shared" si="9"/>
        <v>16776.436356980772</v>
      </c>
      <c r="J33" s="321">
        <f t="shared" si="9"/>
        <v>24318.447566837975</v>
      </c>
      <c r="L33" s="40"/>
    </row>
    <row r="34" spans="3:12">
      <c r="C34" s="562" t="s">
        <v>254</v>
      </c>
      <c r="D34" s="576"/>
      <c r="E34" s="324"/>
      <c r="F34" s="323">
        <f>(Hoja1!$H$15+Hoja1!$H$51+Hoja1!$H$61)</f>
        <v>2869.0160000000001</v>
      </c>
      <c r="G34" s="35">
        <f>Hoja1!$H$15+Hoja1!$H$51+Hoja1!$H$61</f>
        <v>2869.0160000000001</v>
      </c>
      <c r="H34" s="323">
        <f>Hoja1!$H$15+Hoja1!$H$51+Hoja1!$H$61</f>
        <v>2869.0160000000001</v>
      </c>
      <c r="I34" s="35">
        <f>Hoja1!$H$15+Hoja1!$H$51+Hoja1!$H$61</f>
        <v>2869.0160000000001</v>
      </c>
      <c r="J34" s="323">
        <f>Hoja1!$H$15+Hoja1!$H$51+Hoja1!$H$61</f>
        <v>2869.0160000000001</v>
      </c>
    </row>
    <row r="35" spans="3:12">
      <c r="C35" s="562" t="s">
        <v>255</v>
      </c>
      <c r="D35" s="576"/>
      <c r="E35" s="336">
        <f>Prestamo!$C$5</f>
        <v>31106</v>
      </c>
      <c r="F35" s="324"/>
      <c r="G35" s="23"/>
      <c r="H35" s="318">
        <f>Hoja1!F51</f>
        <v>3116.5200000000004</v>
      </c>
      <c r="I35" s="23"/>
      <c r="J35" s="324"/>
    </row>
    <row r="36" spans="3:12" s="30" customFormat="1">
      <c r="C36" s="562" t="s">
        <v>256</v>
      </c>
      <c r="D36" s="576"/>
      <c r="E36" s="333"/>
      <c r="F36" s="324"/>
      <c r="G36" s="23"/>
      <c r="H36" s="324"/>
      <c r="I36" s="23"/>
      <c r="J36" s="317">
        <f>Hoja1!J15+Hoja1!J61</f>
        <v>7150.88</v>
      </c>
    </row>
    <row r="37" spans="3:12" s="30" customFormat="1">
      <c r="C37" s="562" t="s">
        <v>210</v>
      </c>
      <c r="D37" s="576"/>
      <c r="E37" s="336">
        <f>'CAPITAL DE TRABAJO'!$C$15</f>
        <v>2627.1249999999986</v>
      </c>
      <c r="F37" s="324"/>
      <c r="G37" s="23"/>
      <c r="H37" s="324"/>
      <c r="I37" s="23"/>
      <c r="J37" s="324"/>
    </row>
    <row r="38" spans="3:12" s="30" customFormat="1">
      <c r="C38" s="562" t="s">
        <v>257</v>
      </c>
      <c r="D38" s="576"/>
      <c r="E38" s="333"/>
      <c r="F38" s="318">
        <f>Prestamo!E18</f>
        <v>2653.4089761142677</v>
      </c>
      <c r="G38" s="32">
        <f>Prestamo!F18</f>
        <v>3108.203274620254</v>
      </c>
      <c r="H38" s="318">
        <f>Prestamo!G18</f>
        <v>3640.9493158901655</v>
      </c>
      <c r="I38" s="32">
        <f>Prestamo!H18</f>
        <v>4265.0080286337407</v>
      </c>
      <c r="J38" s="318">
        <f>Prestamo!I18</f>
        <v>4996.0304047415648</v>
      </c>
    </row>
    <row r="39" spans="3:12" s="30" customFormat="1">
      <c r="C39" s="562" t="s">
        <v>258</v>
      </c>
      <c r="D39" s="576"/>
      <c r="E39" s="337">
        <f>Prestamo!$C$7</f>
        <v>18663.599999999999</v>
      </c>
      <c r="F39" s="324"/>
      <c r="G39" s="23"/>
      <c r="H39" s="324"/>
      <c r="I39" s="23"/>
      <c r="J39" s="324"/>
    </row>
    <row r="40" spans="3:12" s="30" customFormat="1" ht="15.75" thickBot="1">
      <c r="C40" s="562" t="s">
        <v>259</v>
      </c>
      <c r="D40" s="576"/>
      <c r="E40" s="338"/>
      <c r="F40" s="324"/>
      <c r="G40" s="23"/>
      <c r="H40" s="324"/>
      <c r="I40" s="23"/>
      <c r="J40" s="317">
        <f>'CAPITAL DE TRABAJO'!C15</f>
        <v>2627.1249999999986</v>
      </c>
    </row>
    <row r="41" spans="3:12" s="30" customFormat="1" ht="15.75" thickBot="1">
      <c r="C41" s="582" t="s">
        <v>187</v>
      </c>
      <c r="D41" s="583"/>
      <c r="E41" s="348">
        <f>E39-E35-E37</f>
        <v>-15069.525</v>
      </c>
      <c r="F41" s="349">
        <f>+F33+F34-F38</f>
        <v>238.86444681484681</v>
      </c>
      <c r="G41" s="350">
        <f t="shared" ref="G41:I41" si="10">+G33+G34-G38</f>
        <v>4509.8146734814482</v>
      </c>
      <c r="H41" s="349">
        <f t="shared" si="10"/>
        <v>9523.7835101380861</v>
      </c>
      <c r="I41" s="350">
        <f t="shared" si="10"/>
        <v>15380.444328347032</v>
      </c>
      <c r="J41" s="349">
        <f>+J33+J34+J36-J38+J40</f>
        <v>31969.438162096412</v>
      </c>
    </row>
    <row r="42" spans="3:12" s="30" customFormat="1">
      <c r="C42" s="584" t="s">
        <v>307</v>
      </c>
      <c r="D42" s="585"/>
      <c r="E42" s="416"/>
      <c r="F42" s="422">
        <f>+E41+F41</f>
        <v>-14830.660553185153</v>
      </c>
      <c r="G42" s="428">
        <f>+F42+G41</f>
        <v>-10320.845879703706</v>
      </c>
      <c r="H42" s="429">
        <f>+G42+H41</f>
        <v>-797.06236956561952</v>
      </c>
      <c r="I42" s="351">
        <f>+H42+I41</f>
        <v>14583.381958781412</v>
      </c>
      <c r="J42" s="387">
        <f>+I42+J41</f>
        <v>46552.820120877826</v>
      </c>
    </row>
    <row r="43" spans="3:12" s="30" customFormat="1" ht="15.75" thickBot="1">
      <c r="C43" s="586" t="s">
        <v>308</v>
      </c>
      <c r="D43" s="587"/>
      <c r="E43" s="312"/>
      <c r="F43" s="417">
        <f>+F41/(1+$D$1)^F10</f>
        <v>207.25046142853765</v>
      </c>
      <c r="G43" s="420">
        <f t="shared" ref="G43:J43" si="11">+G41/(1+$D$1)^G10</f>
        <v>3395.0539619701144</v>
      </c>
      <c r="H43" s="418">
        <f t="shared" si="11"/>
        <v>6220.7320331996843</v>
      </c>
      <c r="I43" s="420">
        <f>+I41/(1+$D$1)^I10</f>
        <v>8716.5545889053774</v>
      </c>
      <c r="J43" s="419">
        <f t="shared" si="11"/>
        <v>15720.087871627213</v>
      </c>
    </row>
    <row r="44" spans="3:12" ht="15.75" thickBot="1">
      <c r="C44" s="588" t="s">
        <v>188</v>
      </c>
      <c r="D44" s="589"/>
      <c r="E44" s="421"/>
      <c r="F44" s="423">
        <f>+E41+F43</f>
        <v>-14862.274538571462</v>
      </c>
      <c r="G44" s="424">
        <f>+F44+G43</f>
        <v>-11467.220576601349</v>
      </c>
      <c r="H44" s="425">
        <f>+G44+H43</f>
        <v>-5246.4885434016642</v>
      </c>
      <c r="I44" s="426">
        <f>+H44+I43</f>
        <v>3470.0660455037132</v>
      </c>
      <c r="J44" s="427">
        <f>+I44+J43</f>
        <v>19190.153917130927</v>
      </c>
    </row>
    <row r="45" spans="3:12" s="30" customFormat="1"/>
    <row r="46" spans="3:12" s="30" customFormat="1"/>
    <row r="48" spans="3:12">
      <c r="D48" s="30"/>
    </row>
  </sheetData>
  <mergeCells count="35">
    <mergeCell ref="C40:D40"/>
    <mergeCell ref="C41:D41"/>
    <mergeCell ref="C42:D42"/>
    <mergeCell ref="C43:D43"/>
    <mergeCell ref="C44:D44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C9:J9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verticalDpi="0" r:id="rId1"/>
  <ignoredErrors>
    <ignoredError sqref="F30:J33 G43:J4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12" sqref="F11:F12"/>
    </sheetView>
  </sheetViews>
  <sheetFormatPr baseColWidth="10" defaultRowHeight="15"/>
  <cols>
    <col min="1" max="1" width="11.42578125" style="30"/>
    <col min="2" max="2" width="23.5703125" customWidth="1"/>
    <col min="3" max="3" width="14.140625" style="374" bestFit="1" customWidth="1"/>
    <col min="4" max="4" width="11.42578125" style="374"/>
    <col min="5" max="5" width="11.42578125" style="30"/>
  </cols>
  <sheetData>
    <row r="1" spans="1:5" s="30" customFormat="1" ht="15.75" thickBot="1">
      <c r="C1" s="371"/>
      <c r="D1" s="371"/>
    </row>
    <row r="2" spans="1:5" s="7" customFormat="1" ht="16.5" thickBot="1">
      <c r="A2" s="30"/>
      <c r="B2" s="590" t="s">
        <v>182</v>
      </c>
      <c r="C2" s="591"/>
      <c r="D2" s="592"/>
      <c r="E2" s="41"/>
    </row>
    <row r="3" spans="1:5" ht="15.75" thickBot="1">
      <c r="B3" s="435" t="s">
        <v>312</v>
      </c>
      <c r="C3" s="436" t="s">
        <v>311</v>
      </c>
      <c r="D3" s="437" t="s">
        <v>189</v>
      </c>
      <c r="E3" s="41"/>
    </row>
    <row r="4" spans="1:5" ht="21.75" customHeight="1">
      <c r="B4" s="438" t="s">
        <v>320</v>
      </c>
      <c r="C4" s="439">
        <v>7387.8700868507058</v>
      </c>
      <c r="D4" s="440">
        <v>0.25483066710601765</v>
      </c>
      <c r="E4" s="41"/>
    </row>
    <row r="5" spans="1:5" s="7" customFormat="1" ht="21.75" customHeight="1">
      <c r="A5" s="30"/>
      <c r="B5" s="441" t="s">
        <v>322</v>
      </c>
      <c r="C5" s="442">
        <v>3847.2595138488632</v>
      </c>
      <c r="D5" s="443">
        <v>0.20576518324217</v>
      </c>
      <c r="E5" s="41"/>
    </row>
    <row r="6" spans="1:5" s="7" customFormat="1" ht="21.75" customHeight="1">
      <c r="A6" s="30"/>
      <c r="B6" s="441" t="s">
        <v>319</v>
      </c>
      <c r="C6" s="442">
        <v>306.64894084703519</v>
      </c>
      <c r="D6" s="443">
        <v>0.15678058623399233</v>
      </c>
      <c r="E6" s="41"/>
    </row>
    <row r="7" spans="1:5" s="7" customFormat="1" ht="21.75" customHeight="1" thickBot="1">
      <c r="A7" s="30"/>
      <c r="B7" s="444" t="s">
        <v>321</v>
      </c>
      <c r="C7" s="445">
        <v>70.608235980289464</v>
      </c>
      <c r="D7" s="446">
        <v>0.1535164148048358</v>
      </c>
      <c r="E7" s="41"/>
    </row>
    <row r="8" spans="1:5" s="30" customFormat="1" ht="15.75" thickBot="1">
      <c r="B8" s="41"/>
      <c r="C8" s="375"/>
      <c r="D8" s="375"/>
      <c r="E8" s="41"/>
    </row>
    <row r="9" spans="1:5" ht="16.5" thickBot="1">
      <c r="B9" s="590" t="s">
        <v>318</v>
      </c>
      <c r="C9" s="591"/>
      <c r="D9" s="592"/>
      <c r="E9" s="41"/>
    </row>
    <row r="10" spans="1:5" s="7" customFormat="1" ht="15.75" thickBot="1">
      <c r="A10" s="30"/>
      <c r="B10" s="435" t="s">
        <v>312</v>
      </c>
      <c r="C10" s="436" t="s">
        <v>311</v>
      </c>
      <c r="D10" s="437" t="s">
        <v>189</v>
      </c>
      <c r="E10" s="41"/>
    </row>
    <row r="11" spans="1:5" s="7" customFormat="1" ht="21.75" customHeight="1">
      <c r="A11" s="30"/>
      <c r="B11" s="438" t="s">
        <v>317</v>
      </c>
      <c r="C11" s="448">
        <v>7749.5521551962429</v>
      </c>
      <c r="D11" s="449">
        <v>0.25948815083527232</v>
      </c>
      <c r="E11" s="41"/>
    </row>
    <row r="12" spans="1:5" s="7" customFormat="1" ht="21.75" customHeight="1">
      <c r="A12" s="30"/>
      <c r="B12" s="441" t="s">
        <v>323</v>
      </c>
      <c r="C12" s="450">
        <v>4317.371626615999</v>
      </c>
      <c r="D12" s="443">
        <v>0.2120073052018942</v>
      </c>
      <c r="E12" s="41"/>
    </row>
    <row r="13" spans="1:5" s="7" customFormat="1" ht="21.75" customHeight="1">
      <c r="A13" s="30"/>
      <c r="B13" s="441" t="s">
        <v>324</v>
      </c>
      <c r="C13" s="450">
        <v>885.19109803546962</v>
      </c>
      <c r="D13" s="443">
        <v>0.16471289695297758</v>
      </c>
      <c r="E13" s="41"/>
    </row>
    <row r="14" spans="1:5" s="7" customFormat="1" ht="21.75" customHeight="1" thickBot="1">
      <c r="A14" s="30"/>
      <c r="B14" s="444" t="s">
        <v>325</v>
      </c>
      <c r="C14" s="451">
        <v>84.348974700087638</v>
      </c>
      <c r="D14" s="446">
        <v>0.15369956403292712</v>
      </c>
      <c r="E14" s="41"/>
    </row>
    <row r="15" spans="1:5" s="30" customFormat="1">
      <c r="D15" s="371"/>
    </row>
    <row r="16" spans="1:5" s="30" customFormat="1">
      <c r="C16" s="371"/>
      <c r="D16" s="371"/>
    </row>
    <row r="17" spans="3:4" s="30" customFormat="1">
      <c r="C17" s="371"/>
      <c r="D17" s="371"/>
    </row>
    <row r="18" spans="3:4" s="30" customFormat="1">
      <c r="C18" s="371"/>
      <c r="D18" s="371"/>
    </row>
  </sheetData>
  <mergeCells count="2">
    <mergeCell ref="B2:D2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E21" sqref="E21"/>
    </sheetView>
  </sheetViews>
  <sheetFormatPr baseColWidth="10" defaultRowHeight="15"/>
  <cols>
    <col min="1" max="1" width="11.42578125" style="30"/>
    <col min="2" max="2" width="23.5703125" customWidth="1"/>
    <col min="3" max="3" width="11.85546875" bestFit="1" customWidth="1"/>
    <col min="4" max="4" width="11.42578125" style="30"/>
  </cols>
  <sheetData>
    <row r="1" spans="2:3" s="30" customFormat="1" ht="15.75" thickBot="1"/>
    <row r="2" spans="2:3" ht="15.75" thickBot="1">
      <c r="B2" s="593" t="s">
        <v>310</v>
      </c>
      <c r="C2" s="594"/>
    </row>
    <row r="3" spans="2:3">
      <c r="B3" s="105" t="s">
        <v>233</v>
      </c>
      <c r="C3" s="359">
        <v>9.375E-2</v>
      </c>
    </row>
    <row r="4" spans="2:3">
      <c r="B4" s="81" t="s">
        <v>234</v>
      </c>
      <c r="C4" s="360">
        <v>0.2</v>
      </c>
    </row>
    <row r="5" spans="2:3">
      <c r="B5" s="81" t="s">
        <v>235</v>
      </c>
      <c r="C5" s="360">
        <v>0.36</v>
      </c>
    </row>
    <row r="6" spans="2:3" ht="15.75" thickBot="1">
      <c r="B6" s="82" t="s">
        <v>236</v>
      </c>
      <c r="C6" s="361">
        <v>8.0600000000000005E-2</v>
      </c>
    </row>
    <row r="7" spans="2:3" ht="15.75" thickBot="1">
      <c r="B7" s="362" t="s">
        <v>309</v>
      </c>
      <c r="C7" s="363">
        <f>C3+C5*(C4-C3)+C6</f>
        <v>0.21260000000000001</v>
      </c>
    </row>
    <row r="8" spans="2:3" s="30" customFormat="1">
      <c r="B8" s="41"/>
      <c r="C8" s="41"/>
    </row>
    <row r="9" spans="2:3" s="30" customFormat="1" ht="15.75" thickBot="1">
      <c r="B9" s="41"/>
      <c r="C9" s="41"/>
    </row>
    <row r="10" spans="2:3" s="30" customFormat="1" ht="15.75" thickBot="1">
      <c r="B10" s="593" t="s">
        <v>190</v>
      </c>
      <c r="C10" s="594"/>
    </row>
    <row r="11" spans="2:3">
      <c r="B11" s="64" t="s">
        <v>237</v>
      </c>
      <c r="C11" s="364">
        <f>Prestamo!C5</f>
        <v>31106</v>
      </c>
    </row>
    <row r="12" spans="2:3">
      <c r="B12" s="65" t="s">
        <v>218</v>
      </c>
      <c r="C12" s="365">
        <f>Prestamo!C7</f>
        <v>18663.599999999999</v>
      </c>
    </row>
    <row r="13" spans="2:3">
      <c r="B13" s="65" t="s">
        <v>238</v>
      </c>
      <c r="C13" s="365">
        <f>Prestamo!C6</f>
        <v>12442.400000000001</v>
      </c>
    </row>
    <row r="14" spans="2:3">
      <c r="B14" s="65" t="s">
        <v>239</v>
      </c>
      <c r="C14" s="366">
        <v>0.15</v>
      </c>
    </row>
    <row r="15" spans="2:3" ht="15.75" thickBot="1">
      <c r="B15" s="201" t="s">
        <v>240</v>
      </c>
      <c r="C15" s="367">
        <v>0.25</v>
      </c>
    </row>
    <row r="16" spans="2:3" ht="15.75" thickBot="1">
      <c r="B16" s="238" t="s">
        <v>241</v>
      </c>
      <c r="C16" s="368">
        <f>(C12/C11)*C14*(1-C15)+(C7*C13/C11)</f>
        <v>0.15254000000000001</v>
      </c>
    </row>
    <row r="17" s="30" customFormat="1"/>
    <row r="18" s="30" customFormat="1"/>
    <row r="19" s="30" customFormat="1"/>
    <row r="20" s="30" customFormat="1"/>
  </sheetData>
  <mergeCells count="2">
    <mergeCell ref="B2:C2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>
      <selection activeCell="D21" sqref="D21"/>
    </sheetView>
  </sheetViews>
  <sheetFormatPr baseColWidth="10" defaultRowHeight="15"/>
  <cols>
    <col min="1" max="1" width="11.42578125" style="7"/>
    <col min="2" max="2" width="46.28515625" customWidth="1"/>
    <col min="6" max="6" width="11.42578125" style="30"/>
    <col min="9" max="9" width="21.85546875" bestFit="1" customWidth="1"/>
    <col min="10" max="10" width="11.42578125" style="30"/>
  </cols>
  <sheetData>
    <row r="1" spans="1:10" s="7" customFormat="1" ht="15.75" thickBot="1">
      <c r="A1" s="30"/>
      <c r="B1" s="30"/>
      <c r="C1" s="30"/>
      <c r="D1" s="30"/>
      <c r="F1" s="30"/>
      <c r="G1" s="30"/>
      <c r="H1" s="30"/>
      <c r="I1" s="30"/>
      <c r="J1" s="30"/>
    </row>
    <row r="2" spans="1:10" ht="16.5" thickBot="1">
      <c r="A2" s="30"/>
      <c r="B2" s="590" t="s">
        <v>267</v>
      </c>
      <c r="C2" s="592"/>
      <c r="D2" s="23"/>
      <c r="E2" s="122"/>
      <c r="F2" s="23"/>
      <c r="G2" s="535" t="s">
        <v>272</v>
      </c>
      <c r="H2" s="536"/>
      <c r="I2" s="537"/>
      <c r="J2" s="23"/>
    </row>
    <row r="3" spans="1:10" ht="15.75" thickBot="1">
      <c r="A3" s="30"/>
      <c r="B3" s="134" t="s">
        <v>263</v>
      </c>
      <c r="C3" s="137">
        <v>13089.48</v>
      </c>
      <c r="D3" s="120"/>
      <c r="E3" s="119"/>
      <c r="F3" s="120"/>
      <c r="G3" s="178" t="s">
        <v>273</v>
      </c>
      <c r="H3" s="178" t="s">
        <v>274</v>
      </c>
      <c r="I3" s="178" t="s">
        <v>303</v>
      </c>
      <c r="J3" s="23"/>
    </row>
    <row r="4" spans="1:10">
      <c r="A4" s="30"/>
      <c r="B4" s="133" t="s">
        <v>264</v>
      </c>
      <c r="C4" s="138">
        <v>3116.52</v>
      </c>
      <c r="D4" s="23"/>
      <c r="E4" s="123"/>
      <c r="G4" s="176" t="s">
        <v>275</v>
      </c>
      <c r="H4" s="176" t="s">
        <v>276</v>
      </c>
      <c r="I4" s="177" t="s">
        <v>101</v>
      </c>
      <c r="J4" s="23"/>
    </row>
    <row r="5" spans="1:10">
      <c r="A5" s="30"/>
      <c r="B5" s="135" t="s">
        <v>268</v>
      </c>
      <c r="C5" s="138">
        <v>5200</v>
      </c>
      <c r="D5" s="23"/>
      <c r="G5" s="172" t="s">
        <v>277</v>
      </c>
      <c r="H5" s="172" t="s">
        <v>284</v>
      </c>
      <c r="I5" s="174" t="s">
        <v>101</v>
      </c>
      <c r="J5" s="23"/>
    </row>
    <row r="6" spans="1:10">
      <c r="A6" s="30"/>
      <c r="B6" s="136" t="s">
        <v>265</v>
      </c>
      <c r="C6" s="138">
        <v>6800</v>
      </c>
      <c r="D6" s="23"/>
      <c r="G6" s="172" t="s">
        <v>278</v>
      </c>
      <c r="H6" s="172" t="s">
        <v>285</v>
      </c>
      <c r="I6" s="174" t="s">
        <v>302</v>
      </c>
      <c r="J6" s="23"/>
    </row>
    <row r="7" spans="1:10" s="7" customFormat="1">
      <c r="A7" s="30"/>
      <c r="B7" s="133" t="s">
        <v>266</v>
      </c>
      <c r="C7" s="139">
        <v>200</v>
      </c>
      <c r="D7" s="23"/>
      <c r="F7" s="30"/>
      <c r="G7" s="172" t="s">
        <v>279</v>
      </c>
      <c r="H7" s="172" t="s">
        <v>286</v>
      </c>
      <c r="I7" s="174" t="s">
        <v>302</v>
      </c>
      <c r="J7" s="23"/>
    </row>
    <row r="8" spans="1:10" ht="15.75" thickBot="1">
      <c r="A8" s="30"/>
      <c r="B8" s="133" t="s">
        <v>271</v>
      </c>
      <c r="C8" s="139">
        <v>2700</v>
      </c>
      <c r="D8" s="23"/>
      <c r="G8" s="172" t="s">
        <v>280</v>
      </c>
      <c r="H8" s="172" t="s">
        <v>287</v>
      </c>
      <c r="I8" s="174" t="s">
        <v>103</v>
      </c>
      <c r="J8" s="23"/>
    </row>
    <row r="9" spans="1:10" ht="15.75" thickBot="1">
      <c r="A9" s="30"/>
      <c r="B9" s="140" t="s">
        <v>269</v>
      </c>
      <c r="C9" s="141">
        <f>SUM(C3:C8)</f>
        <v>31106</v>
      </c>
      <c r="D9" s="120"/>
      <c r="G9" s="172" t="s">
        <v>281</v>
      </c>
      <c r="H9" s="172" t="s">
        <v>288</v>
      </c>
      <c r="I9" s="174" t="s">
        <v>103</v>
      </c>
      <c r="J9" s="23"/>
    </row>
    <row r="10" spans="1:10">
      <c r="A10" s="30"/>
      <c r="B10" s="23"/>
      <c r="C10" s="23"/>
      <c r="D10" s="23"/>
      <c r="F10" s="23"/>
      <c r="G10" s="172" t="s">
        <v>282</v>
      </c>
      <c r="H10" s="172" t="s">
        <v>289</v>
      </c>
      <c r="I10" s="174" t="s">
        <v>103</v>
      </c>
      <c r="J10" s="23"/>
    </row>
    <row r="11" spans="1:10">
      <c r="B11" s="123"/>
      <c r="C11" s="123"/>
      <c r="D11" s="123"/>
      <c r="F11" s="23"/>
      <c r="G11" s="172" t="s">
        <v>283</v>
      </c>
      <c r="H11" s="172" t="s">
        <v>290</v>
      </c>
      <c r="I11" s="174" t="s">
        <v>103</v>
      </c>
      <c r="J11" s="23"/>
    </row>
    <row r="12" spans="1:10">
      <c r="B12" s="123"/>
      <c r="C12" s="123"/>
      <c r="D12" s="123"/>
      <c r="F12" s="23"/>
      <c r="G12" s="172" t="s">
        <v>291</v>
      </c>
      <c r="H12" s="172" t="s">
        <v>296</v>
      </c>
      <c r="I12" s="174" t="s">
        <v>105</v>
      </c>
      <c r="J12" s="23"/>
    </row>
    <row r="13" spans="1:10">
      <c r="C13" s="124"/>
      <c r="D13" s="124"/>
      <c r="E13" s="124"/>
      <c r="F13" s="179"/>
      <c r="G13" s="172" t="s">
        <v>292</v>
      </c>
      <c r="H13" s="172" t="s">
        <v>297</v>
      </c>
      <c r="I13" s="174" t="s">
        <v>105</v>
      </c>
      <c r="J13" s="23"/>
    </row>
    <row r="14" spans="1:10">
      <c r="B14" s="122"/>
      <c r="C14" s="122"/>
      <c r="D14" s="122"/>
      <c r="E14" s="122"/>
      <c r="F14" s="23"/>
      <c r="G14" s="172" t="s">
        <v>285</v>
      </c>
      <c r="H14" s="172" t="s">
        <v>298</v>
      </c>
      <c r="I14" s="174" t="s">
        <v>105</v>
      </c>
      <c r="J14" s="23"/>
    </row>
    <row r="15" spans="1:10">
      <c r="C15" s="127"/>
      <c r="D15" s="123"/>
      <c r="E15" s="123"/>
      <c r="F15" s="23"/>
      <c r="G15" s="172" t="s">
        <v>293</v>
      </c>
      <c r="H15" s="172" t="s">
        <v>300</v>
      </c>
      <c r="I15" s="174" t="s">
        <v>105</v>
      </c>
    </row>
    <row r="16" spans="1:10">
      <c r="B16" s="123"/>
      <c r="C16" s="123"/>
      <c r="D16" s="123"/>
      <c r="E16" s="123"/>
      <c r="F16" s="23"/>
      <c r="G16" s="172" t="s">
        <v>294</v>
      </c>
      <c r="H16" s="172" t="s">
        <v>299</v>
      </c>
      <c r="I16" s="174" t="s">
        <v>105</v>
      </c>
    </row>
    <row r="17" spans="2:9" ht="15.75" thickBot="1">
      <c r="C17" s="119"/>
      <c r="D17" s="119"/>
      <c r="E17" s="123"/>
      <c r="F17" s="23"/>
      <c r="G17" s="173" t="s">
        <v>295</v>
      </c>
      <c r="H17" s="173" t="s">
        <v>301</v>
      </c>
      <c r="I17" s="175" t="s">
        <v>105</v>
      </c>
    </row>
    <row r="18" spans="2:9">
      <c r="B18" s="123"/>
      <c r="C18" s="123"/>
      <c r="D18" s="123"/>
      <c r="E18" s="123"/>
      <c r="F18" s="23"/>
      <c r="G18" s="23"/>
      <c r="H18" s="30"/>
      <c r="I18" s="30"/>
    </row>
    <row r="19" spans="2:9">
      <c r="G19" s="30"/>
      <c r="H19" s="30"/>
      <c r="I19" s="30"/>
    </row>
    <row r="20" spans="2:9">
      <c r="G20" s="30"/>
      <c r="H20" s="30"/>
      <c r="I20" s="30"/>
    </row>
    <row r="21" spans="2:9">
      <c r="G21" s="30"/>
      <c r="H21" s="30"/>
      <c r="I21" s="30"/>
    </row>
    <row r="22" spans="2:9">
      <c r="G22" s="30"/>
      <c r="H22" s="30"/>
      <c r="I22" s="30"/>
    </row>
    <row r="23" spans="2:9">
      <c r="G23" s="30"/>
      <c r="H23" s="30"/>
      <c r="I23" s="30"/>
    </row>
  </sheetData>
  <mergeCells count="2">
    <mergeCell ref="B2:C2"/>
    <mergeCell ref="G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C1:P43"/>
  <sheetViews>
    <sheetView topLeftCell="D1" workbookViewId="0">
      <selection activeCell="L18" sqref="L18"/>
    </sheetView>
  </sheetViews>
  <sheetFormatPr baseColWidth="10" defaultRowHeight="15"/>
  <cols>
    <col min="5" max="5" width="14.5703125" customWidth="1"/>
    <col min="6" max="8" width="11.5703125" bestFit="1" customWidth="1"/>
    <col min="10" max="10" width="11.42578125" customWidth="1"/>
    <col min="12" max="16" width="11.5703125" bestFit="1" customWidth="1"/>
  </cols>
  <sheetData>
    <row r="1" spans="3:16">
      <c r="C1" s="26" t="s">
        <v>190</v>
      </c>
      <c r="D1" s="21">
        <f>+Hoja6!C16</f>
        <v>0.15254000000000001</v>
      </c>
      <c r="E1" s="27"/>
      <c r="F1" s="7"/>
      <c r="G1" s="19"/>
      <c r="H1" s="19"/>
      <c r="I1" s="19"/>
      <c r="J1" s="7"/>
    </row>
    <row r="2" spans="3:16">
      <c r="C2" s="26" t="s">
        <v>191</v>
      </c>
      <c r="D2" s="21">
        <v>8.8300000000000003E-2</v>
      </c>
      <c r="E2" s="27"/>
      <c r="F2" s="7"/>
      <c r="G2" s="19"/>
      <c r="H2" s="19"/>
      <c r="I2" s="19"/>
      <c r="J2" s="7"/>
    </row>
    <row r="3" spans="3:16">
      <c r="C3" s="26" t="s">
        <v>192</v>
      </c>
      <c r="D3" s="20">
        <v>0.25</v>
      </c>
      <c r="E3" s="27"/>
      <c r="F3" s="7"/>
      <c r="G3" s="19"/>
      <c r="H3" s="19"/>
      <c r="I3" s="19"/>
      <c r="J3" s="7"/>
    </row>
    <row r="4" spans="3:16">
      <c r="C4" s="344"/>
      <c r="D4" s="345"/>
      <c r="E4" s="344"/>
      <c r="F4" s="7"/>
      <c r="G4" s="19"/>
      <c r="H4" s="19"/>
      <c r="I4" s="19"/>
      <c r="J4" s="433">
        <v>-1.2999999999999999E-2</v>
      </c>
    </row>
    <row r="5" spans="3:16">
      <c r="C5" s="344"/>
      <c r="D5" s="376"/>
      <c r="E5" s="344"/>
      <c r="F5" s="7"/>
      <c r="G5" s="19"/>
      <c r="H5" s="19"/>
      <c r="I5" s="19"/>
      <c r="J5" s="7"/>
    </row>
    <row r="6" spans="3:16">
      <c r="C6" s="344"/>
      <c r="D6" s="345"/>
      <c r="E6" s="344"/>
      <c r="F6" s="7"/>
      <c r="G6" s="19"/>
      <c r="H6" s="19"/>
      <c r="I6" s="19"/>
      <c r="J6" s="7"/>
    </row>
    <row r="7" spans="3:16">
      <c r="C7" s="28"/>
      <c r="D7" s="346"/>
      <c r="E7" s="28"/>
      <c r="F7" s="30"/>
      <c r="G7" s="343"/>
      <c r="H7" s="343"/>
      <c r="I7" s="343"/>
      <c r="J7" s="30"/>
    </row>
    <row r="8" spans="3:16" ht="15.75" thickBot="1">
      <c r="C8" s="378"/>
      <c r="D8" s="378"/>
      <c r="E8" s="378"/>
      <c r="F8" s="380"/>
      <c r="G8" s="379"/>
      <c r="H8" s="379"/>
      <c r="I8" s="379"/>
      <c r="J8" s="377"/>
    </row>
    <row r="9" spans="3:16" ht="16.5" thickBot="1">
      <c r="C9" s="564" t="s">
        <v>187</v>
      </c>
      <c r="D9" s="571"/>
      <c r="E9" s="571"/>
      <c r="F9" s="571"/>
      <c r="G9" s="571"/>
      <c r="H9" s="571"/>
      <c r="I9" s="571"/>
      <c r="J9" s="572"/>
    </row>
    <row r="10" spans="3:16" ht="15.75" thickBot="1">
      <c r="C10" s="311"/>
      <c r="D10" s="29"/>
      <c r="E10" s="314">
        <v>0</v>
      </c>
      <c r="F10" s="316">
        <v>1</v>
      </c>
      <c r="G10" s="315">
        <v>2</v>
      </c>
      <c r="H10" s="316">
        <v>3</v>
      </c>
      <c r="I10" s="315">
        <v>4</v>
      </c>
      <c r="J10" s="316">
        <v>5</v>
      </c>
    </row>
    <row r="11" spans="3:16">
      <c r="C11" s="562" t="s">
        <v>182</v>
      </c>
      <c r="D11" s="576"/>
      <c r="E11" s="329"/>
      <c r="F11" s="317">
        <f>L11*(1+$J$4)</f>
        <v>461383.02</v>
      </c>
      <c r="G11" s="317">
        <f>M11*(1+$J$4)</f>
        <v>507521.32199999999</v>
      </c>
      <c r="H11" s="317">
        <f>N11*(1+$J$4)</f>
        <v>558272.86199999996</v>
      </c>
      <c r="I11" s="317">
        <f t="shared" ref="I11:J11" si="0">O11*(1+$J$4)</f>
        <v>614100.79961999995</v>
      </c>
      <c r="J11" s="317">
        <f t="shared" si="0"/>
        <v>675510.88352999999</v>
      </c>
      <c r="L11" s="370">
        <v>467460</v>
      </c>
      <c r="M11" s="370">
        <v>514206</v>
      </c>
      <c r="N11" s="370">
        <v>565626</v>
      </c>
      <c r="O11" s="370">
        <v>622189.26</v>
      </c>
      <c r="P11" s="370">
        <v>684408.19</v>
      </c>
    </row>
    <row r="12" spans="3:16">
      <c r="C12" s="562"/>
      <c r="D12" s="576"/>
      <c r="E12" s="330"/>
      <c r="F12" s="317"/>
      <c r="G12" s="31"/>
      <c r="H12" s="317"/>
      <c r="I12" s="31"/>
      <c r="J12" s="317"/>
    </row>
    <row r="13" spans="3:16">
      <c r="C13" s="562" t="s">
        <v>249</v>
      </c>
      <c r="D13" s="576"/>
      <c r="E13" s="330"/>
      <c r="F13" s="318">
        <f>(+Hoja1!O84)</f>
        <v>300201.3</v>
      </c>
      <c r="G13" s="32">
        <f>+F13*(1+$D$2)</f>
        <v>326709.07478999998</v>
      </c>
      <c r="H13" s="318">
        <f>+G13*(1+$D$2)</f>
        <v>355557.48609395698</v>
      </c>
      <c r="I13" s="32">
        <f>+H13*(1+$D$2)</f>
        <v>386953.21211605339</v>
      </c>
      <c r="J13" s="318">
        <f>+I13*(1+$D$2)</f>
        <v>421121.1807459009</v>
      </c>
    </row>
    <row r="14" spans="3:16">
      <c r="C14" s="562"/>
      <c r="D14" s="576"/>
      <c r="E14" s="330"/>
      <c r="F14" s="317"/>
      <c r="G14" s="31"/>
      <c r="H14" s="317"/>
      <c r="I14" s="31"/>
      <c r="J14" s="317"/>
    </row>
    <row r="15" spans="3:16">
      <c r="C15" s="562" t="s">
        <v>183</v>
      </c>
      <c r="D15" s="576"/>
      <c r="E15" s="330"/>
      <c r="F15" s="319">
        <f>SUM(F16:F25)</f>
        <v>157161.41600000003</v>
      </c>
      <c r="G15" s="33">
        <f>SUM(G16:G25)</f>
        <v>170086.84292000005</v>
      </c>
      <c r="H15" s="319">
        <f t="shared" ref="H15:J15" si="1">SUM(H16:H25)</f>
        <v>184118.65543703607</v>
      </c>
      <c r="I15" s="33">
        <f t="shared" si="1"/>
        <v>199352.80091932637</v>
      </c>
      <c r="J15" s="319">
        <f t="shared" si="1"/>
        <v>215893.61156370293</v>
      </c>
    </row>
    <row r="16" spans="3:16">
      <c r="C16" s="562" t="s">
        <v>201</v>
      </c>
      <c r="D16" s="576"/>
      <c r="E16" s="331"/>
      <c r="F16" s="318">
        <f>Hoja1!T31*12</f>
        <v>97902.000000000029</v>
      </c>
      <c r="G16" s="32">
        <f>F16*1.0883</f>
        <v>106546.74660000004</v>
      </c>
      <c r="H16" s="318">
        <f t="shared" ref="H16:I19" si="2">G16*1.0883</f>
        <v>115954.82432478006</v>
      </c>
      <c r="I16" s="32">
        <f t="shared" si="2"/>
        <v>126193.63531265814</v>
      </c>
      <c r="J16" s="318">
        <f>I16*1.0883</f>
        <v>137336.53331076587</v>
      </c>
    </row>
    <row r="17" spans="3:10">
      <c r="C17" s="562" t="s">
        <v>242</v>
      </c>
      <c r="D17" s="576"/>
      <c r="E17" s="331"/>
      <c r="F17" s="318">
        <f>SUM(Hoja1!U23:U30)</f>
        <v>9000</v>
      </c>
      <c r="G17" s="32">
        <f>F17*1.0883</f>
        <v>9794.7000000000007</v>
      </c>
      <c r="H17" s="318">
        <f t="shared" si="2"/>
        <v>10659.572010000002</v>
      </c>
      <c r="I17" s="32">
        <f t="shared" si="2"/>
        <v>11600.812218483003</v>
      </c>
      <c r="J17" s="318">
        <f>I17*1.0883</f>
        <v>12625.163937375053</v>
      </c>
    </row>
    <row r="18" spans="3:10">
      <c r="C18" s="562" t="s">
        <v>213</v>
      </c>
      <c r="D18" s="576"/>
      <c r="E18" s="331"/>
      <c r="F18" s="318">
        <f>SUM(Hoja1!V23:V30)</f>
        <v>1920</v>
      </c>
      <c r="G18" s="32">
        <f>F18*1.0883</f>
        <v>2089.5360000000001</v>
      </c>
      <c r="H18" s="318">
        <f t="shared" si="2"/>
        <v>2274.0420288</v>
      </c>
      <c r="I18" s="32">
        <f t="shared" si="2"/>
        <v>2474.83993994304</v>
      </c>
      <c r="J18" s="318">
        <f>I18*1.0883</f>
        <v>2693.3683066400104</v>
      </c>
    </row>
    <row r="19" spans="3:10">
      <c r="C19" s="562" t="s">
        <v>214</v>
      </c>
      <c r="D19" s="576"/>
      <c r="E19" s="331"/>
      <c r="F19" s="318">
        <f>SUM(Hoja1!W23:W30)</f>
        <v>4500</v>
      </c>
      <c r="G19" s="32">
        <f>F19*1.0883</f>
        <v>4897.3500000000004</v>
      </c>
      <c r="H19" s="318">
        <f t="shared" si="2"/>
        <v>5329.7860050000008</v>
      </c>
      <c r="I19" s="32">
        <f t="shared" si="2"/>
        <v>5800.4061092415013</v>
      </c>
      <c r="J19" s="318">
        <f>I19*1.0883</f>
        <v>6312.5819686875266</v>
      </c>
    </row>
    <row r="20" spans="3:10">
      <c r="C20" s="562" t="s">
        <v>248</v>
      </c>
      <c r="D20" s="576"/>
      <c r="E20" s="331"/>
      <c r="F20" s="318">
        <f>+'Flujo de Caja mensual'!F18*12</f>
        <v>22730.400000000005</v>
      </c>
      <c r="G20" s="372">
        <f>+F20*1.0883</f>
        <v>24737.494320000005</v>
      </c>
      <c r="H20" s="318">
        <f t="shared" ref="H20:I20" si="3">+G20*1.0883</f>
        <v>26921.815068456006</v>
      </c>
      <c r="I20" s="32">
        <f t="shared" si="3"/>
        <v>29299.011339000674</v>
      </c>
      <c r="J20" s="318">
        <f>+I20*1.0883</f>
        <v>31886.114040234435</v>
      </c>
    </row>
    <row r="21" spans="3:10">
      <c r="C21" s="562" t="s">
        <v>202</v>
      </c>
      <c r="D21" s="576"/>
      <c r="E21" s="331"/>
      <c r="F21" s="318">
        <f>Hoja1!P46</f>
        <v>13440</v>
      </c>
      <c r="G21" s="372">
        <f>+F21*1.05</f>
        <v>14112</v>
      </c>
      <c r="H21" s="318">
        <f t="shared" ref="H21:J21" si="4">+G21*1.05</f>
        <v>14817.6</v>
      </c>
      <c r="I21" s="32">
        <f t="shared" si="4"/>
        <v>15558.480000000001</v>
      </c>
      <c r="J21" s="318">
        <f t="shared" si="4"/>
        <v>16336.404000000002</v>
      </c>
    </row>
    <row r="22" spans="3:10">
      <c r="C22" s="562" t="s">
        <v>212</v>
      </c>
      <c r="D22" s="576"/>
      <c r="E22" s="331"/>
      <c r="F22" s="318">
        <f>Hoja1!P51</f>
        <v>4800</v>
      </c>
      <c r="G22" s="32">
        <f>F22*1.05</f>
        <v>5040</v>
      </c>
      <c r="H22" s="318">
        <f t="shared" ref="H22:I22" si="5">G22*1.05</f>
        <v>5292</v>
      </c>
      <c r="I22" s="32">
        <f t="shared" si="5"/>
        <v>5556.6</v>
      </c>
      <c r="J22" s="318">
        <f>I22*1.05</f>
        <v>5834.43</v>
      </c>
    </row>
    <row r="23" spans="3:10">
      <c r="C23" s="562" t="s">
        <v>250</v>
      </c>
      <c r="D23" s="576"/>
      <c r="E23" s="330"/>
      <c r="F23" s="318">
        <f>Hoja1!$H$15</f>
        <v>1030.1759999999999</v>
      </c>
      <c r="G23" s="32">
        <f>Hoja1!$H$15</f>
        <v>1030.1759999999999</v>
      </c>
      <c r="H23" s="318">
        <f>Hoja1!$H$15</f>
        <v>1030.1759999999999</v>
      </c>
      <c r="I23" s="32">
        <f>Hoja1!$H$15</f>
        <v>1030.1759999999999</v>
      </c>
      <c r="J23" s="318">
        <f>Hoja1!$H$15</f>
        <v>1030.1759999999999</v>
      </c>
    </row>
    <row r="24" spans="3:10">
      <c r="C24" s="562" t="s">
        <v>251</v>
      </c>
      <c r="D24" s="576"/>
      <c r="E24" s="330"/>
      <c r="F24" s="318">
        <f>Hoja1!$H$51</f>
        <v>1038.8400000000001</v>
      </c>
      <c r="G24" s="32">
        <f>Hoja1!$H$51</f>
        <v>1038.8400000000001</v>
      </c>
      <c r="H24" s="318">
        <f>Hoja1!$H$51</f>
        <v>1038.8400000000001</v>
      </c>
      <c r="I24" s="32">
        <f>Hoja1!$H$51</f>
        <v>1038.8400000000001</v>
      </c>
      <c r="J24" s="318">
        <f>Hoja1!$H$51</f>
        <v>1038.8400000000001</v>
      </c>
    </row>
    <row r="25" spans="3:10">
      <c r="C25" s="562" t="s">
        <v>217</v>
      </c>
      <c r="D25" s="576"/>
      <c r="E25" s="332"/>
      <c r="F25" s="318">
        <f>Hoja1!$H$61</f>
        <v>800</v>
      </c>
      <c r="G25" s="32">
        <f>Hoja1!$H$61</f>
        <v>800</v>
      </c>
      <c r="H25" s="318">
        <f>Hoja1!$H$61</f>
        <v>800</v>
      </c>
      <c r="I25" s="32">
        <f>Hoja1!$H$61</f>
        <v>800</v>
      </c>
      <c r="J25" s="318">
        <f>Hoja1!$H$61</f>
        <v>800</v>
      </c>
    </row>
    <row r="26" spans="3:10" ht="15.75" thickBot="1">
      <c r="C26" s="562" t="s">
        <v>243</v>
      </c>
      <c r="D26" s="576"/>
      <c r="E26" s="333"/>
      <c r="F26" s="318">
        <f>Hoja1!$P$11</f>
        <v>7093.2</v>
      </c>
      <c r="G26" s="32">
        <f>+F26*1.05</f>
        <v>7447.86</v>
      </c>
      <c r="H26" s="373">
        <f t="shared" ref="H26:I26" si="6">+G26*1.05</f>
        <v>7820.2529999999997</v>
      </c>
      <c r="I26" s="32">
        <f t="shared" si="6"/>
        <v>8211.2656499999994</v>
      </c>
      <c r="J26" s="373">
        <f>+I26*1.05</f>
        <v>8621.8289325000005</v>
      </c>
    </row>
    <row r="27" spans="3:10" ht="15.75" thickBot="1">
      <c r="C27" s="567" t="s">
        <v>186</v>
      </c>
      <c r="D27" s="573"/>
      <c r="E27" s="358"/>
      <c r="F27" s="349">
        <f>+F11-F13-F15-F26</f>
        <v>-3072.8959999999961</v>
      </c>
      <c r="G27" s="350">
        <f t="shared" ref="G27:J27" si="7">+G11-G13-G15-G26</f>
        <v>3277.544289999948</v>
      </c>
      <c r="H27" s="430">
        <f t="shared" si="7"/>
        <v>10776.467469006919</v>
      </c>
      <c r="I27" s="350">
        <f t="shared" si="7"/>
        <v>19583.520934620188</v>
      </c>
      <c r="J27" s="349">
        <f t="shared" si="7"/>
        <v>29874.262287896163</v>
      </c>
    </row>
    <row r="28" spans="3:10">
      <c r="C28" s="562" t="s">
        <v>184</v>
      </c>
      <c r="D28" s="576"/>
      <c r="E28" s="330"/>
      <c r="F28" s="320">
        <f>Prestamo!E19</f>
        <v>2967.6017679543156</v>
      </c>
      <c r="G28" s="125">
        <f>Prestamo!F19</f>
        <v>2512.8074694483294</v>
      </c>
      <c r="H28" s="320">
        <f>Prestamo!G19</f>
        <v>1980.0614281784178</v>
      </c>
      <c r="I28" s="125">
        <f>Prestamo!H19</f>
        <v>1356.0027154348425</v>
      </c>
      <c r="J28" s="320">
        <f>Prestamo!I19</f>
        <v>624.98033932701844</v>
      </c>
    </row>
    <row r="29" spans="3:10">
      <c r="C29" s="569" t="s">
        <v>252</v>
      </c>
      <c r="D29" s="581"/>
      <c r="E29" s="334"/>
      <c r="F29" s="321">
        <f>F27-F28</f>
        <v>-6040.4977679543117</v>
      </c>
      <c r="G29" s="34">
        <f>G27-G28</f>
        <v>764.73682055161862</v>
      </c>
      <c r="H29" s="321">
        <f>H27-H28</f>
        <v>8796.4060408285004</v>
      </c>
      <c r="I29" s="34">
        <f>I27-I28</f>
        <v>18227.518219185346</v>
      </c>
      <c r="J29" s="321">
        <f>J27-J28</f>
        <v>29249.281948569143</v>
      </c>
    </row>
    <row r="30" spans="3:10">
      <c r="C30" s="562" t="s">
        <v>185</v>
      </c>
      <c r="D30" s="576"/>
      <c r="E30" s="335"/>
      <c r="F30" s="320">
        <f>F29*15%</f>
        <v>-906.07466519314676</v>
      </c>
      <c r="G30" s="125">
        <f>G29*15%</f>
        <v>114.7105230827428</v>
      </c>
      <c r="H30" s="320">
        <f>H29*15%</f>
        <v>1319.460906124275</v>
      </c>
      <c r="I30" s="125">
        <f>I29*15%</f>
        <v>2734.1277328778019</v>
      </c>
      <c r="J30" s="320">
        <f>J29*15%</f>
        <v>4387.3922922853717</v>
      </c>
    </row>
    <row r="31" spans="3:10">
      <c r="C31" s="562" t="s">
        <v>252</v>
      </c>
      <c r="D31" s="576"/>
      <c r="E31" s="334"/>
      <c r="F31" s="321">
        <f>F29-F30</f>
        <v>-5134.423102761165</v>
      </c>
      <c r="G31" s="34">
        <f t="shared" ref="G31:J31" si="8">G29-G30</f>
        <v>650.02629746887578</v>
      </c>
      <c r="H31" s="321">
        <f t="shared" si="8"/>
        <v>7476.945134704225</v>
      </c>
      <c r="I31" s="34">
        <f t="shared" si="8"/>
        <v>15493.390486307544</v>
      </c>
      <c r="J31" s="321">
        <f t="shared" si="8"/>
        <v>24861.889656283773</v>
      </c>
    </row>
    <row r="32" spans="3:10">
      <c r="C32" s="562" t="s">
        <v>253</v>
      </c>
      <c r="D32" s="576"/>
      <c r="E32" s="330"/>
      <c r="F32" s="322">
        <f>F31*$D$3</f>
        <v>-1283.6057756902912</v>
      </c>
      <c r="G32" s="126">
        <f>G31*$D$3</f>
        <v>162.50657436721895</v>
      </c>
      <c r="H32" s="322">
        <f>H31*$D$3</f>
        <v>1869.2362836760562</v>
      </c>
      <c r="I32" s="126">
        <f>I31*$D$3</f>
        <v>3873.347621576886</v>
      </c>
      <c r="J32" s="322">
        <f>J31*$D$3</f>
        <v>6215.4724140709432</v>
      </c>
    </row>
    <row r="33" spans="3:10">
      <c r="C33" s="569" t="s">
        <v>186</v>
      </c>
      <c r="D33" s="581"/>
      <c r="E33" s="334"/>
      <c r="F33" s="321">
        <f>F31-F32</f>
        <v>-3850.8173270708739</v>
      </c>
      <c r="G33" s="34">
        <f t="shared" ref="G33:J33" si="9">G31-G32</f>
        <v>487.51972310165684</v>
      </c>
      <c r="H33" s="321">
        <f t="shared" si="9"/>
        <v>5607.7088510281683</v>
      </c>
      <c r="I33" s="34">
        <f t="shared" si="9"/>
        <v>11620.042864730658</v>
      </c>
      <c r="J33" s="321">
        <f t="shared" si="9"/>
        <v>18646.417242212829</v>
      </c>
    </row>
    <row r="34" spans="3:10">
      <c r="C34" s="562" t="s">
        <v>254</v>
      </c>
      <c r="D34" s="576"/>
      <c r="E34" s="324"/>
      <c r="F34" s="323">
        <f>(Hoja1!$H$15+Hoja1!$H$51+Hoja1!$H$61)</f>
        <v>2869.0160000000001</v>
      </c>
      <c r="G34" s="35">
        <f>Hoja1!$H$15+Hoja1!$H$51+Hoja1!$H$61</f>
        <v>2869.0160000000001</v>
      </c>
      <c r="H34" s="323">
        <f>Hoja1!$H$15+Hoja1!$H$51+Hoja1!$H$61</f>
        <v>2869.0160000000001</v>
      </c>
      <c r="I34" s="35">
        <f>Hoja1!$H$15+Hoja1!$H$51+Hoja1!$H$61</f>
        <v>2869.0160000000001</v>
      </c>
      <c r="J34" s="323">
        <f>Hoja1!$H$15+Hoja1!$H$51+Hoja1!$H$61</f>
        <v>2869.0160000000001</v>
      </c>
    </row>
    <row r="35" spans="3:10">
      <c r="C35" s="562" t="s">
        <v>255</v>
      </c>
      <c r="D35" s="576"/>
      <c r="E35" s="336">
        <f>Prestamo!$C$5</f>
        <v>31106</v>
      </c>
      <c r="F35" s="324"/>
      <c r="G35" s="23"/>
      <c r="H35" s="318">
        <f>Hoja1!F51</f>
        <v>3116.5200000000004</v>
      </c>
      <c r="I35" s="23"/>
      <c r="J35" s="324"/>
    </row>
    <row r="36" spans="3:10">
      <c r="C36" s="562" t="s">
        <v>256</v>
      </c>
      <c r="D36" s="576"/>
      <c r="E36" s="333"/>
      <c r="F36" s="324"/>
      <c r="G36" s="23"/>
      <c r="H36" s="324"/>
      <c r="I36" s="23"/>
      <c r="J36" s="317">
        <f>Hoja1!J15+Hoja1!J61</f>
        <v>7150.88</v>
      </c>
    </row>
    <row r="37" spans="3:10">
      <c r="C37" s="562" t="s">
        <v>210</v>
      </c>
      <c r="D37" s="576"/>
      <c r="E37" s="336">
        <f>'CAPITAL DE TRABAJO'!$C$15</f>
        <v>2627.1249999999986</v>
      </c>
      <c r="F37" s="324"/>
      <c r="G37" s="23"/>
      <c r="H37" s="324"/>
      <c r="I37" s="23"/>
      <c r="J37" s="324"/>
    </row>
    <row r="38" spans="3:10">
      <c r="C38" s="562" t="s">
        <v>257</v>
      </c>
      <c r="D38" s="576"/>
      <c r="E38" s="333"/>
      <c r="F38" s="318">
        <f>Prestamo!E18</f>
        <v>2653.4089761142677</v>
      </c>
      <c r="G38" s="32">
        <f>Prestamo!F18</f>
        <v>3108.203274620254</v>
      </c>
      <c r="H38" s="318">
        <f>Prestamo!G18</f>
        <v>3640.9493158901655</v>
      </c>
      <c r="I38" s="32">
        <f>Prestamo!H18</f>
        <v>4265.0080286337407</v>
      </c>
      <c r="J38" s="318">
        <f>Prestamo!I18</f>
        <v>4996.0304047415648</v>
      </c>
    </row>
    <row r="39" spans="3:10">
      <c r="C39" s="562" t="s">
        <v>258</v>
      </c>
      <c r="D39" s="576"/>
      <c r="E39" s="337">
        <f>Prestamo!$C$7</f>
        <v>18663.599999999999</v>
      </c>
      <c r="F39" s="324"/>
      <c r="G39" s="23"/>
      <c r="H39" s="324"/>
      <c r="I39" s="23"/>
      <c r="J39" s="324"/>
    </row>
    <row r="40" spans="3:10" ht="15.75" thickBot="1">
      <c r="C40" s="562" t="s">
        <v>259</v>
      </c>
      <c r="D40" s="576"/>
      <c r="E40" s="338"/>
      <c r="F40" s="324"/>
      <c r="G40" s="23"/>
      <c r="H40" s="324"/>
      <c r="I40" s="23"/>
      <c r="J40" s="317">
        <f>'CAPITAL DE TRABAJO'!C15</f>
        <v>2627.1249999999986</v>
      </c>
    </row>
    <row r="41" spans="3:10" ht="15.75" thickBot="1">
      <c r="C41" s="567" t="s">
        <v>187</v>
      </c>
      <c r="D41" s="568"/>
      <c r="E41" s="348">
        <f>E39-E35-E37</f>
        <v>-15069.525</v>
      </c>
      <c r="F41" s="349">
        <f>+F33+F34-F38</f>
        <v>-3635.2103031851416</v>
      </c>
      <c r="G41" s="350">
        <f t="shared" ref="G41:I41" si="10">+G33+G34-G38</f>
        <v>248.33244848140293</v>
      </c>
      <c r="H41" s="349">
        <f t="shared" si="10"/>
        <v>4835.7755351380019</v>
      </c>
      <c r="I41" s="350">
        <f t="shared" si="10"/>
        <v>10224.050836096918</v>
      </c>
      <c r="J41" s="349">
        <f>+J33+J34+J36-J38+J40</f>
        <v>26297.407837471263</v>
      </c>
    </row>
    <row r="42" spans="3:10">
      <c r="C42" s="577" t="s">
        <v>232</v>
      </c>
      <c r="D42" s="578"/>
      <c r="E42" s="339">
        <f>+NPV(D1,F41:J41)+E41</f>
        <v>3847.2595138488632</v>
      </c>
      <c r="F42" s="23"/>
      <c r="G42" s="23"/>
      <c r="H42" s="23"/>
      <c r="I42" s="23"/>
      <c r="J42" s="312"/>
    </row>
    <row r="43" spans="3:10" ht="15.75" thickBot="1">
      <c r="C43" s="579" t="s">
        <v>189</v>
      </c>
      <c r="D43" s="580"/>
      <c r="E43" s="434">
        <f>+IRR(E41:J41)</f>
        <v>0.20576518324217</v>
      </c>
      <c r="F43" s="38"/>
      <c r="G43" s="38"/>
      <c r="H43" s="38"/>
      <c r="I43" s="38"/>
      <c r="J43" s="313"/>
    </row>
  </sheetData>
  <mergeCells count="34">
    <mergeCell ref="C22:D22"/>
    <mergeCell ref="C23:D23"/>
    <mergeCell ref="C12:D12"/>
    <mergeCell ref="C13:D13"/>
    <mergeCell ref="C14:D14"/>
    <mergeCell ref="C15:D15"/>
    <mergeCell ref="C35:D35"/>
    <mergeCell ref="C24:D24"/>
    <mergeCell ref="C25:D25"/>
    <mergeCell ref="C26:D26"/>
    <mergeCell ref="C27:D27"/>
    <mergeCell ref="C9:J9"/>
    <mergeCell ref="C40:D40"/>
    <mergeCell ref="C28:D28"/>
    <mergeCell ref="C29:D29"/>
    <mergeCell ref="C30:D30"/>
    <mergeCell ref="C31:D31"/>
    <mergeCell ref="C32:D32"/>
    <mergeCell ref="C33:D33"/>
    <mergeCell ref="C16:D16"/>
    <mergeCell ref="C17:D17"/>
    <mergeCell ref="C18:D18"/>
    <mergeCell ref="C19:D19"/>
    <mergeCell ref="C20:D20"/>
    <mergeCell ref="C21:D21"/>
    <mergeCell ref="C11:D11"/>
    <mergeCell ref="C34:D34"/>
    <mergeCell ref="C41:D41"/>
    <mergeCell ref="C42:D42"/>
    <mergeCell ref="C43:D43"/>
    <mergeCell ref="C36:D36"/>
    <mergeCell ref="C37:D37"/>
    <mergeCell ref="C38:D38"/>
    <mergeCell ref="C39:D3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52"/>
  <sheetViews>
    <sheetView topLeftCell="A19" zoomScale="75" zoomScaleNormal="75" workbookViewId="0">
      <pane ySplit="8265" topLeftCell="A34"/>
      <selection activeCell="E49" sqref="E49"/>
      <selection pane="bottomLeft" activeCell="B30" sqref="B30:B33"/>
    </sheetView>
  </sheetViews>
  <sheetFormatPr baseColWidth="10" defaultRowHeight="15"/>
  <cols>
    <col min="1" max="1" width="11.42578125" style="7"/>
    <col min="2" max="2" width="5.28515625" style="30" customWidth="1"/>
    <col min="3" max="3" width="40.42578125" style="7" customWidth="1"/>
    <col min="4" max="6" width="14.28515625" style="7" bestFit="1" customWidth="1"/>
    <col min="7" max="10" width="14.85546875" style="7" bestFit="1" customWidth="1"/>
    <col min="11" max="11" width="3" style="30" customWidth="1"/>
    <col min="12" max="12" width="13.140625" style="30" bestFit="1" customWidth="1"/>
    <col min="13" max="13" width="14.28515625" style="7" bestFit="1" customWidth="1"/>
    <col min="14" max="16384" width="11.42578125" style="7"/>
  </cols>
  <sheetData>
    <row r="1" spans="3:12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2">
      <c r="C2" s="26" t="s">
        <v>191</v>
      </c>
      <c r="D2" s="21">
        <v>8.8300000000000003E-2</v>
      </c>
      <c r="E2" s="27"/>
      <c r="G2" s="19"/>
      <c r="H2" s="19"/>
      <c r="I2" s="19"/>
    </row>
    <row r="3" spans="3:12" s="30" customFormat="1">
      <c r="C3" s="26" t="s">
        <v>192</v>
      </c>
      <c r="D3" s="20">
        <v>0.25</v>
      </c>
      <c r="E3" s="27"/>
      <c r="F3" s="7"/>
      <c r="G3" s="19"/>
      <c r="H3" s="19"/>
      <c r="I3" s="19"/>
      <c r="J3" s="7"/>
    </row>
    <row r="4" spans="3:12" s="30" customFormat="1">
      <c r="C4" s="344"/>
      <c r="D4" s="345"/>
      <c r="E4" s="344"/>
      <c r="F4" s="7"/>
      <c r="G4" s="19"/>
      <c r="H4" s="19"/>
      <c r="I4" s="19"/>
      <c r="J4" s="447">
        <v>1.67E-2</v>
      </c>
    </row>
    <row r="5" spans="3:12" s="30" customFormat="1">
      <c r="C5" s="344"/>
      <c r="D5" s="376"/>
      <c r="E5" s="344"/>
      <c r="F5" s="7"/>
      <c r="G5" s="19"/>
      <c r="H5" s="19"/>
      <c r="I5" s="19"/>
      <c r="J5" s="7"/>
    </row>
    <row r="6" spans="3:12" s="30" customFormat="1">
      <c r="C6" s="344"/>
      <c r="D6" s="345"/>
      <c r="E6" s="344"/>
      <c r="F6" s="7"/>
      <c r="G6" s="19"/>
      <c r="H6" s="19"/>
      <c r="I6" s="19"/>
      <c r="J6" s="7"/>
    </row>
    <row r="7" spans="3:12" s="30" customFormat="1">
      <c r="C7" s="28"/>
      <c r="D7" s="346"/>
      <c r="E7" s="28"/>
      <c r="G7" s="343"/>
      <c r="H7" s="343"/>
      <c r="I7" s="343"/>
    </row>
    <row r="8" spans="3:12" s="377" customFormat="1" ht="7.5" customHeight="1" thickBot="1">
      <c r="C8" s="378"/>
      <c r="D8" s="378"/>
      <c r="E8" s="378"/>
      <c r="F8" s="380"/>
      <c r="G8" s="379"/>
      <c r="H8" s="379"/>
      <c r="I8" s="379"/>
    </row>
    <row r="9" spans="3:12" s="30" customFormat="1" ht="16.5" thickBot="1">
      <c r="C9" s="564" t="s">
        <v>187</v>
      </c>
      <c r="D9" s="571"/>
      <c r="E9" s="571"/>
      <c r="F9" s="571"/>
      <c r="G9" s="571"/>
      <c r="H9" s="571"/>
      <c r="I9" s="571"/>
      <c r="J9" s="572"/>
    </row>
    <row r="10" spans="3:12" s="30" customFormat="1" ht="15.75" thickBot="1">
      <c r="C10" s="311"/>
      <c r="D10" s="29"/>
      <c r="E10" s="314">
        <v>0</v>
      </c>
      <c r="F10" s="316">
        <v>1</v>
      </c>
      <c r="G10" s="315">
        <v>2</v>
      </c>
      <c r="H10" s="316">
        <v>3</v>
      </c>
      <c r="I10" s="315">
        <v>4</v>
      </c>
      <c r="J10" s="316">
        <v>5</v>
      </c>
    </row>
    <row r="11" spans="3:12" s="30" customFormat="1">
      <c r="C11" s="562" t="s">
        <v>182</v>
      </c>
      <c r="D11" s="576"/>
      <c r="E11" s="329"/>
      <c r="F11" s="317">
        <f>+Ingresos!D19</f>
        <v>467460</v>
      </c>
      <c r="G11" s="31">
        <f>+F11*(1.1)</f>
        <v>514206.00000000006</v>
      </c>
      <c r="H11" s="351">
        <f t="shared" ref="H11:J11" si="0">+G11*(1.1)</f>
        <v>565626.60000000009</v>
      </c>
      <c r="I11" s="31">
        <f t="shared" si="0"/>
        <v>622189.26000000013</v>
      </c>
      <c r="J11" s="351">
        <f t="shared" si="0"/>
        <v>684408.18600000022</v>
      </c>
    </row>
    <row r="12" spans="3:12" s="30" customFormat="1">
      <c r="C12" s="562"/>
      <c r="D12" s="576"/>
      <c r="E12" s="330"/>
      <c r="F12" s="317"/>
      <c r="G12" s="31"/>
      <c r="H12" s="317"/>
      <c r="I12" s="31"/>
      <c r="J12" s="317"/>
    </row>
    <row r="13" spans="3:12" s="30" customFormat="1">
      <c r="C13" s="562" t="s">
        <v>249</v>
      </c>
      <c r="D13" s="576"/>
      <c r="E13" s="330"/>
      <c r="F13" s="318">
        <f>(+Hoja1!O84)</f>
        <v>300201.3</v>
      </c>
      <c r="G13" s="32">
        <f>+F13*(1+$D$2)</f>
        <v>326709.07478999998</v>
      </c>
      <c r="H13" s="318">
        <f>+G13*(1+$D$2)</f>
        <v>355557.48609395698</v>
      </c>
      <c r="I13" s="32">
        <f>+H13*(1+$D$2)</f>
        <v>386953.21211605339</v>
      </c>
      <c r="J13" s="318">
        <f>+I13*(1+$D$2)</f>
        <v>421121.1807459009</v>
      </c>
    </row>
    <row r="14" spans="3:12" s="30" customFormat="1" ht="9.75" customHeight="1">
      <c r="C14" s="562"/>
      <c r="D14" s="576"/>
      <c r="E14" s="330"/>
      <c r="F14" s="317"/>
      <c r="G14" s="31"/>
      <c r="H14" s="317"/>
      <c r="I14" s="31"/>
      <c r="J14" s="317"/>
      <c r="L14" s="347"/>
    </row>
    <row r="15" spans="3:12" s="30" customFormat="1">
      <c r="C15" s="562" t="s">
        <v>183</v>
      </c>
      <c r="D15" s="576"/>
      <c r="E15" s="330"/>
      <c r="F15" s="319"/>
      <c r="G15" s="33"/>
      <c r="H15" s="319"/>
      <c r="I15" s="33"/>
      <c r="J15" s="319"/>
    </row>
    <row r="16" spans="3:12" s="30" customFormat="1">
      <c r="C16" s="562" t="s">
        <v>201</v>
      </c>
      <c r="D16" s="576"/>
      <c r="E16" s="331"/>
      <c r="F16" s="318">
        <f>Hoja1!T31*12</f>
        <v>97902.000000000029</v>
      </c>
      <c r="G16" s="32">
        <f>F16*1.0883</f>
        <v>106546.74660000004</v>
      </c>
      <c r="H16" s="318">
        <f t="shared" ref="H16:I19" si="1">G16*1.0883</f>
        <v>115954.82432478006</v>
      </c>
      <c r="I16" s="32">
        <f t="shared" si="1"/>
        <v>126193.63531265814</v>
      </c>
      <c r="J16" s="318">
        <f>I16*1.0883</f>
        <v>137336.53331076587</v>
      </c>
    </row>
    <row r="17" spans="3:17" s="30" customFormat="1">
      <c r="C17" s="562" t="s">
        <v>242</v>
      </c>
      <c r="D17" s="576"/>
      <c r="E17" s="331"/>
      <c r="F17" s="318">
        <f>SUM(Hoja1!U23:U30)</f>
        <v>9000</v>
      </c>
      <c r="G17" s="32">
        <f>F17*1.0883</f>
        <v>9794.7000000000007</v>
      </c>
      <c r="H17" s="318">
        <f t="shared" si="1"/>
        <v>10659.572010000002</v>
      </c>
      <c r="I17" s="32">
        <f t="shared" si="1"/>
        <v>11600.812218483003</v>
      </c>
      <c r="J17" s="318">
        <f>I17*1.0883</f>
        <v>12625.163937375053</v>
      </c>
    </row>
    <row r="18" spans="3:17" s="30" customFormat="1">
      <c r="C18" s="562" t="s">
        <v>213</v>
      </c>
      <c r="D18" s="576"/>
      <c r="E18" s="331"/>
      <c r="F18" s="318">
        <f>SUM(Hoja1!V23:V30)</f>
        <v>1920</v>
      </c>
      <c r="G18" s="32">
        <f>F18*1.0883</f>
        <v>2089.5360000000001</v>
      </c>
      <c r="H18" s="318">
        <f t="shared" si="1"/>
        <v>2274.0420288</v>
      </c>
      <c r="I18" s="32">
        <f t="shared" si="1"/>
        <v>2474.83993994304</v>
      </c>
      <c r="J18" s="318">
        <f>I18*1.0883</f>
        <v>2693.3683066400104</v>
      </c>
    </row>
    <row r="19" spans="3:17" s="30" customFormat="1">
      <c r="C19" s="562" t="s">
        <v>214</v>
      </c>
      <c r="D19" s="576"/>
      <c r="E19" s="331"/>
      <c r="F19" s="318">
        <f>SUM(Hoja1!W23:W30)</f>
        <v>4500</v>
      </c>
      <c r="G19" s="32">
        <f>F19*1.0883</f>
        <v>4897.3500000000004</v>
      </c>
      <c r="H19" s="318">
        <f t="shared" si="1"/>
        <v>5329.7860050000008</v>
      </c>
      <c r="I19" s="32">
        <f t="shared" si="1"/>
        <v>5800.4061092415013</v>
      </c>
      <c r="J19" s="318">
        <f>I19*1.0883</f>
        <v>6312.5819686875266</v>
      </c>
      <c r="K19" s="32"/>
    </row>
    <row r="20" spans="3:17">
      <c r="C20" s="562" t="s">
        <v>248</v>
      </c>
      <c r="D20" s="576"/>
      <c r="E20" s="331"/>
      <c r="F20" s="318">
        <f>+'Flujo de Caja mensual'!F18*12</f>
        <v>22730.400000000005</v>
      </c>
      <c r="G20" s="372">
        <f>+F20*1.0883</f>
        <v>24737.494320000005</v>
      </c>
      <c r="H20" s="318">
        <f t="shared" ref="H20:I20" si="2">+G20*1.0883</f>
        <v>26921.815068456006</v>
      </c>
      <c r="I20" s="32">
        <f t="shared" si="2"/>
        <v>29299.011339000674</v>
      </c>
      <c r="J20" s="318">
        <f>+I20*1.0883</f>
        <v>31886.114040234435</v>
      </c>
    </row>
    <row r="21" spans="3:17">
      <c r="C21" s="562" t="s">
        <v>202</v>
      </c>
      <c r="D21" s="576"/>
      <c r="E21" s="331"/>
      <c r="F21" s="318">
        <f>Hoja1!P46</f>
        <v>13440</v>
      </c>
      <c r="G21" s="372">
        <f>+F21*1.05</f>
        <v>14112</v>
      </c>
      <c r="H21" s="318">
        <f t="shared" ref="H21:J21" si="3">+G21*1.05</f>
        <v>14817.6</v>
      </c>
      <c r="I21" s="32">
        <f t="shared" si="3"/>
        <v>15558.480000000001</v>
      </c>
      <c r="J21" s="318">
        <f t="shared" si="3"/>
        <v>16336.404000000002</v>
      </c>
    </row>
    <row r="22" spans="3:17">
      <c r="C22" s="562" t="s">
        <v>212</v>
      </c>
      <c r="D22" s="576"/>
      <c r="E22" s="331"/>
      <c r="F22" s="318">
        <f>Hoja1!P51</f>
        <v>4800</v>
      </c>
      <c r="G22" s="32">
        <f>F22*1.05</f>
        <v>5040</v>
      </c>
      <c r="H22" s="318">
        <f t="shared" ref="H22:I22" si="4">G22*1.05</f>
        <v>5292</v>
      </c>
      <c r="I22" s="32">
        <f t="shared" si="4"/>
        <v>5556.6</v>
      </c>
      <c r="J22" s="318">
        <f>I22*1.05</f>
        <v>5834.43</v>
      </c>
    </row>
    <row r="23" spans="3:17">
      <c r="C23" s="562" t="s">
        <v>250</v>
      </c>
      <c r="D23" s="576"/>
      <c r="E23" s="330"/>
      <c r="F23" s="318">
        <f>Hoja1!$H$15</f>
        <v>1030.1759999999999</v>
      </c>
      <c r="G23" s="32">
        <f>Hoja1!$H$15</f>
        <v>1030.1759999999999</v>
      </c>
      <c r="H23" s="318">
        <f>Hoja1!$H$15</f>
        <v>1030.1759999999999</v>
      </c>
      <c r="I23" s="32">
        <f>Hoja1!$H$15</f>
        <v>1030.1759999999999</v>
      </c>
      <c r="J23" s="318">
        <f>Hoja1!$H$15</f>
        <v>1030.1759999999999</v>
      </c>
      <c r="L23" s="347"/>
    </row>
    <row r="24" spans="3:17">
      <c r="C24" s="562" t="s">
        <v>251</v>
      </c>
      <c r="D24" s="576"/>
      <c r="E24" s="330"/>
      <c r="F24" s="318">
        <f>Hoja1!$H$51</f>
        <v>1038.8400000000001</v>
      </c>
      <c r="G24" s="32">
        <f>Hoja1!$H$51</f>
        <v>1038.8400000000001</v>
      </c>
      <c r="H24" s="318">
        <f>Hoja1!$H$51</f>
        <v>1038.8400000000001</v>
      </c>
      <c r="I24" s="32">
        <f>Hoja1!$H$51</f>
        <v>1038.8400000000001</v>
      </c>
      <c r="J24" s="318">
        <f>Hoja1!$H$51</f>
        <v>1038.8400000000001</v>
      </c>
    </row>
    <row r="25" spans="3:17">
      <c r="C25" s="562" t="s">
        <v>217</v>
      </c>
      <c r="D25" s="576"/>
      <c r="E25" s="332"/>
      <c r="F25" s="318">
        <f>Hoja1!$H$61</f>
        <v>800</v>
      </c>
      <c r="G25" s="32">
        <f>Hoja1!$H$61</f>
        <v>800</v>
      </c>
      <c r="H25" s="318">
        <f>Hoja1!$H$61</f>
        <v>800</v>
      </c>
      <c r="I25" s="32">
        <f>Hoja1!$H$61</f>
        <v>800</v>
      </c>
      <c r="J25" s="318">
        <f>Hoja1!$H$61</f>
        <v>800</v>
      </c>
    </row>
    <row r="26" spans="3:17" ht="15.75" thickBot="1">
      <c r="C26" s="562" t="s">
        <v>243</v>
      </c>
      <c r="D26" s="576"/>
      <c r="E26" s="333"/>
      <c r="F26" s="318">
        <f>Hoja1!$P$11</f>
        <v>7093.2</v>
      </c>
      <c r="G26" s="32">
        <f>+F26*1.05</f>
        <v>7447.86</v>
      </c>
      <c r="H26" s="373">
        <f t="shared" ref="H26:I26" si="5">+G26*1.05</f>
        <v>7820.2529999999997</v>
      </c>
      <c r="I26" s="32">
        <f t="shared" si="5"/>
        <v>8211.2656499999994</v>
      </c>
      <c r="J26" s="373">
        <f>+I26*1.05</f>
        <v>8621.8289325000005</v>
      </c>
    </row>
    <row r="27" spans="3:17" ht="15.75" thickBot="1">
      <c r="C27" s="431" t="s">
        <v>326</v>
      </c>
      <c r="D27" s="432"/>
      <c r="E27" s="333"/>
      <c r="F27" s="318">
        <f>+M27*(1+$J$4)</f>
        <v>472212.32979720004</v>
      </c>
      <c r="G27" s="318">
        <f t="shared" ref="G27:J27" si="6">+N27*(1+$J$4)</f>
        <v>512664.64879775705</v>
      </c>
      <c r="H27" s="318">
        <f t="shared" si="6"/>
        <v>556639.58431966056</v>
      </c>
      <c r="I27" s="318">
        <f t="shared" si="6"/>
        <v>604445.71723942552</v>
      </c>
      <c r="J27" s="318">
        <f t="shared" si="6"/>
        <v>656418.75281684671</v>
      </c>
      <c r="M27" s="7">
        <v>464455.91600000008</v>
      </c>
      <c r="N27" s="7">
        <v>504243.77771000005</v>
      </c>
      <c r="O27" s="7">
        <v>547496.39453099295</v>
      </c>
      <c r="P27" s="7">
        <v>594517.27868537966</v>
      </c>
      <c r="Q27" s="7">
        <v>645636.62124210363</v>
      </c>
    </row>
    <row r="28" spans="3:17" ht="15.75" thickBot="1">
      <c r="C28" s="567" t="s">
        <v>186</v>
      </c>
      <c r="D28" s="573"/>
      <c r="E28" s="358"/>
      <c r="F28" s="349">
        <f>+F11-F27</f>
        <v>-4752.3297972000437</v>
      </c>
      <c r="G28" s="349">
        <f t="shared" ref="G28:J28" si="7">+G11-G27</f>
        <v>1541.3512022430077</v>
      </c>
      <c r="H28" s="349">
        <f t="shared" si="7"/>
        <v>8987.0156803395366</v>
      </c>
      <c r="I28" s="349">
        <f t="shared" si="7"/>
        <v>17743.542760574608</v>
      </c>
      <c r="J28" s="349">
        <f t="shared" si="7"/>
        <v>27989.433183153509</v>
      </c>
    </row>
    <row r="29" spans="3:17">
      <c r="C29" s="562" t="s">
        <v>184</v>
      </c>
      <c r="D29" s="576"/>
      <c r="E29" s="330"/>
      <c r="F29" s="320">
        <f>Prestamo!E19</f>
        <v>2967.6017679543156</v>
      </c>
      <c r="G29" s="125">
        <f>Prestamo!F19</f>
        <v>2512.8074694483294</v>
      </c>
      <c r="H29" s="320">
        <f>Prestamo!G19</f>
        <v>1980.0614281784178</v>
      </c>
      <c r="I29" s="125">
        <f>Prestamo!H19</f>
        <v>1356.0027154348425</v>
      </c>
      <c r="J29" s="320">
        <f>Prestamo!I19</f>
        <v>624.98033932701844</v>
      </c>
    </row>
    <row r="30" spans="3:17">
      <c r="C30" s="569" t="s">
        <v>252</v>
      </c>
      <c r="D30" s="581"/>
      <c r="E30" s="334"/>
      <c r="F30" s="321">
        <f>F28-F29</f>
        <v>-7719.9315651543593</v>
      </c>
      <c r="G30" s="34">
        <f>G28-G29</f>
        <v>-971.45626720532164</v>
      </c>
      <c r="H30" s="321">
        <f>H28-H29</f>
        <v>7006.9542521611183</v>
      </c>
      <c r="I30" s="34">
        <f>I28-I29</f>
        <v>16387.540045139765</v>
      </c>
      <c r="J30" s="321">
        <f>J28-J29</f>
        <v>27364.45284382649</v>
      </c>
    </row>
    <row r="31" spans="3:17">
      <c r="C31" s="562" t="s">
        <v>185</v>
      </c>
      <c r="D31" s="576"/>
      <c r="E31" s="335"/>
      <c r="F31" s="320">
        <f>F30*15%</f>
        <v>-1157.9897347731539</v>
      </c>
      <c r="G31" s="125">
        <f>G30*15%</f>
        <v>-145.71844008079825</v>
      </c>
      <c r="H31" s="320">
        <f>H30*15%</f>
        <v>1051.0431378241676</v>
      </c>
      <c r="I31" s="125">
        <f>I30*15%</f>
        <v>2458.1310067709646</v>
      </c>
      <c r="J31" s="320">
        <f>J30*15%</f>
        <v>4104.6679265739731</v>
      </c>
    </row>
    <row r="32" spans="3:17">
      <c r="C32" s="562" t="s">
        <v>252</v>
      </c>
      <c r="D32" s="576"/>
      <c r="E32" s="334"/>
      <c r="F32" s="321">
        <f>F30-F31</f>
        <v>-6561.9418303812054</v>
      </c>
      <c r="G32" s="34">
        <f t="shared" ref="G32:J32" si="8">G30-G31</f>
        <v>-825.73782712452339</v>
      </c>
      <c r="H32" s="321">
        <f t="shared" si="8"/>
        <v>5955.911114336951</v>
      </c>
      <c r="I32" s="34">
        <f t="shared" si="8"/>
        <v>13929.409038368802</v>
      </c>
      <c r="J32" s="321">
        <f t="shared" si="8"/>
        <v>23259.784917252517</v>
      </c>
    </row>
    <row r="33" spans="3:12">
      <c r="C33" s="562" t="s">
        <v>253</v>
      </c>
      <c r="D33" s="576"/>
      <c r="E33" s="330"/>
      <c r="F33" s="322">
        <f>F32*$D$3</f>
        <v>-1640.4854575953013</v>
      </c>
      <c r="G33" s="126">
        <f>G32*$D$3</f>
        <v>-206.43445678113085</v>
      </c>
      <c r="H33" s="322">
        <f>H32*$D$3</f>
        <v>1488.9777785842377</v>
      </c>
      <c r="I33" s="126">
        <f>I32*$D$3</f>
        <v>3482.3522595922004</v>
      </c>
      <c r="J33" s="322">
        <f>J32*$D$3</f>
        <v>5814.9462293131292</v>
      </c>
    </row>
    <row r="34" spans="3:12">
      <c r="C34" s="569" t="s">
        <v>186</v>
      </c>
      <c r="D34" s="581"/>
      <c r="E34" s="334"/>
      <c r="F34" s="321">
        <f>F32-F33</f>
        <v>-4921.456372785904</v>
      </c>
      <c r="G34" s="34">
        <f t="shared" ref="G34:J34" si="9">G32-G33</f>
        <v>-619.30337034339254</v>
      </c>
      <c r="H34" s="321">
        <f t="shared" si="9"/>
        <v>4466.933335752713</v>
      </c>
      <c r="I34" s="34">
        <f t="shared" si="9"/>
        <v>10447.056778776601</v>
      </c>
      <c r="J34" s="321">
        <f t="shared" si="9"/>
        <v>17444.838687939387</v>
      </c>
      <c r="L34" s="40"/>
    </row>
    <row r="35" spans="3:12">
      <c r="C35" s="562" t="s">
        <v>254</v>
      </c>
      <c r="D35" s="576"/>
      <c r="E35" s="324"/>
      <c r="F35" s="323">
        <f>(Hoja1!$H$15+Hoja1!$H$51+Hoja1!$H$61)</f>
        <v>2869.0160000000001</v>
      </c>
      <c r="G35" s="35">
        <f>Hoja1!$H$15+Hoja1!$H$51+Hoja1!$H$61</f>
        <v>2869.0160000000001</v>
      </c>
      <c r="H35" s="323">
        <f>Hoja1!$H$15+Hoja1!$H$51+Hoja1!$H$61</f>
        <v>2869.0160000000001</v>
      </c>
      <c r="I35" s="35">
        <f>Hoja1!$H$15+Hoja1!$H$51+Hoja1!$H$61</f>
        <v>2869.0160000000001</v>
      </c>
      <c r="J35" s="323">
        <f>Hoja1!$H$15+Hoja1!$H$51+Hoja1!$H$61</f>
        <v>2869.0160000000001</v>
      </c>
    </row>
    <row r="36" spans="3:12">
      <c r="C36" s="562" t="s">
        <v>255</v>
      </c>
      <c r="D36" s="576"/>
      <c r="E36" s="336">
        <f>Prestamo!$C$5</f>
        <v>31106</v>
      </c>
      <c r="F36" s="324"/>
      <c r="G36" s="23"/>
      <c r="H36" s="318">
        <f>Hoja1!F51</f>
        <v>3116.5200000000004</v>
      </c>
      <c r="I36" s="23"/>
      <c r="J36" s="324"/>
    </row>
    <row r="37" spans="3:12" s="30" customFormat="1">
      <c r="C37" s="562" t="s">
        <v>256</v>
      </c>
      <c r="D37" s="576"/>
      <c r="E37" s="333"/>
      <c r="F37" s="324"/>
      <c r="G37" s="23"/>
      <c r="H37" s="324"/>
      <c r="I37" s="23"/>
      <c r="J37" s="317">
        <f>Hoja1!J15+Hoja1!J61</f>
        <v>7150.88</v>
      </c>
    </row>
    <row r="38" spans="3:12" s="30" customFormat="1">
      <c r="C38" s="562" t="s">
        <v>210</v>
      </c>
      <c r="D38" s="576"/>
      <c r="E38" s="336">
        <f>'CAPITAL DE TRABAJO'!$C$15</f>
        <v>2627.1249999999986</v>
      </c>
      <c r="F38" s="324"/>
      <c r="G38" s="23"/>
      <c r="H38" s="324"/>
      <c r="I38" s="23"/>
      <c r="J38" s="324"/>
    </row>
    <row r="39" spans="3:12" s="30" customFormat="1">
      <c r="C39" s="562" t="s">
        <v>257</v>
      </c>
      <c r="D39" s="576"/>
      <c r="E39" s="333"/>
      <c r="F39" s="318">
        <f>Prestamo!E18</f>
        <v>2653.4089761142677</v>
      </c>
      <c r="G39" s="32">
        <f>Prestamo!F18</f>
        <v>3108.203274620254</v>
      </c>
      <c r="H39" s="318">
        <f>Prestamo!G18</f>
        <v>3640.9493158901655</v>
      </c>
      <c r="I39" s="32">
        <f>Prestamo!H18</f>
        <v>4265.0080286337407</v>
      </c>
      <c r="J39" s="318">
        <f>Prestamo!I18</f>
        <v>4996.0304047415648</v>
      </c>
    </row>
    <row r="40" spans="3:12" s="30" customFormat="1">
      <c r="C40" s="562" t="s">
        <v>258</v>
      </c>
      <c r="D40" s="576"/>
      <c r="E40" s="337">
        <f>Prestamo!$C$7</f>
        <v>18663.599999999999</v>
      </c>
      <c r="F40" s="324"/>
      <c r="G40" s="23"/>
      <c r="H40" s="324"/>
      <c r="I40" s="23"/>
      <c r="J40" s="324"/>
    </row>
    <row r="41" spans="3:12" s="30" customFormat="1" ht="15.75" thickBot="1">
      <c r="C41" s="562" t="s">
        <v>259</v>
      </c>
      <c r="D41" s="576"/>
      <c r="E41" s="338"/>
      <c r="F41" s="324"/>
      <c r="G41" s="23"/>
      <c r="H41" s="324"/>
      <c r="I41" s="23"/>
      <c r="J41" s="317">
        <f>'CAPITAL DE TRABAJO'!C15</f>
        <v>2627.1249999999986</v>
      </c>
    </row>
    <row r="42" spans="3:12" s="30" customFormat="1" ht="15.75" thickBot="1">
      <c r="C42" s="567" t="s">
        <v>187</v>
      </c>
      <c r="D42" s="568"/>
      <c r="E42" s="348">
        <f>E40-E36-E38</f>
        <v>-15069.525</v>
      </c>
      <c r="F42" s="349">
        <f>+F34+F35-F39</f>
        <v>-4705.8493489001721</v>
      </c>
      <c r="G42" s="350">
        <f t="shared" ref="G42:I42" si="10">+G34+G35-G39</f>
        <v>-858.49064496364645</v>
      </c>
      <c r="H42" s="349">
        <f t="shared" si="10"/>
        <v>3695.000019862548</v>
      </c>
      <c r="I42" s="350">
        <f t="shared" si="10"/>
        <v>9051.0647501428612</v>
      </c>
      <c r="J42" s="349">
        <f>+J34+J35+J37-J39+J41</f>
        <v>25095.829283197825</v>
      </c>
    </row>
    <row r="43" spans="3:12" s="30" customFormat="1">
      <c r="C43" s="577" t="s">
        <v>232</v>
      </c>
      <c r="D43" s="578"/>
      <c r="E43" s="339">
        <f>+NPV(D1,F42:J42)+E42</f>
        <v>84.348974700087638</v>
      </c>
      <c r="F43" s="23"/>
      <c r="G43" s="23"/>
      <c r="H43" s="23"/>
      <c r="I43" s="23"/>
      <c r="J43" s="312"/>
    </row>
    <row r="44" spans="3:12" s="30" customFormat="1" ht="15.75" thickBot="1">
      <c r="C44" s="579" t="s">
        <v>189</v>
      </c>
      <c r="D44" s="580"/>
      <c r="E44" s="434">
        <f>+IRR(E42:J42)</f>
        <v>0.15369956403292712</v>
      </c>
      <c r="F44" s="38"/>
      <c r="G44" s="38"/>
      <c r="H44" s="38"/>
      <c r="I44" s="38"/>
      <c r="J44" s="313"/>
    </row>
    <row r="45" spans="3:12" s="30" customFormat="1">
      <c r="E45" s="37"/>
      <c r="F45" s="23"/>
      <c r="G45" s="23"/>
      <c r="H45" s="23"/>
      <c r="I45" s="23"/>
      <c r="J45" s="23"/>
    </row>
    <row r="46" spans="3:12" s="30" customFormat="1"/>
    <row r="47" spans="3:12" s="30" customFormat="1"/>
    <row r="52" spans="4:4">
      <c r="D52" s="30"/>
    </row>
  </sheetData>
  <mergeCells count="34"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40:D40"/>
    <mergeCell ref="C34:D34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3:D33"/>
    <mergeCell ref="C21:D21"/>
    <mergeCell ref="C9:J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workbookViewId="0">
      <selection activeCell="S27" sqref="S27"/>
    </sheetView>
  </sheetViews>
  <sheetFormatPr baseColWidth="10" defaultRowHeight="15"/>
  <cols>
    <col min="1" max="1" width="3.5703125" style="30" customWidth="1"/>
    <col min="2" max="2" width="22.140625" customWidth="1"/>
    <col min="3" max="3" width="13.42578125" customWidth="1"/>
    <col min="4" max="4" width="11.42578125" customWidth="1"/>
    <col min="5" max="5" width="11.5703125" customWidth="1"/>
    <col min="14" max="14" width="4.140625" style="30" customWidth="1"/>
    <col min="15" max="15" width="11.42578125" style="30"/>
  </cols>
  <sheetData>
    <row r="1" spans="1:21" s="30" customFormat="1" ht="15.75" thickBot="1"/>
    <row r="2" spans="1:21" ht="15.75" thickBot="1">
      <c r="B2" s="41"/>
      <c r="C2" s="41"/>
      <c r="D2" s="552" t="s">
        <v>111</v>
      </c>
      <c r="E2" s="553"/>
      <c r="F2" s="558" t="s">
        <v>112</v>
      </c>
      <c r="G2" s="559"/>
      <c r="H2" s="560" t="s">
        <v>113</v>
      </c>
      <c r="I2" s="553"/>
      <c r="J2" s="558" t="s">
        <v>114</v>
      </c>
      <c r="K2" s="559"/>
      <c r="L2" s="560" t="s">
        <v>115</v>
      </c>
      <c r="M2" s="561"/>
    </row>
    <row r="3" spans="1:21" ht="15" customHeight="1">
      <c r="B3" s="548" t="s">
        <v>244</v>
      </c>
      <c r="C3" s="550" t="s">
        <v>245</v>
      </c>
      <c r="D3" s="548" t="s">
        <v>246</v>
      </c>
      <c r="E3" s="550" t="s">
        <v>247</v>
      </c>
      <c r="F3" s="556" t="s">
        <v>246</v>
      </c>
      <c r="G3" s="554" t="s">
        <v>247</v>
      </c>
      <c r="H3" s="548" t="s">
        <v>246</v>
      </c>
      <c r="I3" s="550" t="s">
        <v>247</v>
      </c>
      <c r="J3" s="556" t="s">
        <v>246</v>
      </c>
      <c r="K3" s="554" t="s">
        <v>247</v>
      </c>
      <c r="L3" s="548" t="s">
        <v>246</v>
      </c>
      <c r="M3" s="548" t="s">
        <v>247</v>
      </c>
    </row>
    <row r="4" spans="1:21" ht="39" customHeight="1" thickBot="1">
      <c r="B4" s="549"/>
      <c r="C4" s="551"/>
      <c r="D4" s="549"/>
      <c r="E4" s="551"/>
      <c r="F4" s="557"/>
      <c r="G4" s="555"/>
      <c r="H4" s="549"/>
      <c r="I4" s="551"/>
      <c r="J4" s="557"/>
      <c r="K4" s="555"/>
      <c r="L4" s="549"/>
      <c r="M4" s="549"/>
      <c r="P4">
        <v>1</v>
      </c>
      <c r="Q4">
        <v>2</v>
      </c>
      <c r="R4">
        <v>3</v>
      </c>
      <c r="S4">
        <v>4</v>
      </c>
      <c r="T4">
        <v>5</v>
      </c>
    </row>
    <row r="5" spans="1:21">
      <c r="B5" s="232" t="s">
        <v>139</v>
      </c>
      <c r="C5" s="209">
        <v>800</v>
      </c>
      <c r="D5" s="195">
        <f>+C5*9.35%</f>
        <v>74.8</v>
      </c>
      <c r="E5" s="216">
        <f>+C5*11.15%</f>
        <v>89.2</v>
      </c>
      <c r="F5" s="195">
        <f t="shared" ref="F5:K5" si="0">+D5*1.0883</f>
        <v>81.404840000000007</v>
      </c>
      <c r="G5" s="216">
        <f t="shared" si="0"/>
        <v>97.076360000000008</v>
      </c>
      <c r="H5" s="195">
        <f t="shared" si="0"/>
        <v>88.592887372000007</v>
      </c>
      <c r="I5" s="216">
        <f t="shared" si="0"/>
        <v>105.64820258800002</v>
      </c>
      <c r="J5" s="195">
        <f t="shared" si="0"/>
        <v>96.415639326947613</v>
      </c>
      <c r="K5" s="216">
        <f t="shared" si="0"/>
        <v>114.97693887652042</v>
      </c>
      <c r="L5" s="195">
        <f>J5*1.0883</f>
        <v>104.92914027951709</v>
      </c>
      <c r="M5" s="195">
        <f>+K5*1.0883</f>
        <v>125.12940257931717</v>
      </c>
      <c r="P5" s="370">
        <f>+C5</f>
        <v>800</v>
      </c>
      <c r="Q5" s="7">
        <f>+P5*(1.0883)</f>
        <v>870.64</v>
      </c>
      <c r="R5" s="7">
        <f t="shared" ref="R5:S5" si="1">+Q5*(1.0883)</f>
        <v>947.51751200000001</v>
      </c>
      <c r="S5" s="7">
        <f t="shared" si="1"/>
        <v>1031.1833083096001</v>
      </c>
      <c r="T5" s="7">
        <f>+S5*(1.0883)</f>
        <v>1122.2367944333378</v>
      </c>
      <c r="U5" s="7"/>
    </row>
    <row r="6" spans="1:21" s="7" customFormat="1">
      <c r="A6" s="30"/>
      <c r="B6" s="233" t="s">
        <v>139</v>
      </c>
      <c r="C6" s="210">
        <v>800</v>
      </c>
      <c r="D6" s="195">
        <f t="shared" ref="D6:D29" si="2">+C6*9.35%</f>
        <v>74.8</v>
      </c>
      <c r="E6" s="216">
        <f t="shared" ref="E6:E24" si="3">+C6*11.15%</f>
        <v>89.2</v>
      </c>
      <c r="F6" s="195">
        <f t="shared" ref="F6:F24" si="4">+D6*1.0883</f>
        <v>81.404840000000007</v>
      </c>
      <c r="G6" s="216">
        <f t="shared" ref="G6:G24" si="5">+E6*1.0883</f>
        <v>97.076360000000008</v>
      </c>
      <c r="H6" s="195">
        <f t="shared" ref="H6:H24" si="6">+F6*1.0883</f>
        <v>88.592887372000007</v>
      </c>
      <c r="I6" s="216">
        <f t="shared" ref="I6:I24" si="7">+G6*1.0883</f>
        <v>105.64820258800002</v>
      </c>
      <c r="J6" s="195">
        <f t="shared" ref="J6:J24" si="8">+H6*1.0883</f>
        <v>96.415639326947613</v>
      </c>
      <c r="K6" s="216">
        <f t="shared" ref="K6:K24" si="9">+I6*1.0883</f>
        <v>114.97693887652042</v>
      </c>
      <c r="L6" s="195">
        <f t="shared" ref="L6:L24" si="10">J6*1.0883</f>
        <v>104.92914027951709</v>
      </c>
      <c r="M6" s="195">
        <f t="shared" ref="M6:M24" si="11">+K6*1.0883</f>
        <v>125.12940257931717</v>
      </c>
      <c r="N6" s="30"/>
      <c r="O6" s="30"/>
      <c r="P6" s="249">
        <f>+P5*9.35%</f>
        <v>74.8</v>
      </c>
      <c r="Q6" s="249">
        <f t="shared" ref="Q6:T6" si="12">+Q5*9.35%</f>
        <v>81.404839999999993</v>
      </c>
      <c r="R6" s="249">
        <f t="shared" si="12"/>
        <v>88.592887372000007</v>
      </c>
      <c r="S6" s="249">
        <f t="shared" si="12"/>
        <v>96.415639326947613</v>
      </c>
      <c r="T6" s="249">
        <f t="shared" si="12"/>
        <v>104.92914027951709</v>
      </c>
    </row>
    <row r="7" spans="1:21">
      <c r="B7" s="233" t="s">
        <v>140</v>
      </c>
      <c r="C7" s="210">
        <v>400</v>
      </c>
      <c r="D7" s="195">
        <f t="shared" si="2"/>
        <v>37.4</v>
      </c>
      <c r="E7" s="216">
        <f t="shared" si="3"/>
        <v>44.6</v>
      </c>
      <c r="F7" s="195">
        <f t="shared" si="4"/>
        <v>40.702420000000004</v>
      </c>
      <c r="G7" s="216">
        <f t="shared" si="5"/>
        <v>48.538180000000004</v>
      </c>
      <c r="H7" s="195">
        <f t="shared" si="6"/>
        <v>44.296443686000003</v>
      </c>
      <c r="I7" s="216">
        <f t="shared" si="7"/>
        <v>52.824101294000009</v>
      </c>
      <c r="J7" s="195">
        <f t="shared" si="8"/>
        <v>48.207819663473806</v>
      </c>
      <c r="K7" s="216">
        <f t="shared" si="9"/>
        <v>57.488469438260211</v>
      </c>
      <c r="L7" s="195">
        <f t="shared" si="10"/>
        <v>52.464570139758543</v>
      </c>
      <c r="M7" s="195">
        <f t="shared" si="11"/>
        <v>62.564701289658586</v>
      </c>
      <c r="P7" s="249">
        <f>+P5*11.15%</f>
        <v>89.2</v>
      </c>
      <c r="Q7" s="249">
        <f t="shared" ref="Q7:T7" si="13">+Q5*11.15%</f>
        <v>97.076359999999994</v>
      </c>
      <c r="R7" s="249">
        <f t="shared" si="13"/>
        <v>105.648202588</v>
      </c>
      <c r="S7" s="249">
        <f t="shared" si="13"/>
        <v>114.97693887652041</v>
      </c>
      <c r="T7" s="249">
        <f t="shared" si="13"/>
        <v>125.12940257931716</v>
      </c>
    </row>
    <row r="8" spans="1:21" s="7" customFormat="1">
      <c r="A8" s="30"/>
      <c r="B8" s="233" t="s">
        <v>140</v>
      </c>
      <c r="C8" s="210">
        <v>400</v>
      </c>
      <c r="D8" s="195">
        <f t="shared" si="2"/>
        <v>37.4</v>
      </c>
      <c r="E8" s="216">
        <f t="shared" si="3"/>
        <v>44.6</v>
      </c>
      <c r="F8" s="195">
        <f t="shared" si="4"/>
        <v>40.702420000000004</v>
      </c>
      <c r="G8" s="216">
        <f t="shared" si="5"/>
        <v>48.538180000000004</v>
      </c>
      <c r="H8" s="195">
        <f t="shared" si="6"/>
        <v>44.296443686000003</v>
      </c>
      <c r="I8" s="216">
        <f t="shared" si="7"/>
        <v>52.824101294000009</v>
      </c>
      <c r="J8" s="195">
        <f t="shared" si="8"/>
        <v>48.207819663473806</v>
      </c>
      <c r="K8" s="216">
        <f t="shared" si="9"/>
        <v>57.488469438260211</v>
      </c>
      <c r="L8" s="195">
        <f t="shared" si="10"/>
        <v>52.464570139758543</v>
      </c>
      <c r="M8" s="195">
        <f t="shared" si="11"/>
        <v>62.564701289658586</v>
      </c>
      <c r="N8" s="30"/>
      <c r="O8" s="30"/>
    </row>
    <row r="9" spans="1:21">
      <c r="B9" s="233" t="s">
        <v>141</v>
      </c>
      <c r="C9" s="210">
        <v>600</v>
      </c>
      <c r="D9" s="195">
        <f t="shared" si="2"/>
        <v>56.1</v>
      </c>
      <c r="E9" s="216">
        <f t="shared" si="3"/>
        <v>66.900000000000006</v>
      </c>
      <c r="F9" s="195">
        <f t="shared" si="4"/>
        <v>61.053630000000005</v>
      </c>
      <c r="G9" s="216">
        <f t="shared" si="5"/>
        <v>72.807270000000003</v>
      </c>
      <c r="H9" s="195">
        <f t="shared" si="6"/>
        <v>66.444665529000005</v>
      </c>
      <c r="I9" s="216">
        <f t="shared" si="7"/>
        <v>79.236151941000003</v>
      </c>
      <c r="J9" s="195">
        <f t="shared" si="8"/>
        <v>72.311729495210713</v>
      </c>
      <c r="K9" s="216">
        <f t="shared" si="9"/>
        <v>86.232704157390302</v>
      </c>
      <c r="L9" s="195">
        <f t="shared" si="10"/>
        <v>78.696855209637818</v>
      </c>
      <c r="M9" s="195">
        <f t="shared" si="11"/>
        <v>93.847051934487865</v>
      </c>
    </row>
    <row r="10" spans="1:21" s="7" customFormat="1">
      <c r="A10" s="30"/>
      <c r="B10" s="233" t="s">
        <v>141</v>
      </c>
      <c r="C10" s="210">
        <v>600</v>
      </c>
      <c r="D10" s="195">
        <f t="shared" si="2"/>
        <v>56.1</v>
      </c>
      <c r="E10" s="216">
        <f t="shared" si="3"/>
        <v>66.900000000000006</v>
      </c>
      <c r="F10" s="195">
        <f t="shared" si="4"/>
        <v>61.053630000000005</v>
      </c>
      <c r="G10" s="216">
        <f t="shared" si="5"/>
        <v>72.807270000000003</v>
      </c>
      <c r="H10" s="195">
        <f t="shared" si="6"/>
        <v>66.444665529000005</v>
      </c>
      <c r="I10" s="216">
        <f t="shared" si="7"/>
        <v>79.236151941000003</v>
      </c>
      <c r="J10" s="195">
        <f t="shared" si="8"/>
        <v>72.311729495210713</v>
      </c>
      <c r="K10" s="216">
        <f t="shared" si="9"/>
        <v>86.232704157390302</v>
      </c>
      <c r="L10" s="195">
        <f t="shared" si="10"/>
        <v>78.696855209637818</v>
      </c>
      <c r="M10" s="195">
        <f t="shared" si="11"/>
        <v>93.847051934487865</v>
      </c>
      <c r="N10" s="30"/>
      <c r="O10" s="30"/>
    </row>
    <row r="11" spans="1:21">
      <c r="B11" s="233" t="s">
        <v>142</v>
      </c>
      <c r="C11" s="210">
        <v>500</v>
      </c>
      <c r="D11" s="195">
        <f t="shared" si="2"/>
        <v>46.75</v>
      </c>
      <c r="E11" s="216">
        <f t="shared" si="3"/>
        <v>55.75</v>
      </c>
      <c r="F11" s="195">
        <f t="shared" si="4"/>
        <v>50.878025000000001</v>
      </c>
      <c r="G11" s="216">
        <f t="shared" si="5"/>
        <v>60.672725</v>
      </c>
      <c r="H11" s="195">
        <f t="shared" si="6"/>
        <v>55.370554607500004</v>
      </c>
      <c r="I11" s="216">
        <f t="shared" si="7"/>
        <v>66.030126617500002</v>
      </c>
      <c r="J11" s="195">
        <f t="shared" si="8"/>
        <v>60.259774579342256</v>
      </c>
      <c r="K11" s="216">
        <f t="shared" si="9"/>
        <v>71.860586797825249</v>
      </c>
      <c r="L11" s="195">
        <f t="shared" si="10"/>
        <v>65.580712674698177</v>
      </c>
      <c r="M11" s="195">
        <f t="shared" si="11"/>
        <v>78.205876612073226</v>
      </c>
    </row>
    <row r="12" spans="1:21" s="7" customFormat="1">
      <c r="A12" s="30"/>
      <c r="B12" s="233" t="s">
        <v>142</v>
      </c>
      <c r="C12" s="210">
        <v>500</v>
      </c>
      <c r="D12" s="195">
        <f t="shared" si="2"/>
        <v>46.75</v>
      </c>
      <c r="E12" s="216">
        <f t="shared" si="3"/>
        <v>55.75</v>
      </c>
      <c r="F12" s="195">
        <f t="shared" si="4"/>
        <v>50.878025000000001</v>
      </c>
      <c r="G12" s="216">
        <f t="shared" si="5"/>
        <v>60.672725</v>
      </c>
      <c r="H12" s="195">
        <f t="shared" si="6"/>
        <v>55.370554607500004</v>
      </c>
      <c r="I12" s="216">
        <f t="shared" si="7"/>
        <v>66.030126617500002</v>
      </c>
      <c r="J12" s="195">
        <f t="shared" si="8"/>
        <v>60.259774579342256</v>
      </c>
      <c r="K12" s="216">
        <f t="shared" si="9"/>
        <v>71.860586797825249</v>
      </c>
      <c r="L12" s="195">
        <f t="shared" si="10"/>
        <v>65.580712674698177</v>
      </c>
      <c r="M12" s="195">
        <f t="shared" si="11"/>
        <v>78.205876612073226</v>
      </c>
      <c r="N12" s="30"/>
      <c r="O12" s="30"/>
    </row>
    <row r="13" spans="1:21">
      <c r="B13" s="233" t="s">
        <v>143</v>
      </c>
      <c r="C13" s="210">
        <v>300</v>
      </c>
      <c r="D13" s="195">
        <f t="shared" si="2"/>
        <v>28.05</v>
      </c>
      <c r="E13" s="216">
        <f t="shared" si="3"/>
        <v>33.450000000000003</v>
      </c>
      <c r="F13" s="195">
        <f t="shared" si="4"/>
        <v>30.526815000000003</v>
      </c>
      <c r="G13" s="216">
        <f t="shared" si="5"/>
        <v>36.403635000000001</v>
      </c>
      <c r="H13" s="195">
        <f t="shared" si="6"/>
        <v>33.222332764500003</v>
      </c>
      <c r="I13" s="216">
        <f t="shared" si="7"/>
        <v>39.618075970500001</v>
      </c>
      <c r="J13" s="195">
        <f t="shared" si="8"/>
        <v>36.155864747605357</v>
      </c>
      <c r="K13" s="216">
        <f t="shared" si="9"/>
        <v>43.116352078695151</v>
      </c>
      <c r="L13" s="195">
        <f t="shared" si="10"/>
        <v>39.348427604818909</v>
      </c>
      <c r="M13" s="195">
        <f t="shared" si="11"/>
        <v>46.923525967243933</v>
      </c>
    </row>
    <row r="14" spans="1:21" s="7" customFormat="1">
      <c r="A14" s="30"/>
      <c r="B14" s="233" t="s">
        <v>143</v>
      </c>
      <c r="C14" s="210">
        <v>300</v>
      </c>
      <c r="D14" s="195">
        <f t="shared" si="2"/>
        <v>28.05</v>
      </c>
      <c r="E14" s="216">
        <f t="shared" si="3"/>
        <v>33.450000000000003</v>
      </c>
      <c r="F14" s="195">
        <f t="shared" si="4"/>
        <v>30.526815000000003</v>
      </c>
      <c r="G14" s="216">
        <f t="shared" si="5"/>
        <v>36.403635000000001</v>
      </c>
      <c r="H14" s="195">
        <f t="shared" si="6"/>
        <v>33.222332764500003</v>
      </c>
      <c r="I14" s="216">
        <f t="shared" si="7"/>
        <v>39.618075970500001</v>
      </c>
      <c r="J14" s="195">
        <f t="shared" si="8"/>
        <v>36.155864747605357</v>
      </c>
      <c r="K14" s="216">
        <f t="shared" si="9"/>
        <v>43.116352078695151</v>
      </c>
      <c r="L14" s="195">
        <f t="shared" si="10"/>
        <v>39.348427604818909</v>
      </c>
      <c r="M14" s="195">
        <f t="shared" si="11"/>
        <v>46.923525967243933</v>
      </c>
      <c r="N14" s="30"/>
      <c r="O14" s="30"/>
    </row>
    <row r="15" spans="1:21" s="7" customFormat="1">
      <c r="A15" s="30"/>
      <c r="B15" s="233" t="s">
        <v>143</v>
      </c>
      <c r="C15" s="210">
        <v>300</v>
      </c>
      <c r="D15" s="195">
        <f t="shared" si="2"/>
        <v>28.05</v>
      </c>
      <c r="E15" s="216">
        <f t="shared" si="3"/>
        <v>33.450000000000003</v>
      </c>
      <c r="F15" s="195">
        <f t="shared" si="4"/>
        <v>30.526815000000003</v>
      </c>
      <c r="G15" s="216">
        <f t="shared" si="5"/>
        <v>36.403635000000001</v>
      </c>
      <c r="H15" s="195">
        <f t="shared" si="6"/>
        <v>33.222332764500003</v>
      </c>
      <c r="I15" s="216">
        <f t="shared" si="7"/>
        <v>39.618075970500001</v>
      </c>
      <c r="J15" s="195">
        <f t="shared" si="8"/>
        <v>36.155864747605357</v>
      </c>
      <c r="K15" s="216">
        <f t="shared" si="9"/>
        <v>43.116352078695151</v>
      </c>
      <c r="L15" s="195">
        <f t="shared" si="10"/>
        <v>39.348427604818909</v>
      </c>
      <c r="M15" s="195">
        <f t="shared" si="11"/>
        <v>46.923525967243933</v>
      </c>
      <c r="N15" s="30"/>
      <c r="O15" s="30"/>
    </row>
    <row r="16" spans="1:21" s="7" customFormat="1">
      <c r="A16" s="30"/>
      <c r="B16" s="233" t="s">
        <v>143</v>
      </c>
      <c r="C16" s="210">
        <v>300</v>
      </c>
      <c r="D16" s="195">
        <f t="shared" si="2"/>
        <v>28.05</v>
      </c>
      <c r="E16" s="216">
        <f t="shared" si="3"/>
        <v>33.450000000000003</v>
      </c>
      <c r="F16" s="195">
        <f t="shared" si="4"/>
        <v>30.526815000000003</v>
      </c>
      <c r="G16" s="216">
        <f t="shared" si="5"/>
        <v>36.403635000000001</v>
      </c>
      <c r="H16" s="195">
        <f t="shared" si="6"/>
        <v>33.222332764500003</v>
      </c>
      <c r="I16" s="216">
        <f t="shared" si="7"/>
        <v>39.618075970500001</v>
      </c>
      <c r="J16" s="195">
        <f t="shared" si="8"/>
        <v>36.155864747605357</v>
      </c>
      <c r="K16" s="216">
        <f t="shared" si="9"/>
        <v>43.116352078695151</v>
      </c>
      <c r="L16" s="195">
        <f t="shared" si="10"/>
        <v>39.348427604818909</v>
      </c>
      <c r="M16" s="195">
        <f t="shared" si="11"/>
        <v>46.923525967243933</v>
      </c>
      <c r="N16" s="30"/>
      <c r="O16" s="30"/>
    </row>
    <row r="17" spans="1:16">
      <c r="B17" s="233" t="s">
        <v>144</v>
      </c>
      <c r="C17" s="210">
        <v>300</v>
      </c>
      <c r="D17" s="195">
        <f t="shared" si="2"/>
        <v>28.05</v>
      </c>
      <c r="E17" s="216">
        <f t="shared" si="3"/>
        <v>33.450000000000003</v>
      </c>
      <c r="F17" s="195">
        <f t="shared" si="4"/>
        <v>30.526815000000003</v>
      </c>
      <c r="G17" s="216">
        <f t="shared" si="5"/>
        <v>36.403635000000001</v>
      </c>
      <c r="H17" s="195">
        <f t="shared" si="6"/>
        <v>33.222332764500003</v>
      </c>
      <c r="I17" s="216">
        <f t="shared" si="7"/>
        <v>39.618075970500001</v>
      </c>
      <c r="J17" s="195">
        <f t="shared" si="8"/>
        <v>36.155864747605357</v>
      </c>
      <c r="K17" s="216">
        <f t="shared" si="9"/>
        <v>43.116352078695151</v>
      </c>
      <c r="L17" s="195">
        <f t="shared" si="10"/>
        <v>39.348427604818909</v>
      </c>
      <c r="M17" s="195">
        <f t="shared" si="11"/>
        <v>46.923525967243933</v>
      </c>
    </row>
    <row r="18" spans="1:16" s="7" customFormat="1">
      <c r="A18" s="30"/>
      <c r="B18" s="233" t="s">
        <v>144</v>
      </c>
      <c r="C18" s="210">
        <v>300</v>
      </c>
      <c r="D18" s="195">
        <f t="shared" si="2"/>
        <v>28.05</v>
      </c>
      <c r="E18" s="216">
        <f t="shared" si="3"/>
        <v>33.450000000000003</v>
      </c>
      <c r="F18" s="195">
        <f t="shared" si="4"/>
        <v>30.526815000000003</v>
      </c>
      <c r="G18" s="216">
        <f t="shared" si="5"/>
        <v>36.403635000000001</v>
      </c>
      <c r="H18" s="195">
        <f t="shared" si="6"/>
        <v>33.222332764500003</v>
      </c>
      <c r="I18" s="216">
        <f t="shared" si="7"/>
        <v>39.618075970500001</v>
      </c>
      <c r="J18" s="195">
        <f t="shared" si="8"/>
        <v>36.155864747605357</v>
      </c>
      <c r="K18" s="216">
        <f t="shared" si="9"/>
        <v>43.116352078695151</v>
      </c>
      <c r="L18" s="195">
        <f t="shared" si="10"/>
        <v>39.348427604818909</v>
      </c>
      <c r="M18" s="195">
        <f t="shared" si="11"/>
        <v>46.923525967243933</v>
      </c>
      <c r="N18" s="30"/>
      <c r="O18" s="30"/>
    </row>
    <row r="19" spans="1:16" s="7" customFormat="1">
      <c r="A19" s="30"/>
      <c r="B19" s="233" t="s">
        <v>144</v>
      </c>
      <c r="C19" s="210">
        <v>300</v>
      </c>
      <c r="D19" s="195">
        <f t="shared" si="2"/>
        <v>28.05</v>
      </c>
      <c r="E19" s="216">
        <f t="shared" si="3"/>
        <v>33.450000000000003</v>
      </c>
      <c r="F19" s="195">
        <f t="shared" si="4"/>
        <v>30.526815000000003</v>
      </c>
      <c r="G19" s="216">
        <f t="shared" si="5"/>
        <v>36.403635000000001</v>
      </c>
      <c r="H19" s="195">
        <f t="shared" si="6"/>
        <v>33.222332764500003</v>
      </c>
      <c r="I19" s="216">
        <f t="shared" si="7"/>
        <v>39.618075970500001</v>
      </c>
      <c r="J19" s="195">
        <f t="shared" si="8"/>
        <v>36.155864747605357</v>
      </c>
      <c r="K19" s="216">
        <f t="shared" si="9"/>
        <v>43.116352078695151</v>
      </c>
      <c r="L19" s="195">
        <f t="shared" si="10"/>
        <v>39.348427604818909</v>
      </c>
      <c r="M19" s="195">
        <f t="shared" si="11"/>
        <v>46.923525967243933</v>
      </c>
      <c r="N19" s="30"/>
      <c r="O19" s="30"/>
    </row>
    <row r="20" spans="1:16" s="7" customFormat="1">
      <c r="A20" s="30"/>
      <c r="B20" s="233" t="s">
        <v>144</v>
      </c>
      <c r="C20" s="210">
        <v>300</v>
      </c>
      <c r="D20" s="195">
        <f t="shared" si="2"/>
        <v>28.05</v>
      </c>
      <c r="E20" s="216">
        <f t="shared" si="3"/>
        <v>33.450000000000003</v>
      </c>
      <c r="F20" s="195">
        <f t="shared" si="4"/>
        <v>30.526815000000003</v>
      </c>
      <c r="G20" s="216">
        <f t="shared" si="5"/>
        <v>36.403635000000001</v>
      </c>
      <c r="H20" s="195">
        <f t="shared" si="6"/>
        <v>33.222332764500003</v>
      </c>
      <c r="I20" s="216">
        <f t="shared" si="7"/>
        <v>39.618075970500001</v>
      </c>
      <c r="J20" s="195">
        <f t="shared" si="8"/>
        <v>36.155864747605357</v>
      </c>
      <c r="K20" s="216">
        <f t="shared" si="9"/>
        <v>43.116352078695151</v>
      </c>
      <c r="L20" s="195">
        <f t="shared" si="10"/>
        <v>39.348427604818909</v>
      </c>
      <c r="M20" s="195">
        <f t="shared" si="11"/>
        <v>46.923525967243933</v>
      </c>
      <c r="N20" s="30"/>
      <c r="O20" s="30"/>
    </row>
    <row r="21" spans="1:16">
      <c r="B21" s="233" t="s">
        <v>145</v>
      </c>
      <c r="C21" s="210">
        <v>280</v>
      </c>
      <c r="D21" s="195">
        <f t="shared" si="2"/>
        <v>26.18</v>
      </c>
      <c r="E21" s="216">
        <f t="shared" si="3"/>
        <v>31.22</v>
      </c>
      <c r="F21" s="195">
        <f t="shared" si="4"/>
        <v>28.491694000000003</v>
      </c>
      <c r="G21" s="216">
        <f t="shared" si="5"/>
        <v>33.976725999999999</v>
      </c>
      <c r="H21" s="195">
        <f t="shared" si="6"/>
        <v>31.007510580200005</v>
      </c>
      <c r="I21" s="216">
        <f t="shared" si="7"/>
        <v>36.976870905799998</v>
      </c>
      <c r="J21" s="195">
        <f t="shared" si="8"/>
        <v>33.745473764431665</v>
      </c>
      <c r="K21" s="216">
        <f t="shared" si="9"/>
        <v>40.241928606782139</v>
      </c>
      <c r="L21" s="195">
        <f t="shared" si="10"/>
        <v>36.725199097830981</v>
      </c>
      <c r="M21" s="195">
        <f t="shared" si="11"/>
        <v>43.795290902761003</v>
      </c>
    </row>
    <row r="22" spans="1:16" s="7" customFormat="1">
      <c r="A22" s="30"/>
      <c r="B22" s="233" t="s">
        <v>145</v>
      </c>
      <c r="C22" s="210">
        <v>280</v>
      </c>
      <c r="D22" s="195">
        <f t="shared" si="2"/>
        <v>26.18</v>
      </c>
      <c r="E22" s="216">
        <f t="shared" si="3"/>
        <v>31.22</v>
      </c>
      <c r="F22" s="195">
        <f t="shared" si="4"/>
        <v>28.491694000000003</v>
      </c>
      <c r="G22" s="216">
        <f t="shared" si="5"/>
        <v>33.976725999999999</v>
      </c>
      <c r="H22" s="195">
        <f t="shared" si="6"/>
        <v>31.007510580200005</v>
      </c>
      <c r="I22" s="216">
        <f t="shared" si="7"/>
        <v>36.976870905799998</v>
      </c>
      <c r="J22" s="195">
        <f t="shared" si="8"/>
        <v>33.745473764431665</v>
      </c>
      <c r="K22" s="216">
        <f t="shared" si="9"/>
        <v>40.241928606782139</v>
      </c>
      <c r="L22" s="195">
        <f t="shared" si="10"/>
        <v>36.725199097830981</v>
      </c>
      <c r="M22" s="195">
        <f t="shared" si="11"/>
        <v>43.795290902761003</v>
      </c>
      <c r="N22" s="30"/>
      <c r="O22" s="30"/>
    </row>
    <row r="23" spans="1:16">
      <c r="B23" s="233" t="s">
        <v>146</v>
      </c>
      <c r="C23" s="210">
        <v>240</v>
      </c>
      <c r="D23" s="195">
        <f t="shared" si="2"/>
        <v>22.44</v>
      </c>
      <c r="E23" s="216">
        <f t="shared" si="3"/>
        <v>26.76</v>
      </c>
      <c r="F23" s="195">
        <f t="shared" si="4"/>
        <v>24.421452000000002</v>
      </c>
      <c r="G23" s="216">
        <f t="shared" si="5"/>
        <v>29.122908000000002</v>
      </c>
      <c r="H23" s="195">
        <f t="shared" si="6"/>
        <v>26.577866211600004</v>
      </c>
      <c r="I23" s="216">
        <f t="shared" si="7"/>
        <v>31.694460776400003</v>
      </c>
      <c r="J23" s="195">
        <f t="shared" si="8"/>
        <v>28.924691798084286</v>
      </c>
      <c r="K23" s="216">
        <f t="shared" si="9"/>
        <v>34.493081662956122</v>
      </c>
      <c r="L23" s="195">
        <f t="shared" si="10"/>
        <v>31.478742083855131</v>
      </c>
      <c r="M23" s="195">
        <f t="shared" si="11"/>
        <v>37.538820773795152</v>
      </c>
    </row>
    <row r="24" spans="1:16" s="7" customFormat="1">
      <c r="A24" s="30"/>
      <c r="B24" s="233" t="s">
        <v>146</v>
      </c>
      <c r="C24" s="210">
        <v>240</v>
      </c>
      <c r="D24" s="195">
        <f t="shared" si="2"/>
        <v>22.44</v>
      </c>
      <c r="E24" s="216">
        <f t="shared" si="3"/>
        <v>26.76</v>
      </c>
      <c r="F24" s="195">
        <f t="shared" si="4"/>
        <v>24.421452000000002</v>
      </c>
      <c r="G24" s="216">
        <f t="shared" si="5"/>
        <v>29.122908000000002</v>
      </c>
      <c r="H24" s="195">
        <f t="shared" si="6"/>
        <v>26.577866211600004</v>
      </c>
      <c r="I24" s="216">
        <f t="shared" si="7"/>
        <v>31.694460776400003</v>
      </c>
      <c r="J24" s="195">
        <f t="shared" si="8"/>
        <v>28.924691798084286</v>
      </c>
      <c r="K24" s="216">
        <f t="shared" si="9"/>
        <v>34.493081662956122</v>
      </c>
      <c r="L24" s="195">
        <f t="shared" si="10"/>
        <v>31.478742083855131</v>
      </c>
      <c r="M24" s="195">
        <f t="shared" si="11"/>
        <v>37.538820773795152</v>
      </c>
      <c r="N24" s="30"/>
      <c r="O24" s="30"/>
    </row>
    <row r="25" spans="1:16" s="7" customFormat="1">
      <c r="A25" s="30"/>
      <c r="B25" s="233" t="s">
        <v>146</v>
      </c>
      <c r="C25" s="210">
        <v>240</v>
      </c>
      <c r="D25" s="195">
        <f t="shared" si="2"/>
        <v>22.44</v>
      </c>
      <c r="E25" s="216">
        <f t="shared" ref="E25:E29" si="14">+C25*11.15%</f>
        <v>26.76</v>
      </c>
      <c r="F25" s="195">
        <f t="shared" ref="F25:F29" si="15">+D25*1.0883</f>
        <v>24.421452000000002</v>
      </c>
      <c r="G25" s="216">
        <f t="shared" ref="G25:G29" si="16">+E25*1.0883</f>
        <v>29.122908000000002</v>
      </c>
      <c r="H25" s="195">
        <f t="shared" ref="H25:H29" si="17">+F25*1.0883</f>
        <v>26.577866211600004</v>
      </c>
      <c r="I25" s="216">
        <f t="shared" ref="I25:I29" si="18">+G25*1.0883</f>
        <v>31.694460776400003</v>
      </c>
      <c r="J25" s="195">
        <f t="shared" ref="J25:J29" si="19">+H25*1.0883</f>
        <v>28.924691798084286</v>
      </c>
      <c r="K25" s="216">
        <f t="shared" ref="K25:K29" si="20">+I25*1.0883</f>
        <v>34.493081662956122</v>
      </c>
      <c r="L25" s="195">
        <f t="shared" ref="L25:L29" si="21">J25*1.0883</f>
        <v>31.478742083855131</v>
      </c>
      <c r="M25" s="195">
        <f t="shared" ref="M25:M29" si="22">+K25*1.0883</f>
        <v>37.538820773795152</v>
      </c>
      <c r="N25" s="30"/>
      <c r="O25" s="30"/>
    </row>
    <row r="26" spans="1:16" s="7" customFormat="1">
      <c r="A26" s="30"/>
      <c r="B26" s="233" t="s">
        <v>146</v>
      </c>
      <c r="C26" s="210">
        <v>240</v>
      </c>
      <c r="D26" s="195">
        <f t="shared" si="2"/>
        <v>22.44</v>
      </c>
      <c r="E26" s="216">
        <f t="shared" si="14"/>
        <v>26.76</v>
      </c>
      <c r="F26" s="195">
        <f t="shared" si="15"/>
        <v>24.421452000000002</v>
      </c>
      <c r="G26" s="216">
        <f t="shared" si="16"/>
        <v>29.122908000000002</v>
      </c>
      <c r="H26" s="195">
        <f t="shared" si="17"/>
        <v>26.577866211600004</v>
      </c>
      <c r="I26" s="216">
        <f t="shared" si="18"/>
        <v>31.694460776400003</v>
      </c>
      <c r="J26" s="195">
        <f t="shared" si="19"/>
        <v>28.924691798084286</v>
      </c>
      <c r="K26" s="216">
        <f t="shared" si="20"/>
        <v>34.493081662956122</v>
      </c>
      <c r="L26" s="195">
        <f t="shared" si="21"/>
        <v>31.478742083855131</v>
      </c>
      <c r="M26" s="195">
        <f t="shared" si="22"/>
        <v>37.538820773795152</v>
      </c>
      <c r="N26" s="30"/>
      <c r="O26" s="30"/>
    </row>
    <row r="27" spans="1:16" s="7" customFormat="1">
      <c r="A27" s="30"/>
      <c r="B27" s="233" t="s">
        <v>146</v>
      </c>
      <c r="C27" s="210">
        <v>240</v>
      </c>
      <c r="D27" s="195">
        <f t="shared" si="2"/>
        <v>22.44</v>
      </c>
      <c r="E27" s="216">
        <f t="shared" si="14"/>
        <v>26.76</v>
      </c>
      <c r="F27" s="195">
        <f t="shared" si="15"/>
        <v>24.421452000000002</v>
      </c>
      <c r="G27" s="216">
        <f t="shared" si="16"/>
        <v>29.122908000000002</v>
      </c>
      <c r="H27" s="195">
        <f t="shared" si="17"/>
        <v>26.577866211600004</v>
      </c>
      <c r="I27" s="216">
        <f t="shared" si="18"/>
        <v>31.694460776400003</v>
      </c>
      <c r="J27" s="195">
        <f t="shared" si="19"/>
        <v>28.924691798084286</v>
      </c>
      <c r="K27" s="216">
        <f t="shared" si="20"/>
        <v>34.493081662956122</v>
      </c>
      <c r="L27" s="195">
        <f t="shared" si="21"/>
        <v>31.478742083855131</v>
      </c>
      <c r="M27" s="195">
        <f t="shared" si="22"/>
        <v>37.538820773795152</v>
      </c>
      <c r="N27" s="30"/>
      <c r="O27" s="30"/>
    </row>
    <row r="28" spans="1:16" s="7" customFormat="1">
      <c r="A28" s="30"/>
      <c r="B28" s="233" t="s">
        <v>146</v>
      </c>
      <c r="C28" s="210">
        <v>240</v>
      </c>
      <c r="D28" s="195">
        <f t="shared" si="2"/>
        <v>22.44</v>
      </c>
      <c r="E28" s="216">
        <f t="shared" si="14"/>
        <v>26.76</v>
      </c>
      <c r="F28" s="195">
        <f t="shared" si="15"/>
        <v>24.421452000000002</v>
      </c>
      <c r="G28" s="216">
        <f t="shared" si="16"/>
        <v>29.122908000000002</v>
      </c>
      <c r="H28" s="195">
        <f t="shared" si="17"/>
        <v>26.577866211600004</v>
      </c>
      <c r="I28" s="216">
        <f t="shared" si="18"/>
        <v>31.694460776400003</v>
      </c>
      <c r="J28" s="195">
        <f t="shared" si="19"/>
        <v>28.924691798084286</v>
      </c>
      <c r="K28" s="216">
        <f t="shared" si="20"/>
        <v>34.493081662956122</v>
      </c>
      <c r="L28" s="195">
        <f t="shared" si="21"/>
        <v>31.478742083855131</v>
      </c>
      <c r="M28" s="195">
        <f t="shared" si="22"/>
        <v>37.538820773795152</v>
      </c>
      <c r="N28" s="30"/>
      <c r="O28" s="30"/>
    </row>
    <row r="29" spans="1:16" s="7" customFormat="1" ht="15.75" thickBot="1">
      <c r="A29" s="30"/>
      <c r="B29" s="234" t="s">
        <v>146</v>
      </c>
      <c r="C29" s="192">
        <v>240</v>
      </c>
      <c r="D29" s="195">
        <f t="shared" si="2"/>
        <v>22.44</v>
      </c>
      <c r="E29" s="216">
        <f t="shared" si="14"/>
        <v>26.76</v>
      </c>
      <c r="F29" s="195">
        <f t="shared" si="15"/>
        <v>24.421452000000002</v>
      </c>
      <c r="G29" s="216">
        <f t="shared" si="16"/>
        <v>29.122908000000002</v>
      </c>
      <c r="H29" s="195">
        <f t="shared" si="17"/>
        <v>26.577866211600004</v>
      </c>
      <c r="I29" s="216">
        <f t="shared" si="18"/>
        <v>31.694460776400003</v>
      </c>
      <c r="J29" s="195">
        <f t="shared" si="19"/>
        <v>28.924691798084286</v>
      </c>
      <c r="K29" s="216">
        <f t="shared" si="20"/>
        <v>34.493081662956122</v>
      </c>
      <c r="L29" s="195">
        <f t="shared" si="21"/>
        <v>31.478742083855131</v>
      </c>
      <c r="M29" s="195">
        <f t="shared" si="22"/>
        <v>37.538820773795152</v>
      </c>
      <c r="N29" s="30"/>
      <c r="O29" s="30"/>
    </row>
    <row r="30" spans="1:16" ht="15.75" thickBot="1">
      <c r="B30" s="41"/>
      <c r="C30" s="41"/>
      <c r="D30" s="235">
        <f t="shared" ref="D30:M30" si="23">SUM(D5:D29)</f>
        <v>863.94</v>
      </c>
      <c r="E30" s="236">
        <f t="shared" si="23"/>
        <v>1030.2600000000004</v>
      </c>
      <c r="F30" s="235">
        <f t="shared" si="23"/>
        <v>940.22590200000081</v>
      </c>
      <c r="G30" s="236">
        <f t="shared" si="23"/>
        <v>1121.2319580000003</v>
      </c>
      <c r="H30" s="235">
        <f t="shared" si="23"/>
        <v>1023.2478491466007</v>
      </c>
      <c r="I30" s="236">
        <f t="shared" si="23"/>
        <v>1220.2367398914012</v>
      </c>
      <c r="J30" s="235">
        <f t="shared" si="23"/>
        <v>1113.6006342262451</v>
      </c>
      <c r="K30" s="236">
        <f t="shared" si="23"/>
        <v>1327.9836440238114</v>
      </c>
      <c r="L30" s="235">
        <f t="shared" si="23"/>
        <v>1211.9315702284225</v>
      </c>
      <c r="M30" s="235">
        <f t="shared" si="23"/>
        <v>1445.2445997911129</v>
      </c>
    </row>
    <row r="31" spans="1:16" s="30" customFormat="1" ht="16.5" thickBot="1">
      <c r="D31" s="545">
        <f>SUM(D30:E30)</f>
        <v>1894.2000000000005</v>
      </c>
      <c r="E31" s="546"/>
      <c r="F31" s="545">
        <f t="shared" ref="F31" si="24">SUM(F30:G30)</f>
        <v>2061.4578600000013</v>
      </c>
      <c r="G31" s="546"/>
      <c r="H31" s="545">
        <f t="shared" ref="H31" si="25">SUM(H30:I30)</f>
        <v>2243.484589038002</v>
      </c>
      <c r="I31" s="546"/>
      <c r="J31" s="545">
        <f t="shared" ref="J31" si="26">SUM(J30:K30)</f>
        <v>2441.5842782500567</v>
      </c>
      <c r="K31" s="546"/>
      <c r="L31" s="547">
        <f>SUM(L30:M30)</f>
        <v>2657.1761700195357</v>
      </c>
      <c r="M31" s="546"/>
      <c r="P31" s="347"/>
    </row>
    <row r="32" spans="1:16" s="30" customFormat="1" ht="16.5" thickBot="1">
      <c r="D32" s="545">
        <f>+D31*12</f>
        <v>22730.400000000005</v>
      </c>
      <c r="E32" s="546"/>
      <c r="F32" s="545">
        <f>+F31*12</f>
        <v>24737.494320000016</v>
      </c>
      <c r="G32" s="546"/>
      <c r="H32" s="545">
        <f t="shared" ref="H32" si="27">+H31*12</f>
        <v>26921.815068456024</v>
      </c>
      <c r="I32" s="546"/>
      <c r="J32" s="545">
        <f t="shared" ref="J32" si="28">+J31*12</f>
        <v>29299.011339000681</v>
      </c>
      <c r="K32" s="546"/>
      <c r="L32" s="545">
        <f>+L31*12</f>
        <v>31886.114040234428</v>
      </c>
      <c r="M32" s="546"/>
    </row>
    <row r="33" spans="5:5" s="30" customFormat="1"/>
    <row r="34" spans="5:5" s="30" customFormat="1"/>
    <row r="35" spans="5:5" s="30" customFormat="1"/>
    <row r="42" spans="5:5">
      <c r="E42" s="7" t="s">
        <v>313</v>
      </c>
    </row>
    <row r="56" spans="3:4">
      <c r="C56" s="13" t="s">
        <v>139</v>
      </c>
      <c r="D56" s="14">
        <v>2</v>
      </c>
    </row>
    <row r="57" spans="3:4">
      <c r="C57" s="13" t="s">
        <v>140</v>
      </c>
      <c r="D57" s="14">
        <v>2</v>
      </c>
    </row>
    <row r="58" spans="3:4">
      <c r="C58" s="13" t="s">
        <v>141</v>
      </c>
      <c r="D58" s="14">
        <v>2</v>
      </c>
    </row>
    <row r="59" spans="3:4">
      <c r="C59" s="13" t="s">
        <v>142</v>
      </c>
      <c r="D59" s="14">
        <v>2</v>
      </c>
    </row>
    <row r="60" spans="3:4">
      <c r="C60" s="13" t="s">
        <v>143</v>
      </c>
      <c r="D60" s="14">
        <v>4</v>
      </c>
    </row>
    <row r="61" spans="3:4">
      <c r="C61" s="13" t="s">
        <v>144</v>
      </c>
      <c r="D61" s="14">
        <v>4</v>
      </c>
    </row>
    <row r="62" spans="3:4">
      <c r="C62" s="13" t="s">
        <v>145</v>
      </c>
      <c r="D62" s="14">
        <v>2</v>
      </c>
    </row>
    <row r="63" spans="3:4">
      <c r="C63" s="13" t="s">
        <v>146</v>
      </c>
      <c r="D63" s="14">
        <v>8</v>
      </c>
    </row>
  </sheetData>
  <mergeCells count="27">
    <mergeCell ref="D32:E32"/>
    <mergeCell ref="F32:G32"/>
    <mergeCell ref="H32:I32"/>
    <mergeCell ref="J32:K32"/>
    <mergeCell ref="L32:M32"/>
    <mergeCell ref="G3:G4"/>
    <mergeCell ref="F3:F4"/>
    <mergeCell ref="F2:G2"/>
    <mergeCell ref="L2:M2"/>
    <mergeCell ref="L3:L4"/>
    <mergeCell ref="M3:M4"/>
    <mergeCell ref="K3:K4"/>
    <mergeCell ref="J3:J4"/>
    <mergeCell ref="J2:K2"/>
    <mergeCell ref="H2:I2"/>
    <mergeCell ref="H3:H4"/>
    <mergeCell ref="I3:I4"/>
    <mergeCell ref="B3:B4"/>
    <mergeCell ref="C3:C4"/>
    <mergeCell ref="D3:D4"/>
    <mergeCell ref="E3:E4"/>
    <mergeCell ref="D2:E2"/>
    <mergeCell ref="D31:E31"/>
    <mergeCell ref="F31:G31"/>
    <mergeCell ref="H31:I31"/>
    <mergeCell ref="J31:K31"/>
    <mergeCell ref="L31:M31"/>
  </mergeCells>
  <pageMargins left="0.7" right="0.7" top="0.75" bottom="0.75" header="0.3" footer="0.3"/>
  <pageSetup paperSize="9" orientation="portrait" verticalDpi="0" r:id="rId1"/>
  <ignoredErrors>
    <ignoredError sqref="L5 L6:L26 L27:L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>
      <selection activeCell="G33" sqref="G33"/>
    </sheetView>
  </sheetViews>
  <sheetFormatPr baseColWidth="10" defaultRowHeight="15"/>
  <cols>
    <col min="1" max="1" width="11.42578125" style="7"/>
    <col min="2" max="2" width="22.42578125" customWidth="1"/>
    <col min="3" max="3" width="13.140625" bestFit="1" customWidth="1"/>
    <col min="4" max="4" width="21.7109375" style="30" customWidth="1"/>
    <col min="5" max="7" width="11.5703125" bestFit="1" customWidth="1"/>
    <col min="8" max="8" width="12.5703125" bestFit="1" customWidth="1"/>
    <col min="9" max="9" width="17.85546875" customWidth="1"/>
    <col min="10" max="10" width="11.5703125" style="30" bestFit="1" customWidth="1"/>
    <col min="11" max="11" width="11.5703125" bestFit="1" customWidth="1"/>
    <col min="12" max="12" width="12.140625" bestFit="1" customWidth="1"/>
  </cols>
  <sheetData>
    <row r="1" spans="1:12" s="30" customFormat="1"/>
    <row r="2" spans="1:12" s="30" customFormat="1" ht="15.75" thickBot="1">
      <c r="D2" s="41"/>
      <c r="E2" s="41"/>
      <c r="F2" s="41"/>
      <c r="G2" s="41"/>
      <c r="H2" s="41"/>
      <c r="I2" s="41"/>
      <c r="J2" s="41"/>
    </row>
    <row r="3" spans="1:12" ht="19.5" thickBot="1">
      <c r="A3" s="30"/>
      <c r="B3" s="404" t="s">
        <v>218</v>
      </c>
      <c r="C3" s="405"/>
      <c r="D3" s="41"/>
      <c r="E3" s="274" t="s">
        <v>223</v>
      </c>
      <c r="F3" s="275" t="s">
        <v>222</v>
      </c>
      <c r="G3" s="274" t="s">
        <v>227</v>
      </c>
      <c r="H3" s="275" t="s">
        <v>228</v>
      </c>
      <c r="I3" s="274" t="s">
        <v>204</v>
      </c>
      <c r="J3" s="41"/>
    </row>
    <row r="4" spans="1:12">
      <c r="A4" s="30"/>
      <c r="B4" s="406"/>
      <c r="C4" s="407"/>
      <c r="D4" s="41"/>
      <c r="E4" s="276">
        <v>0</v>
      </c>
      <c r="F4" s="277"/>
      <c r="G4" s="276"/>
      <c r="H4" s="277"/>
      <c r="I4" s="278">
        <f>C7</f>
        <v>18663.599999999999</v>
      </c>
      <c r="J4" s="41"/>
    </row>
    <row r="5" spans="1:12" ht="15.75">
      <c r="A5" s="30"/>
      <c r="B5" s="408" t="s">
        <v>219</v>
      </c>
      <c r="C5" s="409">
        <f>+Hoja2!C9</f>
        <v>31106</v>
      </c>
      <c r="D5" s="41"/>
      <c r="E5" s="279">
        <v>1</v>
      </c>
      <c r="F5" s="280">
        <f>$C$8</f>
        <v>2810.5053720342917</v>
      </c>
      <c r="G5" s="281">
        <f>I4*$C$11</f>
        <v>1536.2445774749481</v>
      </c>
      <c r="H5" s="280">
        <f>F5-G5</f>
        <v>1274.2607945593436</v>
      </c>
      <c r="I5" s="282">
        <f>I4-H5</f>
        <v>17389.339205440654</v>
      </c>
      <c r="J5" s="41"/>
      <c r="K5" s="39"/>
    </row>
    <row r="6" spans="1:12" ht="15.75">
      <c r="A6" s="30"/>
      <c r="B6" s="410" t="s">
        <v>220</v>
      </c>
      <c r="C6" s="411">
        <f>C5*40%</f>
        <v>12442.400000000001</v>
      </c>
      <c r="D6" s="41"/>
      <c r="E6" s="279">
        <v>2</v>
      </c>
      <c r="F6" s="280">
        <f t="shared" ref="F6:F14" si="0">$C$8</f>
        <v>2810.5053720342917</v>
      </c>
      <c r="G6" s="281">
        <f>I5*$C$11</f>
        <v>1431.3571904793678</v>
      </c>
      <c r="H6" s="280">
        <f t="shared" ref="H6:H14" si="1">F6-G6</f>
        <v>1379.1481815549239</v>
      </c>
      <c r="I6" s="282">
        <f>I5-H6</f>
        <v>16010.191023885731</v>
      </c>
      <c r="J6" s="41"/>
    </row>
    <row r="7" spans="1:12" ht="15.75">
      <c r="A7" s="30"/>
      <c r="B7" s="408" t="s">
        <v>221</v>
      </c>
      <c r="C7" s="409">
        <f>C5*60%</f>
        <v>18663.599999999999</v>
      </c>
      <c r="D7" s="41"/>
      <c r="E7" s="279">
        <v>3</v>
      </c>
      <c r="F7" s="280">
        <f t="shared" si="0"/>
        <v>2810.5053720342917</v>
      </c>
      <c r="G7" s="281">
        <f t="shared" ref="G7:G14" si="2">I6*$C$11</f>
        <v>1317.8362772874762</v>
      </c>
      <c r="H7" s="280">
        <f t="shared" si="1"/>
        <v>1492.6690947468155</v>
      </c>
      <c r="I7" s="282">
        <f t="shared" ref="I7:I14" si="3">I6-H7</f>
        <v>14517.521929138915</v>
      </c>
      <c r="J7" s="41"/>
    </row>
    <row r="8" spans="1:12" ht="15.75">
      <c r="A8" s="30"/>
      <c r="B8" s="410" t="s">
        <v>222</v>
      </c>
      <c r="C8" s="411">
        <f>PMT(C11,C9,-C7)</f>
        <v>2810.5053720342917</v>
      </c>
      <c r="D8" s="41"/>
      <c r="E8" s="279">
        <v>4</v>
      </c>
      <c r="F8" s="280">
        <f t="shared" si="0"/>
        <v>2810.5053720342917</v>
      </c>
      <c r="G8" s="281">
        <f t="shared" si="2"/>
        <v>1194.9711921608534</v>
      </c>
      <c r="H8" s="280">
        <f t="shared" si="1"/>
        <v>1615.5341798734382</v>
      </c>
      <c r="I8" s="282">
        <f t="shared" si="3"/>
        <v>12901.987749265476</v>
      </c>
      <c r="J8" s="41"/>
    </row>
    <row r="9" spans="1:12" ht="15.75">
      <c r="A9" s="30"/>
      <c r="B9" s="408" t="s">
        <v>223</v>
      </c>
      <c r="C9" s="412">
        <v>10</v>
      </c>
      <c r="D9" s="41"/>
      <c r="E9" s="279">
        <v>5</v>
      </c>
      <c r="F9" s="280">
        <f t="shared" si="0"/>
        <v>2810.5053720342917</v>
      </c>
      <c r="G9" s="281">
        <f t="shared" si="2"/>
        <v>1061.9927944478718</v>
      </c>
      <c r="H9" s="280">
        <f t="shared" si="1"/>
        <v>1748.5125775864199</v>
      </c>
      <c r="I9" s="282">
        <f t="shared" si="3"/>
        <v>11153.475171679056</v>
      </c>
      <c r="J9" s="41"/>
    </row>
    <row r="10" spans="1:12" ht="15.75">
      <c r="A10" s="30"/>
      <c r="B10" s="410" t="s">
        <v>224</v>
      </c>
      <c r="C10" s="413">
        <v>0.1714</v>
      </c>
      <c r="D10" s="41"/>
      <c r="E10" s="279">
        <v>6</v>
      </c>
      <c r="F10" s="280">
        <f t="shared" si="0"/>
        <v>2810.5053720342917</v>
      </c>
      <c r="G10" s="281">
        <f t="shared" si="2"/>
        <v>918.06863373054591</v>
      </c>
      <c r="H10" s="280">
        <f t="shared" si="1"/>
        <v>1892.4367383037456</v>
      </c>
      <c r="I10" s="282">
        <f t="shared" si="3"/>
        <v>9261.03843337531</v>
      </c>
      <c r="J10" s="41"/>
      <c r="L10" s="249">
        <f>+C6/3</f>
        <v>4147.4666666666672</v>
      </c>
    </row>
    <row r="11" spans="1:12" ht="16.5" thickBot="1">
      <c r="A11" s="30"/>
      <c r="B11" s="414" t="s">
        <v>225</v>
      </c>
      <c r="C11" s="415">
        <f>(1+C10)^(1/2)-1</f>
        <v>8.2312339391915179E-2</v>
      </c>
      <c r="D11" s="41"/>
      <c r="E11" s="279">
        <v>7</v>
      </c>
      <c r="F11" s="280">
        <f t="shared" si="0"/>
        <v>2810.5053720342917</v>
      </c>
      <c r="G11" s="281">
        <f t="shared" si="2"/>
        <v>762.29773864955894</v>
      </c>
      <c r="H11" s="280">
        <f t="shared" si="1"/>
        <v>2048.2076333847326</v>
      </c>
      <c r="I11" s="282">
        <f t="shared" si="3"/>
        <v>7212.8307999905774</v>
      </c>
      <c r="J11" s="41"/>
    </row>
    <row r="12" spans="1:12" ht="15.75">
      <c r="A12" s="30"/>
      <c r="B12" s="400"/>
      <c r="C12" s="401"/>
      <c r="D12" s="41"/>
      <c r="E12" s="279">
        <v>8</v>
      </c>
      <c r="F12" s="280">
        <f t="shared" si="0"/>
        <v>2810.5053720342917</v>
      </c>
      <c r="G12" s="281">
        <f t="shared" si="2"/>
        <v>593.70497678528352</v>
      </c>
      <c r="H12" s="280">
        <f t="shared" si="1"/>
        <v>2216.800395249008</v>
      </c>
      <c r="I12" s="282">
        <f t="shared" si="3"/>
        <v>4996.0304047415693</v>
      </c>
      <c r="J12" s="41"/>
    </row>
    <row r="13" spans="1:12" ht="15.75">
      <c r="A13" s="30"/>
      <c r="B13" s="402" t="s">
        <v>226</v>
      </c>
      <c r="C13" s="403">
        <f>C8*2</f>
        <v>5621.0107440685833</v>
      </c>
      <c r="D13" s="41"/>
      <c r="E13" s="279">
        <v>9</v>
      </c>
      <c r="F13" s="280">
        <f t="shared" si="0"/>
        <v>2810.5053720342917</v>
      </c>
      <c r="G13" s="281">
        <f t="shared" si="2"/>
        <v>411.23495028741542</v>
      </c>
      <c r="H13" s="280">
        <f t="shared" si="1"/>
        <v>2399.2704217468763</v>
      </c>
      <c r="I13" s="282">
        <f t="shared" si="3"/>
        <v>2596.759982994693</v>
      </c>
      <c r="J13" s="41"/>
    </row>
    <row r="14" spans="1:12" ht="15.75" thickBot="1">
      <c r="A14" s="30"/>
      <c r="D14" s="41"/>
      <c r="E14" s="283">
        <v>10</v>
      </c>
      <c r="F14" s="284">
        <f t="shared" si="0"/>
        <v>2810.5053720342917</v>
      </c>
      <c r="G14" s="285">
        <f t="shared" si="2"/>
        <v>213.74538903960305</v>
      </c>
      <c r="H14" s="284">
        <f t="shared" si="1"/>
        <v>2596.7599829946885</v>
      </c>
      <c r="I14" s="286">
        <f t="shared" si="3"/>
        <v>4.5474735088646412E-12</v>
      </c>
      <c r="J14" s="41"/>
    </row>
    <row r="15" spans="1:12" s="7" customFormat="1">
      <c r="A15" s="30"/>
      <c r="B15" s="308"/>
      <c r="C15" s="309"/>
      <c r="D15" s="41"/>
      <c r="E15" s="287"/>
      <c r="F15" s="288"/>
      <c r="G15" s="289"/>
      <c r="H15" s="288"/>
      <c r="I15" s="288"/>
      <c r="J15" s="41"/>
    </row>
    <row r="16" spans="1:12" ht="15.75" thickBot="1">
      <c r="A16" s="30"/>
      <c r="B16" s="30"/>
      <c r="C16" s="30"/>
      <c r="D16" s="41"/>
      <c r="E16" s="287"/>
      <c r="F16" s="288"/>
      <c r="G16" s="289"/>
      <c r="H16" s="288"/>
      <c r="I16" s="288"/>
      <c r="J16" s="41"/>
    </row>
    <row r="17" spans="3:11" ht="15.75" thickBot="1">
      <c r="C17" s="30"/>
      <c r="D17" s="41"/>
      <c r="E17" s="162">
        <v>1</v>
      </c>
      <c r="F17" s="296">
        <v>2</v>
      </c>
      <c r="G17" s="146">
        <v>3</v>
      </c>
      <c r="H17" s="149">
        <v>4</v>
      </c>
      <c r="I17" s="297">
        <v>5</v>
      </c>
      <c r="J17" s="41"/>
    </row>
    <row r="18" spans="3:11">
      <c r="C18" s="30"/>
      <c r="D18" s="293" t="s">
        <v>229</v>
      </c>
      <c r="E18" s="298">
        <f>H5+H6</f>
        <v>2653.4089761142677</v>
      </c>
      <c r="F18" s="299">
        <f>H7+H8</f>
        <v>3108.203274620254</v>
      </c>
      <c r="G18" s="300">
        <f>H9+H10</f>
        <v>3640.9493158901655</v>
      </c>
      <c r="H18" s="299">
        <f>H11+H12</f>
        <v>4265.0080286337407</v>
      </c>
      <c r="I18" s="305">
        <f>H13+H14</f>
        <v>4996.0304047415648</v>
      </c>
      <c r="J18" s="41"/>
    </row>
    <row r="19" spans="3:11">
      <c r="C19" s="30"/>
      <c r="D19" s="294" t="s">
        <v>230</v>
      </c>
      <c r="E19" s="301">
        <f>G5+G6</f>
        <v>2967.6017679543156</v>
      </c>
      <c r="F19" s="302">
        <f>G7+G8</f>
        <v>2512.8074694483294</v>
      </c>
      <c r="G19" s="301">
        <f>G9+G10</f>
        <v>1980.0614281784178</v>
      </c>
      <c r="H19" s="302">
        <f>G11+G12</f>
        <v>1356.0027154348425</v>
      </c>
      <c r="I19" s="306">
        <f>G13+G14</f>
        <v>624.98033932701844</v>
      </c>
      <c r="J19" s="310"/>
    </row>
    <row r="20" spans="3:11" ht="15.75" thickBot="1">
      <c r="C20" s="30"/>
      <c r="D20" s="295" t="s">
        <v>231</v>
      </c>
      <c r="E20" s="303">
        <f>E19+E18</f>
        <v>5621.0107440685833</v>
      </c>
      <c r="F20" s="304">
        <f t="shared" ref="F20:H20" si="4">F19+F18</f>
        <v>5621.0107440685833</v>
      </c>
      <c r="G20" s="303">
        <f t="shared" si="4"/>
        <v>5621.0107440685833</v>
      </c>
      <c r="H20" s="304">
        <f t="shared" si="4"/>
        <v>5621.0107440685833</v>
      </c>
      <c r="I20" s="307">
        <f>I19+I18</f>
        <v>5621.0107440685833</v>
      </c>
      <c r="J20" s="41"/>
    </row>
    <row r="21" spans="3:11">
      <c r="C21" s="30"/>
      <c r="D21" s="41"/>
      <c r="E21" s="287"/>
      <c r="F21" s="288"/>
      <c r="G21" s="289"/>
      <c r="H21" s="288"/>
      <c r="I21" s="288"/>
      <c r="J21" s="41"/>
      <c r="K21" s="30"/>
    </row>
    <row r="22" spans="3:11">
      <c r="C22" s="30"/>
      <c r="D22" s="41"/>
      <c r="E22" s="287"/>
      <c r="F22" s="288"/>
      <c r="G22" s="289"/>
      <c r="H22" s="288"/>
      <c r="I22" s="288"/>
      <c r="J22" s="41"/>
      <c r="K22" s="30"/>
    </row>
    <row r="23" spans="3:11">
      <c r="D23" s="41"/>
      <c r="E23" s="287"/>
      <c r="F23" s="288"/>
      <c r="G23" s="289"/>
      <c r="H23" s="288"/>
      <c r="I23" s="288"/>
      <c r="J23" s="41"/>
      <c r="K23" s="30"/>
    </row>
    <row r="24" spans="3:11">
      <c r="D24" s="41"/>
      <c r="E24" s="287"/>
      <c r="F24" s="288"/>
      <c r="G24" s="289"/>
      <c r="H24" s="288"/>
      <c r="I24" s="288"/>
      <c r="J24" s="41"/>
      <c r="K24" s="30"/>
    </row>
    <row r="25" spans="3:11">
      <c r="D25" s="41"/>
      <c r="E25" s="290"/>
      <c r="F25" s="291"/>
      <c r="G25" s="292">
        <f>SUM(G5:G6)</f>
        <v>2967.6017679543156</v>
      </c>
      <c r="H25" s="291">
        <f>SUM(H5:H6)</f>
        <v>2653.4089761142677</v>
      </c>
      <c r="I25" s="291"/>
      <c r="J25" s="41"/>
    </row>
    <row r="26" spans="3:11">
      <c r="D26" s="41"/>
      <c r="E26" s="1"/>
      <c r="F26" s="1"/>
      <c r="G26" s="1">
        <f>+G25/12</f>
        <v>247.30014732952631</v>
      </c>
      <c r="H26" s="1">
        <f>+H25/12</f>
        <v>221.11741467618899</v>
      </c>
      <c r="I26" s="1"/>
      <c r="J26" s="4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workbookViewId="0">
      <selection activeCell="C34" sqref="C34"/>
    </sheetView>
  </sheetViews>
  <sheetFormatPr baseColWidth="10" defaultRowHeight="15"/>
  <cols>
    <col min="1" max="1" width="11.42578125" style="30"/>
    <col min="2" max="2" width="3.28515625" style="30" customWidth="1"/>
    <col min="3" max="3" width="20.140625" bestFit="1" customWidth="1"/>
    <col min="4" max="8" width="14.85546875" bestFit="1" customWidth="1"/>
    <col min="9" max="15" width="13.140625" bestFit="1" customWidth="1"/>
    <col min="16" max="16" width="2.42578125" style="30" customWidth="1"/>
    <col min="17" max="17" width="11.42578125" style="30"/>
  </cols>
  <sheetData>
    <row r="1" spans="3:15" s="30" customFormat="1" ht="15.75" thickBot="1"/>
    <row r="2" spans="3:15" ht="19.5" customHeight="1" thickBot="1">
      <c r="C2" s="142" t="s">
        <v>116</v>
      </c>
      <c r="D2" s="146" t="s">
        <v>111</v>
      </c>
      <c r="E2" s="149" t="s">
        <v>112</v>
      </c>
      <c r="F2" s="146" t="s">
        <v>113</v>
      </c>
      <c r="G2" s="149" t="s">
        <v>114</v>
      </c>
      <c r="H2" s="153" t="s">
        <v>115</v>
      </c>
      <c r="I2" s="41"/>
      <c r="J2" s="41"/>
      <c r="K2" s="22"/>
      <c r="L2" s="1"/>
      <c r="M2" s="1">
        <f>(8.83/100)+1</f>
        <v>1.0883</v>
      </c>
      <c r="N2" s="1"/>
    </row>
    <row r="3" spans="3:15">
      <c r="C3" s="143" t="s">
        <v>129</v>
      </c>
      <c r="D3" s="147">
        <v>0.8</v>
      </c>
      <c r="E3" s="150">
        <f>+D3*1.1</f>
        <v>0.88000000000000012</v>
      </c>
      <c r="F3" s="150">
        <f t="shared" ref="F3:H3" si="0">+E3*1.1</f>
        <v>0.96800000000000019</v>
      </c>
      <c r="G3" s="150">
        <f t="shared" si="0"/>
        <v>1.0648000000000002</v>
      </c>
      <c r="H3" s="150">
        <f t="shared" si="0"/>
        <v>1.1712800000000003</v>
      </c>
      <c r="I3" s="41"/>
      <c r="J3" s="41"/>
      <c r="K3" s="1"/>
      <c r="L3" s="1"/>
      <c r="M3" s="1"/>
      <c r="N3" s="1"/>
    </row>
    <row r="4" spans="3:15">
      <c r="C4" s="144" t="s">
        <v>130</v>
      </c>
      <c r="D4" s="148">
        <v>2</v>
      </c>
      <c r="E4" s="151">
        <f>+D4*1.1</f>
        <v>2.2000000000000002</v>
      </c>
      <c r="F4" s="151">
        <f t="shared" ref="F4:H4" si="1">+E4*1.1</f>
        <v>2.4200000000000004</v>
      </c>
      <c r="G4" s="151">
        <f t="shared" si="1"/>
        <v>2.6620000000000008</v>
      </c>
      <c r="H4" s="151">
        <f t="shared" si="1"/>
        <v>2.9282000000000012</v>
      </c>
      <c r="I4" s="41"/>
      <c r="J4" s="41"/>
      <c r="K4" s="1"/>
      <c r="L4" s="1"/>
      <c r="M4" s="1"/>
      <c r="N4" s="1"/>
    </row>
    <row r="5" spans="3:15" ht="15.75" thickBot="1">
      <c r="C5" s="145" t="s">
        <v>131</v>
      </c>
      <c r="D5" s="154">
        <v>1</v>
      </c>
      <c r="E5" s="152">
        <f>+D5*1.1</f>
        <v>1.1000000000000001</v>
      </c>
      <c r="F5" s="152">
        <f t="shared" ref="F5:H5" si="2">+E5*1.1</f>
        <v>1.2100000000000002</v>
      </c>
      <c r="G5" s="152">
        <f t="shared" si="2"/>
        <v>1.3310000000000004</v>
      </c>
      <c r="H5" s="152">
        <f t="shared" si="2"/>
        <v>1.4641000000000006</v>
      </c>
      <c r="I5" s="41"/>
      <c r="J5" s="41"/>
      <c r="K5" s="1"/>
      <c r="L5" s="1"/>
      <c r="M5" s="1"/>
      <c r="N5" s="1"/>
    </row>
    <row r="6" spans="3:15" s="30" customFormat="1">
      <c r="C6" s="41"/>
      <c r="D6" s="369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5" s="30" customFormat="1" ht="15.75" thickBot="1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3:15" ht="15.75" thickBot="1">
      <c r="C8" s="30"/>
      <c r="D8" s="149" t="s">
        <v>117</v>
      </c>
      <c r="E8" s="162" t="s">
        <v>118</v>
      </c>
      <c r="F8" s="149" t="s">
        <v>119</v>
      </c>
      <c r="G8" s="146" t="s">
        <v>120</v>
      </c>
      <c r="H8" s="149" t="s">
        <v>121</v>
      </c>
      <c r="I8" s="146" t="s">
        <v>122</v>
      </c>
      <c r="J8" s="149" t="s">
        <v>123</v>
      </c>
      <c r="K8" s="146" t="s">
        <v>124</v>
      </c>
      <c r="L8" s="149" t="s">
        <v>125</v>
      </c>
      <c r="M8" s="146" t="s">
        <v>126</v>
      </c>
      <c r="N8" s="149" t="s">
        <v>127</v>
      </c>
      <c r="O8" s="153" t="s">
        <v>128</v>
      </c>
    </row>
    <row r="9" spans="3:15">
      <c r="C9" s="169" t="s">
        <v>129</v>
      </c>
      <c r="D9" s="156">
        <f>+Hoja1!$Y$5*Ingresos!$D$3</f>
        <v>5880</v>
      </c>
      <c r="E9" s="159">
        <f>+Hoja1!$Y$5*Ingresos!$D$3</f>
        <v>5880</v>
      </c>
      <c r="F9" s="160">
        <f>+Hoja1!$Y$5*Ingresos!$D$3</f>
        <v>5880</v>
      </c>
      <c r="G9" s="159">
        <f>+Hoja1!$Y$5*Ingresos!$D$3</f>
        <v>5880</v>
      </c>
      <c r="H9" s="160">
        <f>+Hoja1!$Y$5*Ingresos!$D$3</f>
        <v>5880</v>
      </c>
      <c r="I9" s="159">
        <f>+Hoja1!$Y$5*Ingresos!$D$3</f>
        <v>5880</v>
      </c>
      <c r="J9" s="160">
        <f>+Hoja1!$Y$5*Ingresos!$D$3</f>
        <v>5880</v>
      </c>
      <c r="K9" s="159">
        <f>+Hoja1!$Y$5*Ingresos!$D$3</f>
        <v>5880</v>
      </c>
      <c r="L9" s="160">
        <f>+Hoja1!$Y$5*Ingresos!$D$3</f>
        <v>5880</v>
      </c>
      <c r="M9" s="159">
        <f>+Hoja1!$Y$5*Ingresos!$D$3</f>
        <v>5880</v>
      </c>
      <c r="N9" s="160">
        <f>+Hoja1!$Y$5*Ingresos!$D$3</f>
        <v>5880</v>
      </c>
      <c r="O9" s="161">
        <f>+Hoja1!$Y$5*Ingresos!$D$3</f>
        <v>5880</v>
      </c>
    </row>
    <row r="10" spans="3:15">
      <c r="C10" s="144" t="s">
        <v>130</v>
      </c>
      <c r="D10" s="157">
        <f>+Hoja1!$Y$6*Ingresos!$D$4</f>
        <v>22050</v>
      </c>
      <c r="E10" s="158">
        <f>+Hoja1!$Y$6*Ingresos!$D$4</f>
        <v>22050</v>
      </c>
      <c r="F10" s="157">
        <f>+Hoja1!$Y$6*Ingresos!$D$4</f>
        <v>22050</v>
      </c>
      <c r="G10" s="158">
        <f>+Hoja1!$Y$6*Ingresos!$D$4</f>
        <v>22050</v>
      </c>
      <c r="H10" s="157">
        <f>+Hoja1!$Y$6*Ingresos!$D$4</f>
        <v>22050</v>
      </c>
      <c r="I10" s="158">
        <f>+Hoja1!$Y$6*Ingresos!$D$4</f>
        <v>22050</v>
      </c>
      <c r="J10" s="157">
        <f>+Hoja1!$Y$6*Ingresos!$D$4</f>
        <v>22050</v>
      </c>
      <c r="K10" s="158">
        <f>+Hoja1!$Y$6*Ingresos!$D$4</f>
        <v>22050</v>
      </c>
      <c r="L10" s="157">
        <f>+Hoja1!$Y$6*Ingresos!$D$4</f>
        <v>22050</v>
      </c>
      <c r="M10" s="158">
        <f>+Hoja1!$Y$6*Ingresos!$D$4</f>
        <v>22050</v>
      </c>
      <c r="N10" s="157">
        <f>+Hoja1!$Y$6*Ingresos!$D$4</f>
        <v>22050</v>
      </c>
      <c r="O10" s="155">
        <f>+Hoja1!$Y$6*Ingresos!$D$4</f>
        <v>22050</v>
      </c>
    </row>
    <row r="11" spans="3:15" ht="15.75" thickBot="1">
      <c r="C11" s="170" t="s">
        <v>131</v>
      </c>
      <c r="D11" s="163">
        <f>+Hoja1!$Y$7*Ingresos!$D$5</f>
        <v>11025</v>
      </c>
      <c r="E11" s="164">
        <f>+Hoja1!$Y$7*Ingresos!$D$5</f>
        <v>11025</v>
      </c>
      <c r="F11" s="163">
        <f>+Hoja1!$Y$7*Ingresos!$D$5</f>
        <v>11025</v>
      </c>
      <c r="G11" s="164">
        <f>+Hoja1!$Y$7*Ingresos!$D$5</f>
        <v>11025</v>
      </c>
      <c r="H11" s="163">
        <f>+Hoja1!$Y$7*Ingresos!$D$5</f>
        <v>11025</v>
      </c>
      <c r="I11" s="164">
        <f>+Hoja1!$Y$7*Ingresos!$D$5</f>
        <v>11025</v>
      </c>
      <c r="J11" s="163">
        <f>+Hoja1!$Y$7*Ingresos!$D$5</f>
        <v>11025</v>
      </c>
      <c r="K11" s="164">
        <f>+Hoja1!$Y$7*Ingresos!$D$5</f>
        <v>11025</v>
      </c>
      <c r="L11" s="163">
        <f>+Hoja1!$Y$7*Ingresos!$D$5</f>
        <v>11025</v>
      </c>
      <c r="M11" s="164">
        <f>+Hoja1!$Y$7*Ingresos!$D$5</f>
        <v>11025</v>
      </c>
      <c r="N11" s="163">
        <f>+Hoja1!$Y$7*Ingresos!$D$5</f>
        <v>11025</v>
      </c>
      <c r="O11" s="165">
        <f>+Hoja1!$Y$7*Ingresos!$D$5</f>
        <v>11025</v>
      </c>
    </row>
    <row r="12" spans="3:15" ht="15.75" thickBot="1">
      <c r="C12" s="171" t="s">
        <v>132</v>
      </c>
      <c r="D12" s="166">
        <f>SUM(D9:D11)</f>
        <v>38955</v>
      </c>
      <c r="E12" s="167">
        <f t="shared" ref="E12:O12" si="3">SUM(E9:E11)</f>
        <v>38955</v>
      </c>
      <c r="F12" s="166">
        <f t="shared" si="3"/>
        <v>38955</v>
      </c>
      <c r="G12" s="167">
        <f t="shared" si="3"/>
        <v>38955</v>
      </c>
      <c r="H12" s="166">
        <f t="shared" si="3"/>
        <v>38955</v>
      </c>
      <c r="I12" s="167">
        <f t="shared" si="3"/>
        <v>38955</v>
      </c>
      <c r="J12" s="166">
        <f t="shared" si="3"/>
        <v>38955</v>
      </c>
      <c r="K12" s="167">
        <f t="shared" si="3"/>
        <v>38955</v>
      </c>
      <c r="L12" s="166">
        <f t="shared" si="3"/>
        <v>38955</v>
      </c>
      <c r="M12" s="167">
        <f t="shared" si="3"/>
        <v>38955</v>
      </c>
      <c r="N12" s="166">
        <f t="shared" si="3"/>
        <v>38955</v>
      </c>
      <c r="O12" s="168">
        <f t="shared" si="3"/>
        <v>38955</v>
      </c>
    </row>
    <row r="13" spans="3:15" s="30" customFormat="1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3:15" s="30" customFormat="1" ht="15.75" thickBot="1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3:15" ht="19.5" customHeight="1" thickBot="1">
      <c r="C15" s="41"/>
      <c r="D15" s="149" t="s">
        <v>111</v>
      </c>
      <c r="E15" s="146" t="s">
        <v>112</v>
      </c>
      <c r="F15" s="149" t="s">
        <v>113</v>
      </c>
      <c r="G15" s="146" t="s">
        <v>114</v>
      </c>
      <c r="H15" s="149" t="s">
        <v>115</v>
      </c>
      <c r="I15" s="41"/>
      <c r="J15" s="41"/>
      <c r="K15" s="41"/>
      <c r="L15" s="1"/>
      <c r="M15" s="1"/>
      <c r="N15" s="1"/>
    </row>
    <row r="16" spans="3:15">
      <c r="C16" s="169" t="s">
        <v>129</v>
      </c>
      <c r="D16" s="160">
        <f>+Hoja1!$Z$5*Ingresos!D3</f>
        <v>70560</v>
      </c>
      <c r="E16" s="159">
        <f>+Hoja1!$Z$5*Ingresos!E3</f>
        <v>77616.000000000015</v>
      </c>
      <c r="F16" s="160">
        <f>+Hoja1!$Z$5*Ingresos!F3</f>
        <v>85377.60000000002</v>
      </c>
      <c r="G16" s="159">
        <f>+Hoja1!$Z$5*Ingresos!G3</f>
        <v>93915.360000000015</v>
      </c>
      <c r="H16" s="160">
        <f>+Hoja1!$Z$5*Ingresos!H3</f>
        <v>103306.89600000002</v>
      </c>
      <c r="I16" s="36"/>
      <c r="J16" s="41"/>
      <c r="K16" s="41"/>
      <c r="L16" s="1"/>
      <c r="M16" s="1"/>
      <c r="N16" s="1"/>
    </row>
    <row r="17" spans="3:14">
      <c r="C17" s="144" t="s">
        <v>130</v>
      </c>
      <c r="D17" s="157">
        <f>Hoja1!$Z$6*Ingresos!D4</f>
        <v>264600</v>
      </c>
      <c r="E17" s="158">
        <f>Hoja1!$Z$6*Ingresos!E4</f>
        <v>291060</v>
      </c>
      <c r="F17" s="157">
        <f>Hoja1!$Z$6*Ingresos!F4</f>
        <v>320166.00000000006</v>
      </c>
      <c r="G17" s="158">
        <f>Hoja1!$Z$6*Ingresos!G4</f>
        <v>352182.60000000009</v>
      </c>
      <c r="H17" s="157">
        <f>Hoja1!$Z$6*Ingresos!H4</f>
        <v>387400.86000000016</v>
      </c>
      <c r="I17" s="36"/>
      <c r="J17" s="41"/>
      <c r="K17" s="41"/>
      <c r="L17" s="1"/>
      <c r="M17" s="1"/>
      <c r="N17" s="1"/>
    </row>
    <row r="18" spans="3:14" ht="15.75" thickBot="1">
      <c r="C18" s="170" t="s">
        <v>131</v>
      </c>
      <c r="D18" s="163">
        <f>+Hoja1!$Z$7*Ingresos!D5</f>
        <v>132300</v>
      </c>
      <c r="E18" s="164">
        <f>+Hoja1!$Z$7*Ingresos!E5</f>
        <v>145530</v>
      </c>
      <c r="F18" s="163">
        <f>+Hoja1!$Z$7*Ingresos!F5</f>
        <v>160083.00000000003</v>
      </c>
      <c r="G18" s="164">
        <f>+Hoja1!$Z$7*Ingresos!G5</f>
        <v>176091.30000000005</v>
      </c>
      <c r="H18" s="163">
        <f>+Hoja1!$Z$7*Ingresos!H5</f>
        <v>193700.43000000008</v>
      </c>
      <c r="I18" s="36"/>
      <c r="J18" s="41"/>
      <c r="K18" s="41"/>
      <c r="L18" s="1"/>
      <c r="M18" s="1"/>
      <c r="N18" s="1"/>
    </row>
    <row r="19" spans="3:14" ht="15.75" thickBot="1">
      <c r="C19" s="171" t="s">
        <v>132</v>
      </c>
      <c r="D19" s="166">
        <f>SUM(D16:D18)</f>
        <v>467460</v>
      </c>
      <c r="E19" s="167">
        <f t="shared" ref="E19:H19" si="4">SUM(E16:E18)</f>
        <v>514206</v>
      </c>
      <c r="F19" s="166">
        <f t="shared" si="4"/>
        <v>565626.60000000009</v>
      </c>
      <c r="G19" s="167">
        <f t="shared" si="4"/>
        <v>622189.26000000013</v>
      </c>
      <c r="H19" s="166">
        <f t="shared" si="4"/>
        <v>684408.18600000022</v>
      </c>
      <c r="I19" s="36"/>
      <c r="J19" s="41"/>
      <c r="K19" s="41"/>
      <c r="L19" s="1"/>
      <c r="M19" s="1"/>
      <c r="N19" s="1"/>
    </row>
    <row r="20" spans="3:14" s="30" customForma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3:14" s="30" customForma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3:14" s="30" customForma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topLeftCell="B6" zoomScale="75" zoomScaleNormal="75" workbookViewId="0">
      <pane ySplit="8265" topLeftCell="A30"/>
      <selection activeCell="K41" sqref="K41"/>
      <selection pane="bottomLeft" activeCell="E48" sqref="E48"/>
    </sheetView>
  </sheetViews>
  <sheetFormatPr baseColWidth="10" defaultRowHeight="15"/>
  <cols>
    <col min="1" max="1" width="11.42578125" style="30"/>
    <col min="2" max="2" width="3.42578125" style="30" customWidth="1"/>
    <col min="3" max="3" width="41" style="7" customWidth="1"/>
    <col min="4" max="4" width="3" style="7" hidden="1" customWidth="1"/>
    <col min="5" max="5" width="12.5703125" style="7" bestFit="1" customWidth="1"/>
    <col min="6" max="7" width="12" style="7" bestFit="1" customWidth="1"/>
    <col min="8" max="8" width="14.28515625" style="7" customWidth="1"/>
    <col min="9" max="17" width="12" style="7" bestFit="1" customWidth="1"/>
    <col min="18" max="19" width="1.85546875" style="30" customWidth="1"/>
    <col min="20" max="16384" width="11.42578125" style="7"/>
  </cols>
  <sheetData>
    <row r="1" spans="3:17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7">
      <c r="C2" s="26" t="s">
        <v>191</v>
      </c>
      <c r="D2" s="21">
        <v>8.8300000000000003E-2</v>
      </c>
      <c r="E2" s="27"/>
      <c r="G2" s="19"/>
      <c r="H2" s="19"/>
      <c r="I2" s="19"/>
    </row>
    <row r="3" spans="3:17">
      <c r="C3" s="26" t="s">
        <v>192</v>
      </c>
      <c r="D3" s="20">
        <v>0.25</v>
      </c>
      <c r="E3" s="27"/>
      <c r="G3" s="19"/>
      <c r="H3" s="19"/>
      <c r="I3" s="19"/>
    </row>
    <row r="4" spans="3:17">
      <c r="C4" s="344"/>
      <c r="D4" s="345"/>
      <c r="E4" s="344"/>
      <c r="G4" s="19"/>
      <c r="H4" s="19"/>
      <c r="I4" s="19"/>
    </row>
    <row r="5" spans="3:17" s="30" customFormat="1">
      <c r="C5" s="28"/>
      <c r="D5" s="346"/>
      <c r="E5" s="28"/>
      <c r="G5" s="343"/>
      <c r="H5" s="343"/>
      <c r="I5" s="343"/>
    </row>
    <row r="6" spans="3:17" s="30" customFormat="1" ht="15.75" thickBot="1">
      <c r="C6" s="341"/>
      <c r="D6" s="341"/>
      <c r="E6" s="341"/>
      <c r="F6" s="342">
        <v>0.05</v>
      </c>
      <c r="G6" s="343"/>
      <c r="H6" s="343"/>
      <c r="I6" s="343"/>
    </row>
    <row r="7" spans="3:17" ht="16.5" thickBot="1">
      <c r="C7" s="564" t="s">
        <v>306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3"/>
    </row>
    <row r="8" spans="3:17" ht="15.75" thickBot="1">
      <c r="C8" s="565"/>
      <c r="D8" s="566"/>
      <c r="E8" s="316">
        <v>0</v>
      </c>
      <c r="F8" s="357" t="s">
        <v>117</v>
      </c>
      <c r="G8" s="356" t="s">
        <v>118</v>
      </c>
      <c r="H8" s="355" t="s">
        <v>119</v>
      </c>
      <c r="I8" s="356" t="s">
        <v>120</v>
      </c>
      <c r="J8" s="355" t="s">
        <v>121</v>
      </c>
      <c r="K8" s="356" t="s">
        <v>122</v>
      </c>
      <c r="L8" s="355" t="s">
        <v>123</v>
      </c>
      <c r="M8" s="356" t="s">
        <v>124</v>
      </c>
      <c r="N8" s="355" t="s">
        <v>125</v>
      </c>
      <c r="O8" s="356" t="s">
        <v>126</v>
      </c>
      <c r="P8" s="355" t="s">
        <v>127</v>
      </c>
      <c r="Q8" s="357" t="s">
        <v>128</v>
      </c>
    </row>
    <row r="9" spans="3:17">
      <c r="C9" s="562" t="s">
        <v>182</v>
      </c>
      <c r="D9" s="563"/>
      <c r="E9" s="329"/>
      <c r="F9" s="388">
        <f>+Ingresos!D12</f>
        <v>38955</v>
      </c>
      <c r="G9" s="351">
        <f>+Ingresos!E12</f>
        <v>38955</v>
      </c>
      <c r="H9" s="388">
        <f>+Ingresos!F12</f>
        <v>38955</v>
      </c>
      <c r="I9" s="351">
        <f>+Ingresos!G12</f>
        <v>38955</v>
      </c>
      <c r="J9" s="388">
        <f>+Ingresos!H12</f>
        <v>38955</v>
      </c>
      <c r="K9" s="351">
        <f>+Ingresos!I12</f>
        <v>38955</v>
      </c>
      <c r="L9" s="388">
        <f>+Ingresos!J12</f>
        <v>38955</v>
      </c>
      <c r="M9" s="351">
        <f>+Ingresos!K12</f>
        <v>38955</v>
      </c>
      <c r="N9" s="388">
        <f>+Ingresos!L12</f>
        <v>38955</v>
      </c>
      <c r="O9" s="351">
        <f>+Ingresos!M12</f>
        <v>38955</v>
      </c>
      <c r="P9" s="388">
        <f>+Ingresos!N12</f>
        <v>38955</v>
      </c>
      <c r="Q9" s="351">
        <f>+Ingresos!O12</f>
        <v>38955</v>
      </c>
    </row>
    <row r="10" spans="3:17">
      <c r="C10" s="562"/>
      <c r="D10" s="563"/>
      <c r="E10" s="330"/>
      <c r="F10" s="31"/>
      <c r="G10" s="317"/>
      <c r="H10" s="31"/>
      <c r="I10" s="317"/>
      <c r="J10" s="31"/>
      <c r="K10" s="324"/>
      <c r="L10" s="122"/>
      <c r="M10" s="353"/>
      <c r="N10" s="122"/>
      <c r="O10" s="353"/>
      <c r="P10" s="122"/>
      <c r="Q10" s="353"/>
    </row>
    <row r="11" spans="3:17">
      <c r="C11" s="562" t="s">
        <v>249</v>
      </c>
      <c r="D11" s="563"/>
      <c r="E11" s="330"/>
      <c r="F11" s="32">
        <f>+Hoja1!$N$84</f>
        <v>25016.775000000001</v>
      </c>
      <c r="G11" s="318">
        <f>+Hoja1!$N$84</f>
        <v>25016.775000000001</v>
      </c>
      <c r="H11" s="32">
        <f>+Hoja1!$N$84</f>
        <v>25016.775000000001</v>
      </c>
      <c r="I11" s="318">
        <f>+Hoja1!$N$84</f>
        <v>25016.775000000001</v>
      </c>
      <c r="J11" s="32">
        <f>+Hoja1!$N$84</f>
        <v>25016.775000000001</v>
      </c>
      <c r="K11" s="318">
        <f>+Hoja1!$N$84</f>
        <v>25016.775000000001</v>
      </c>
      <c r="L11" s="32">
        <f>+Hoja1!$N$84</f>
        <v>25016.775000000001</v>
      </c>
      <c r="M11" s="318">
        <f>+Hoja1!$N$84</f>
        <v>25016.775000000001</v>
      </c>
      <c r="N11" s="32">
        <f>+Hoja1!$N$84</f>
        <v>25016.775000000001</v>
      </c>
      <c r="O11" s="318">
        <f>+Hoja1!$N$84</f>
        <v>25016.775000000001</v>
      </c>
      <c r="P11" s="32">
        <f>+Hoja1!$N$84</f>
        <v>25016.775000000001</v>
      </c>
      <c r="Q11" s="318">
        <f>+Hoja1!$N$84</f>
        <v>25016.775000000001</v>
      </c>
    </row>
    <row r="12" spans="3:17">
      <c r="C12" s="562"/>
      <c r="D12" s="563"/>
      <c r="E12" s="330"/>
      <c r="F12" s="31"/>
      <c r="G12" s="317"/>
      <c r="H12" s="31"/>
      <c r="I12" s="317"/>
      <c r="J12" s="31"/>
      <c r="K12" s="324"/>
      <c r="L12" s="122"/>
      <c r="M12" s="353"/>
      <c r="N12" s="122"/>
      <c r="O12" s="353"/>
      <c r="P12" s="122"/>
      <c r="Q12" s="353"/>
    </row>
    <row r="13" spans="3:17">
      <c r="C13" s="562" t="s">
        <v>183</v>
      </c>
      <c r="D13" s="563"/>
      <c r="E13" s="330"/>
      <c r="F13" s="33">
        <f>SUM(F14:F23)</f>
        <v>13096.784666666668</v>
      </c>
      <c r="G13" s="319">
        <f>SUM(G14:G23)</f>
        <v>13096.784666666668</v>
      </c>
      <c r="H13" s="33">
        <f t="shared" ref="H13:Q13" si="0">SUM(H14:H23)</f>
        <v>13096.784666666668</v>
      </c>
      <c r="I13" s="319">
        <f t="shared" si="0"/>
        <v>13096.784666666668</v>
      </c>
      <c r="J13" s="33">
        <f t="shared" si="0"/>
        <v>13096.784666666668</v>
      </c>
      <c r="K13" s="319">
        <f t="shared" si="0"/>
        <v>13096.784666666668</v>
      </c>
      <c r="L13" s="33">
        <f t="shared" si="0"/>
        <v>13096.784666666668</v>
      </c>
      <c r="M13" s="319">
        <f t="shared" si="0"/>
        <v>13096.784666666668</v>
      </c>
      <c r="N13" s="33">
        <f t="shared" si="0"/>
        <v>13096.784666666668</v>
      </c>
      <c r="O13" s="319">
        <f t="shared" si="0"/>
        <v>13096.784666666668</v>
      </c>
      <c r="P13" s="33">
        <f t="shared" si="0"/>
        <v>13096.784666666668</v>
      </c>
      <c r="Q13" s="319">
        <f t="shared" si="0"/>
        <v>13096.784666666668</v>
      </c>
    </row>
    <row r="14" spans="3:17">
      <c r="C14" s="562" t="s">
        <v>201</v>
      </c>
      <c r="D14" s="563"/>
      <c r="E14" s="331"/>
      <c r="F14" s="32">
        <f>Hoja1!T31</f>
        <v>8158.5000000000018</v>
      </c>
      <c r="G14" s="318">
        <f>F14</f>
        <v>8158.5000000000018</v>
      </c>
      <c r="H14" s="32">
        <f t="shared" ref="H14:Q17" si="1">G14</f>
        <v>8158.5000000000018</v>
      </c>
      <c r="I14" s="318">
        <f t="shared" si="1"/>
        <v>8158.5000000000018</v>
      </c>
      <c r="J14" s="32">
        <f t="shared" si="1"/>
        <v>8158.5000000000018</v>
      </c>
      <c r="K14" s="318">
        <f t="shared" si="1"/>
        <v>8158.5000000000018</v>
      </c>
      <c r="L14" s="32">
        <f t="shared" si="1"/>
        <v>8158.5000000000018</v>
      </c>
      <c r="M14" s="318">
        <f t="shared" si="1"/>
        <v>8158.5000000000018</v>
      </c>
      <c r="N14" s="32">
        <f t="shared" si="1"/>
        <v>8158.5000000000018</v>
      </c>
      <c r="O14" s="318">
        <f t="shared" si="1"/>
        <v>8158.5000000000018</v>
      </c>
      <c r="P14" s="32">
        <f t="shared" si="1"/>
        <v>8158.5000000000018</v>
      </c>
      <c r="Q14" s="318">
        <f t="shared" si="1"/>
        <v>8158.5000000000018</v>
      </c>
    </row>
    <row r="15" spans="3:17">
      <c r="C15" s="562" t="s">
        <v>242</v>
      </c>
      <c r="D15" s="563"/>
      <c r="E15" s="331"/>
      <c r="F15" s="32">
        <f>SUM(Hoja1!U23:U30)/12</f>
        <v>750</v>
      </c>
      <c r="G15" s="318">
        <f>F15</f>
        <v>750</v>
      </c>
      <c r="H15" s="32">
        <f t="shared" si="1"/>
        <v>750</v>
      </c>
      <c r="I15" s="318">
        <f t="shared" si="1"/>
        <v>750</v>
      </c>
      <c r="J15" s="32">
        <f t="shared" si="1"/>
        <v>750</v>
      </c>
      <c r="K15" s="318">
        <f t="shared" si="1"/>
        <v>750</v>
      </c>
      <c r="L15" s="32">
        <f t="shared" si="1"/>
        <v>750</v>
      </c>
      <c r="M15" s="318">
        <f t="shared" si="1"/>
        <v>750</v>
      </c>
      <c r="N15" s="32">
        <f t="shared" si="1"/>
        <v>750</v>
      </c>
      <c r="O15" s="318">
        <f t="shared" si="1"/>
        <v>750</v>
      </c>
      <c r="P15" s="32">
        <f t="shared" si="1"/>
        <v>750</v>
      </c>
      <c r="Q15" s="318">
        <f t="shared" si="1"/>
        <v>750</v>
      </c>
    </row>
    <row r="16" spans="3:17">
      <c r="C16" s="562" t="s">
        <v>213</v>
      </c>
      <c r="D16" s="563"/>
      <c r="E16" s="331"/>
      <c r="F16" s="32">
        <f>SUM(Hoja1!V23:V30)/12</f>
        <v>160</v>
      </c>
      <c r="G16" s="318">
        <f>F16</f>
        <v>160</v>
      </c>
      <c r="H16" s="32">
        <f t="shared" si="1"/>
        <v>160</v>
      </c>
      <c r="I16" s="318">
        <f t="shared" si="1"/>
        <v>160</v>
      </c>
      <c r="J16" s="32">
        <f t="shared" si="1"/>
        <v>160</v>
      </c>
      <c r="K16" s="318">
        <f t="shared" si="1"/>
        <v>160</v>
      </c>
      <c r="L16" s="32">
        <f t="shared" si="1"/>
        <v>160</v>
      </c>
      <c r="M16" s="318">
        <f t="shared" si="1"/>
        <v>160</v>
      </c>
      <c r="N16" s="32">
        <f t="shared" si="1"/>
        <v>160</v>
      </c>
      <c r="O16" s="318">
        <f t="shared" si="1"/>
        <v>160</v>
      </c>
      <c r="P16" s="32">
        <f t="shared" si="1"/>
        <v>160</v>
      </c>
      <c r="Q16" s="318">
        <f t="shared" si="1"/>
        <v>160</v>
      </c>
    </row>
    <row r="17" spans="1:20">
      <c r="C17" s="562" t="s">
        <v>214</v>
      </c>
      <c r="D17" s="563"/>
      <c r="E17" s="331"/>
      <c r="F17" s="32">
        <f>SUM(Hoja1!W23:W30)/12</f>
        <v>375</v>
      </c>
      <c r="G17" s="318">
        <f>F17</f>
        <v>375</v>
      </c>
      <c r="H17" s="32">
        <f t="shared" si="1"/>
        <v>375</v>
      </c>
      <c r="I17" s="318">
        <f t="shared" si="1"/>
        <v>375</v>
      </c>
      <c r="J17" s="32">
        <f t="shared" si="1"/>
        <v>375</v>
      </c>
      <c r="K17" s="318">
        <f t="shared" si="1"/>
        <v>375</v>
      </c>
      <c r="L17" s="32">
        <f t="shared" si="1"/>
        <v>375</v>
      </c>
      <c r="M17" s="318">
        <f t="shared" si="1"/>
        <v>375</v>
      </c>
      <c r="N17" s="32">
        <f t="shared" si="1"/>
        <v>375</v>
      </c>
      <c r="O17" s="318">
        <f t="shared" si="1"/>
        <v>375</v>
      </c>
      <c r="P17" s="32">
        <f t="shared" si="1"/>
        <v>375</v>
      </c>
      <c r="Q17" s="318">
        <f t="shared" si="1"/>
        <v>375</v>
      </c>
    </row>
    <row r="18" spans="1:20">
      <c r="C18" s="562" t="s">
        <v>248</v>
      </c>
      <c r="D18" s="563"/>
      <c r="E18" s="331"/>
      <c r="F18" s="32">
        <f>+'Aportaciones al IESS'!$D$30+'Aportaciones al IESS'!$E$30</f>
        <v>1894.2000000000005</v>
      </c>
      <c r="G18" s="318">
        <f>+'Aportaciones al IESS'!$D$30+'Aportaciones al IESS'!$E$30</f>
        <v>1894.2000000000005</v>
      </c>
      <c r="H18" s="32">
        <f>+'Aportaciones al IESS'!$D$30+'Aportaciones al IESS'!$E$30</f>
        <v>1894.2000000000005</v>
      </c>
      <c r="I18" s="318">
        <f>+'Aportaciones al IESS'!$D$30+'Aportaciones al IESS'!$E$30</f>
        <v>1894.2000000000005</v>
      </c>
      <c r="J18" s="32">
        <f>+'Aportaciones al IESS'!$D$30+'Aportaciones al IESS'!$E$30</f>
        <v>1894.2000000000005</v>
      </c>
      <c r="K18" s="318">
        <f>+'Aportaciones al IESS'!$D$30+'Aportaciones al IESS'!$E$30</f>
        <v>1894.2000000000005</v>
      </c>
      <c r="L18" s="32">
        <f>+'Aportaciones al IESS'!$D$30+'Aportaciones al IESS'!$E$30</f>
        <v>1894.2000000000005</v>
      </c>
      <c r="M18" s="318">
        <f>+'Aportaciones al IESS'!$D$30+'Aportaciones al IESS'!$E$30</f>
        <v>1894.2000000000005</v>
      </c>
      <c r="N18" s="32">
        <f>+'Aportaciones al IESS'!$D$30+'Aportaciones al IESS'!$E$30</f>
        <v>1894.2000000000005</v>
      </c>
      <c r="O18" s="318">
        <f>+'Aportaciones al IESS'!$D$30+'Aportaciones al IESS'!$E$30</f>
        <v>1894.2000000000005</v>
      </c>
      <c r="P18" s="32">
        <f>+'Aportaciones al IESS'!$D$30+'Aportaciones al IESS'!$E$30</f>
        <v>1894.2000000000005</v>
      </c>
      <c r="Q18" s="318">
        <f>+'Aportaciones al IESS'!$D$30+'Aportaciones al IESS'!$E$30</f>
        <v>1894.2000000000005</v>
      </c>
      <c r="T18" s="7" t="s">
        <v>313</v>
      </c>
    </row>
    <row r="19" spans="1:20">
      <c r="C19" s="562" t="s">
        <v>202</v>
      </c>
      <c r="D19" s="563"/>
      <c r="E19" s="331"/>
      <c r="F19" s="32">
        <f>+Hoja1!$O$46</f>
        <v>1120</v>
      </c>
      <c r="G19" s="318">
        <f>+Hoja1!$O$46</f>
        <v>1120</v>
      </c>
      <c r="H19" s="32">
        <f>+Hoja1!$O$46</f>
        <v>1120</v>
      </c>
      <c r="I19" s="318">
        <f>+Hoja1!$O$46</f>
        <v>1120</v>
      </c>
      <c r="J19" s="32">
        <f>+Hoja1!$O$46</f>
        <v>1120</v>
      </c>
      <c r="K19" s="318">
        <f>+Hoja1!$O$46</f>
        <v>1120</v>
      </c>
      <c r="L19" s="32">
        <f>+Hoja1!$O$46</f>
        <v>1120</v>
      </c>
      <c r="M19" s="318">
        <f>+Hoja1!$O$46</f>
        <v>1120</v>
      </c>
      <c r="N19" s="32">
        <f>+Hoja1!$O$46</f>
        <v>1120</v>
      </c>
      <c r="O19" s="318">
        <f>+Hoja1!$O$46</f>
        <v>1120</v>
      </c>
      <c r="P19" s="32">
        <f>+Hoja1!$O$46</f>
        <v>1120</v>
      </c>
      <c r="Q19" s="318">
        <f>+Hoja1!$O$46</f>
        <v>1120</v>
      </c>
    </row>
    <row r="20" spans="1:20">
      <c r="C20" s="562" t="s">
        <v>212</v>
      </c>
      <c r="D20" s="563"/>
      <c r="E20" s="331"/>
      <c r="F20" s="32">
        <f>+Hoja1!$O$51</f>
        <v>400</v>
      </c>
      <c r="G20" s="318">
        <f>+Hoja1!$O$51</f>
        <v>400</v>
      </c>
      <c r="H20" s="32">
        <f>+Hoja1!$O$51</f>
        <v>400</v>
      </c>
      <c r="I20" s="318">
        <f>+Hoja1!$O$51</f>
        <v>400</v>
      </c>
      <c r="J20" s="32">
        <f>+Hoja1!$O$51</f>
        <v>400</v>
      </c>
      <c r="K20" s="318">
        <f>+Hoja1!$O$51</f>
        <v>400</v>
      </c>
      <c r="L20" s="32">
        <f>+Hoja1!$O$51</f>
        <v>400</v>
      </c>
      <c r="M20" s="318">
        <f>+Hoja1!$O$51</f>
        <v>400</v>
      </c>
      <c r="N20" s="32">
        <f>+Hoja1!$O$51</f>
        <v>400</v>
      </c>
      <c r="O20" s="318">
        <f>+Hoja1!$O$51</f>
        <v>400</v>
      </c>
      <c r="P20" s="32">
        <f>+Hoja1!$O$51</f>
        <v>400</v>
      </c>
      <c r="Q20" s="318">
        <f>+Hoja1!$O$51</f>
        <v>400</v>
      </c>
    </row>
    <row r="21" spans="1:20">
      <c r="C21" s="562" t="s">
        <v>250</v>
      </c>
      <c r="D21" s="563"/>
      <c r="E21" s="330"/>
      <c r="F21" s="32">
        <f>(Hoja1!$H$15)/12</f>
        <v>85.847999999999999</v>
      </c>
      <c r="G21" s="318">
        <f>(Hoja1!$H$15)/12</f>
        <v>85.847999999999999</v>
      </c>
      <c r="H21" s="32">
        <f>(Hoja1!$H$15)/12</f>
        <v>85.847999999999999</v>
      </c>
      <c r="I21" s="318">
        <f>(Hoja1!$H$15)/12</f>
        <v>85.847999999999999</v>
      </c>
      <c r="J21" s="32">
        <f>(Hoja1!$H$15)/12</f>
        <v>85.847999999999999</v>
      </c>
      <c r="K21" s="318">
        <f>(Hoja1!$H$15)/12</f>
        <v>85.847999999999999</v>
      </c>
      <c r="L21" s="32">
        <f>(Hoja1!$H$15)/12</f>
        <v>85.847999999999999</v>
      </c>
      <c r="M21" s="318">
        <f>(Hoja1!$H$15)/12</f>
        <v>85.847999999999999</v>
      </c>
      <c r="N21" s="32">
        <f>(Hoja1!$H$15)/12</f>
        <v>85.847999999999999</v>
      </c>
      <c r="O21" s="318">
        <f>(Hoja1!$H$15)/12</f>
        <v>85.847999999999999</v>
      </c>
      <c r="P21" s="32">
        <f>(Hoja1!$H$15)/12</f>
        <v>85.847999999999999</v>
      </c>
      <c r="Q21" s="318">
        <f>(Hoja1!$H$15)/12</f>
        <v>85.847999999999999</v>
      </c>
    </row>
    <row r="22" spans="1:20">
      <c r="C22" s="562" t="s">
        <v>251</v>
      </c>
      <c r="D22" s="563"/>
      <c r="E22" s="330"/>
      <c r="F22" s="32">
        <f>(Hoja1!$H$51)/12</f>
        <v>86.570000000000007</v>
      </c>
      <c r="G22" s="318">
        <f>(Hoja1!$H$51)/12</f>
        <v>86.570000000000007</v>
      </c>
      <c r="H22" s="32">
        <f>(Hoja1!$H$51)/12</f>
        <v>86.570000000000007</v>
      </c>
      <c r="I22" s="318">
        <f>(Hoja1!$H$51)/12</f>
        <v>86.570000000000007</v>
      </c>
      <c r="J22" s="32">
        <f>(Hoja1!$H$51)/12</f>
        <v>86.570000000000007</v>
      </c>
      <c r="K22" s="318">
        <f>(Hoja1!$H$51)/12</f>
        <v>86.570000000000007</v>
      </c>
      <c r="L22" s="32">
        <f>(Hoja1!$H$51)/12</f>
        <v>86.570000000000007</v>
      </c>
      <c r="M22" s="318">
        <f>(Hoja1!$H$51)/12</f>
        <v>86.570000000000007</v>
      </c>
      <c r="N22" s="32">
        <f>(Hoja1!$H$51)/12</f>
        <v>86.570000000000007</v>
      </c>
      <c r="O22" s="318">
        <f>(Hoja1!$H$51)/12</f>
        <v>86.570000000000007</v>
      </c>
      <c r="P22" s="32">
        <f>(Hoja1!$H$51)/12</f>
        <v>86.570000000000007</v>
      </c>
      <c r="Q22" s="318">
        <f>(Hoja1!$H$51)/12</f>
        <v>86.570000000000007</v>
      </c>
    </row>
    <row r="23" spans="1:20">
      <c r="C23" s="562" t="s">
        <v>217</v>
      </c>
      <c r="D23" s="563"/>
      <c r="E23" s="332"/>
      <c r="F23" s="32">
        <f>(Hoja1!$H$61)/12</f>
        <v>66.666666666666671</v>
      </c>
      <c r="G23" s="318">
        <f>(Hoja1!$H$61)/12</f>
        <v>66.666666666666671</v>
      </c>
      <c r="H23" s="32">
        <f>(Hoja1!$H$61)/12</f>
        <v>66.666666666666671</v>
      </c>
      <c r="I23" s="318">
        <f>(Hoja1!$H$61)/12</f>
        <v>66.666666666666671</v>
      </c>
      <c r="J23" s="32">
        <f>(Hoja1!$H$61)/12</f>
        <v>66.666666666666671</v>
      </c>
      <c r="K23" s="318">
        <f>(Hoja1!$H$61)/12</f>
        <v>66.666666666666671</v>
      </c>
      <c r="L23" s="32">
        <f>(Hoja1!$H$61)/12</f>
        <v>66.666666666666671</v>
      </c>
      <c r="M23" s="318">
        <f>(Hoja1!$H$61)/12</f>
        <v>66.666666666666671</v>
      </c>
      <c r="N23" s="32">
        <f>(Hoja1!$H$61)/12</f>
        <v>66.666666666666671</v>
      </c>
      <c r="O23" s="318">
        <f>(Hoja1!$H$61)/12</f>
        <v>66.666666666666671</v>
      </c>
      <c r="P23" s="32">
        <f>(Hoja1!$H$61)/12</f>
        <v>66.666666666666671</v>
      </c>
      <c r="Q23" s="318">
        <f>(Hoja1!$H$61)/12</f>
        <v>66.666666666666671</v>
      </c>
      <c r="R23" s="32"/>
      <c r="S23" s="32"/>
    </row>
    <row r="24" spans="1:20">
      <c r="C24" s="562" t="s">
        <v>243</v>
      </c>
      <c r="D24" s="563"/>
      <c r="E24" s="333"/>
      <c r="F24" s="32">
        <f>Hoja1!$O$11</f>
        <v>591.1</v>
      </c>
      <c r="G24" s="318">
        <f>Hoja1!$O$11</f>
        <v>591.1</v>
      </c>
      <c r="H24" s="32">
        <f>Hoja1!$O$11</f>
        <v>591.1</v>
      </c>
      <c r="I24" s="318">
        <f>Hoja1!$O$11</f>
        <v>591.1</v>
      </c>
      <c r="J24" s="32">
        <f>Hoja1!$O$11</f>
        <v>591.1</v>
      </c>
      <c r="K24" s="318">
        <f>Hoja1!$O$11</f>
        <v>591.1</v>
      </c>
      <c r="L24" s="32">
        <f>Hoja1!$O$11</f>
        <v>591.1</v>
      </c>
      <c r="M24" s="318">
        <f>Hoja1!$O$11</f>
        <v>591.1</v>
      </c>
      <c r="N24" s="32">
        <f>Hoja1!$O$11</f>
        <v>591.1</v>
      </c>
      <c r="O24" s="318">
        <f>Hoja1!$O$11</f>
        <v>591.1</v>
      </c>
      <c r="P24" s="32">
        <f>Hoja1!$O$11</f>
        <v>591.1</v>
      </c>
      <c r="Q24" s="318">
        <f>Hoja1!$O$11</f>
        <v>591.1</v>
      </c>
    </row>
    <row r="25" spans="1:20" s="122" customFormat="1">
      <c r="A25" s="23"/>
      <c r="B25" s="23"/>
      <c r="C25" s="569" t="s">
        <v>314</v>
      </c>
      <c r="D25" s="570"/>
      <c r="E25" s="334"/>
      <c r="F25" s="34">
        <f>+F9-F11-F13-F24</f>
        <v>250.34033333333025</v>
      </c>
      <c r="G25" s="321">
        <f t="shared" ref="G25:Q25" si="2">+G9-G11-G13-G24</f>
        <v>250.34033333333025</v>
      </c>
      <c r="H25" s="34">
        <f t="shared" si="2"/>
        <v>250.34033333333025</v>
      </c>
      <c r="I25" s="321">
        <f t="shared" si="2"/>
        <v>250.34033333333025</v>
      </c>
      <c r="J25" s="34">
        <f t="shared" si="2"/>
        <v>250.34033333333025</v>
      </c>
      <c r="K25" s="321">
        <f t="shared" si="2"/>
        <v>250.34033333333025</v>
      </c>
      <c r="L25" s="34">
        <f t="shared" si="2"/>
        <v>250.34033333333025</v>
      </c>
      <c r="M25" s="321">
        <f t="shared" si="2"/>
        <v>250.34033333333025</v>
      </c>
      <c r="N25" s="34">
        <f t="shared" si="2"/>
        <v>250.34033333333025</v>
      </c>
      <c r="O25" s="321">
        <f t="shared" si="2"/>
        <v>250.34033333333025</v>
      </c>
      <c r="P25" s="34">
        <f t="shared" si="2"/>
        <v>250.34033333333025</v>
      </c>
      <c r="Q25" s="321">
        <f t="shared" si="2"/>
        <v>250.34033333333025</v>
      </c>
      <c r="R25" s="23"/>
      <c r="S25" s="23"/>
    </row>
    <row r="26" spans="1:20">
      <c r="C26" s="562" t="s">
        <v>184</v>
      </c>
      <c r="D26" s="563"/>
      <c r="E26" s="330"/>
      <c r="F26" s="125">
        <f>+Prestamo!$G$26</f>
        <v>247.30014732952631</v>
      </c>
      <c r="G26" s="320">
        <f>+Prestamo!$G$26</f>
        <v>247.30014732952631</v>
      </c>
      <c r="H26" s="125">
        <f>+Prestamo!$G$26</f>
        <v>247.30014732952631</v>
      </c>
      <c r="I26" s="320">
        <f>+Prestamo!$G$26</f>
        <v>247.30014732952631</v>
      </c>
      <c r="J26" s="125">
        <f>+Prestamo!$G$26</f>
        <v>247.30014732952631</v>
      </c>
      <c r="K26" s="320">
        <f>+Prestamo!$G$26</f>
        <v>247.30014732952631</v>
      </c>
      <c r="L26" s="125">
        <f>+Prestamo!$G$26</f>
        <v>247.30014732952631</v>
      </c>
      <c r="M26" s="320">
        <f>+Prestamo!$G$26</f>
        <v>247.30014732952631</v>
      </c>
      <c r="N26" s="125">
        <f>+Prestamo!$G$26</f>
        <v>247.30014732952631</v>
      </c>
      <c r="O26" s="320">
        <f>+Prestamo!$G$26</f>
        <v>247.30014732952631</v>
      </c>
      <c r="P26" s="125">
        <f>+Prestamo!$G$26</f>
        <v>247.30014732952631</v>
      </c>
      <c r="Q26" s="320">
        <f>+Prestamo!$G$26</f>
        <v>247.30014732952631</v>
      </c>
    </row>
    <row r="27" spans="1:20">
      <c r="C27" s="569" t="s">
        <v>252</v>
      </c>
      <c r="D27" s="570"/>
      <c r="E27" s="334"/>
      <c r="F27" s="34">
        <f t="shared" ref="F27:Q27" si="3">F25-F26</f>
        <v>3.0401860038039388</v>
      </c>
      <c r="G27" s="321">
        <f t="shared" si="3"/>
        <v>3.0401860038039388</v>
      </c>
      <c r="H27" s="34">
        <f t="shared" si="3"/>
        <v>3.0401860038039388</v>
      </c>
      <c r="I27" s="321">
        <f t="shared" si="3"/>
        <v>3.0401860038039388</v>
      </c>
      <c r="J27" s="34">
        <f t="shared" si="3"/>
        <v>3.0401860038039388</v>
      </c>
      <c r="K27" s="321">
        <f t="shared" si="3"/>
        <v>3.0401860038039388</v>
      </c>
      <c r="L27" s="34">
        <f t="shared" si="3"/>
        <v>3.0401860038039388</v>
      </c>
      <c r="M27" s="321">
        <f t="shared" si="3"/>
        <v>3.0401860038039388</v>
      </c>
      <c r="N27" s="34">
        <f t="shared" si="3"/>
        <v>3.0401860038039388</v>
      </c>
      <c r="O27" s="321">
        <f t="shared" si="3"/>
        <v>3.0401860038039388</v>
      </c>
      <c r="P27" s="34">
        <f t="shared" si="3"/>
        <v>3.0401860038039388</v>
      </c>
      <c r="Q27" s="321">
        <f t="shared" si="3"/>
        <v>3.0401860038039388</v>
      </c>
    </row>
    <row r="28" spans="1:20">
      <c r="C28" s="562" t="s">
        <v>185</v>
      </c>
      <c r="D28" s="563"/>
      <c r="E28" s="335"/>
      <c r="F28" s="125">
        <f>+F27*15%</f>
        <v>0.45602790057059078</v>
      </c>
      <c r="G28" s="320">
        <f t="shared" ref="G28:Q28" si="4">+G27*15%</f>
        <v>0.45602790057059078</v>
      </c>
      <c r="H28" s="125">
        <f t="shared" si="4"/>
        <v>0.45602790057059078</v>
      </c>
      <c r="I28" s="320">
        <f t="shared" si="4"/>
        <v>0.45602790057059078</v>
      </c>
      <c r="J28" s="125">
        <f t="shared" si="4"/>
        <v>0.45602790057059078</v>
      </c>
      <c r="K28" s="320">
        <f t="shared" si="4"/>
        <v>0.45602790057059078</v>
      </c>
      <c r="L28" s="125">
        <f t="shared" si="4"/>
        <v>0.45602790057059078</v>
      </c>
      <c r="M28" s="320">
        <f t="shared" si="4"/>
        <v>0.45602790057059078</v>
      </c>
      <c r="N28" s="125">
        <f t="shared" si="4"/>
        <v>0.45602790057059078</v>
      </c>
      <c r="O28" s="320">
        <f t="shared" si="4"/>
        <v>0.45602790057059078</v>
      </c>
      <c r="P28" s="125">
        <f t="shared" si="4"/>
        <v>0.45602790057059078</v>
      </c>
      <c r="Q28" s="320">
        <f t="shared" si="4"/>
        <v>0.45602790057059078</v>
      </c>
    </row>
    <row r="29" spans="1:20">
      <c r="C29" s="562" t="s">
        <v>252</v>
      </c>
      <c r="D29" s="563"/>
      <c r="E29" s="334"/>
      <c r="F29" s="34">
        <f>F27-F28</f>
        <v>2.584158103233348</v>
      </c>
      <c r="G29" s="321">
        <f t="shared" ref="G29:Q29" si="5">G27-G28</f>
        <v>2.584158103233348</v>
      </c>
      <c r="H29" s="34">
        <f t="shared" si="5"/>
        <v>2.584158103233348</v>
      </c>
      <c r="I29" s="321">
        <f t="shared" si="5"/>
        <v>2.584158103233348</v>
      </c>
      <c r="J29" s="34">
        <f t="shared" si="5"/>
        <v>2.584158103233348</v>
      </c>
      <c r="K29" s="321">
        <f t="shared" si="5"/>
        <v>2.584158103233348</v>
      </c>
      <c r="L29" s="34">
        <f t="shared" si="5"/>
        <v>2.584158103233348</v>
      </c>
      <c r="M29" s="321">
        <f t="shared" si="5"/>
        <v>2.584158103233348</v>
      </c>
      <c r="N29" s="34">
        <f t="shared" si="5"/>
        <v>2.584158103233348</v>
      </c>
      <c r="O29" s="321">
        <f t="shared" si="5"/>
        <v>2.584158103233348</v>
      </c>
      <c r="P29" s="34">
        <f t="shared" si="5"/>
        <v>2.584158103233348</v>
      </c>
      <c r="Q29" s="321">
        <f t="shared" si="5"/>
        <v>2.584158103233348</v>
      </c>
    </row>
    <row r="30" spans="1:20" ht="15.75" thickBot="1">
      <c r="C30" s="562" t="s">
        <v>253</v>
      </c>
      <c r="D30" s="563"/>
      <c r="E30" s="330"/>
      <c r="F30" s="31">
        <f>F29*$D$3</f>
        <v>0.64603952580833701</v>
      </c>
      <c r="G30" s="317">
        <f>G29*$D$3</f>
        <v>0.64603952580833701</v>
      </c>
      <c r="H30" s="31">
        <f>H29*$D$3</f>
        <v>0.64603952580833701</v>
      </c>
      <c r="I30" s="317">
        <f>I29*$D$3</f>
        <v>0.64603952580833701</v>
      </c>
      <c r="J30" s="31">
        <f>J29*$D$3</f>
        <v>0.64603952580833701</v>
      </c>
      <c r="K30" s="317">
        <f t="shared" ref="K30:Q30" si="6">K29*$D$3</f>
        <v>0.64603952580833701</v>
      </c>
      <c r="L30" s="31">
        <f t="shared" si="6"/>
        <v>0.64603952580833701</v>
      </c>
      <c r="M30" s="317">
        <f t="shared" si="6"/>
        <v>0.64603952580833701</v>
      </c>
      <c r="N30" s="31">
        <f t="shared" si="6"/>
        <v>0.64603952580833701</v>
      </c>
      <c r="O30" s="317">
        <f t="shared" si="6"/>
        <v>0.64603952580833701</v>
      </c>
      <c r="P30" s="31">
        <f t="shared" si="6"/>
        <v>0.64603952580833701</v>
      </c>
      <c r="Q30" s="317">
        <f t="shared" si="6"/>
        <v>0.64603952580833701</v>
      </c>
    </row>
    <row r="31" spans="1:20" ht="15.75" thickBot="1">
      <c r="C31" s="567" t="s">
        <v>186</v>
      </c>
      <c r="D31" s="568"/>
      <c r="E31" s="358"/>
      <c r="F31" s="350">
        <f>F29-F30</f>
        <v>1.9381185774250111</v>
      </c>
      <c r="G31" s="349">
        <f t="shared" ref="G31:Q31" si="7">G29-G30</f>
        <v>1.9381185774250111</v>
      </c>
      <c r="H31" s="350">
        <f t="shared" si="7"/>
        <v>1.9381185774250111</v>
      </c>
      <c r="I31" s="349">
        <f t="shared" si="7"/>
        <v>1.9381185774250111</v>
      </c>
      <c r="J31" s="350">
        <f t="shared" si="7"/>
        <v>1.9381185774250111</v>
      </c>
      <c r="K31" s="349">
        <f t="shared" si="7"/>
        <v>1.9381185774250111</v>
      </c>
      <c r="L31" s="350">
        <f t="shared" si="7"/>
        <v>1.9381185774250111</v>
      </c>
      <c r="M31" s="349">
        <f t="shared" si="7"/>
        <v>1.9381185774250111</v>
      </c>
      <c r="N31" s="350">
        <f t="shared" si="7"/>
        <v>1.9381185774250111</v>
      </c>
      <c r="O31" s="349">
        <f t="shared" si="7"/>
        <v>1.9381185774250111</v>
      </c>
      <c r="P31" s="350">
        <f t="shared" si="7"/>
        <v>1.9381185774250111</v>
      </c>
      <c r="Q31" s="349">
        <f t="shared" si="7"/>
        <v>1.9381185774250111</v>
      </c>
      <c r="T31" s="370">
        <f>SUM(F31:S31)</f>
        <v>23.257422929100141</v>
      </c>
    </row>
    <row r="32" spans="1:20" s="30" customFormat="1">
      <c r="E32" s="37"/>
      <c r="F32" s="23"/>
      <c r="G32" s="23"/>
      <c r="H32" s="23"/>
      <c r="I32" s="23"/>
      <c r="J32" s="23"/>
    </row>
    <row r="33" s="30" customFormat="1"/>
    <row r="34" s="30" customFormat="1"/>
    <row r="35" s="30" customFormat="1"/>
  </sheetData>
  <mergeCells count="25">
    <mergeCell ref="C31:D31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C7:Q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verticalDpi="0" r:id="rId1"/>
  <ignoredErrors>
    <ignoredError sqref="F28:T30 F31:S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>
      <selection activeCell="J33" sqref="J33"/>
    </sheetView>
  </sheetViews>
  <sheetFormatPr baseColWidth="10" defaultRowHeight="15"/>
  <cols>
    <col min="1" max="1" width="5.28515625" style="30" customWidth="1"/>
    <col min="2" max="2" width="32.5703125" customWidth="1"/>
    <col min="5" max="5" width="11.85546875" bestFit="1" customWidth="1"/>
    <col min="15" max="15" width="4.5703125" style="30" customWidth="1"/>
  </cols>
  <sheetData>
    <row r="1" spans="1:15" s="30" customFormat="1"/>
    <row r="2" spans="1:15" s="30" customFormat="1" ht="15.75" thickBot="1"/>
    <row r="3" spans="1:15" ht="15.75" thickBot="1">
      <c r="B3" s="535" t="s">
        <v>210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7"/>
    </row>
    <row r="4" spans="1:15" ht="15.75" thickBot="1">
      <c r="B4" s="253" t="s">
        <v>133</v>
      </c>
      <c r="C4" s="252" t="s">
        <v>117</v>
      </c>
      <c r="D4" s="250" t="s">
        <v>118</v>
      </c>
      <c r="E4" s="250" t="s">
        <v>119</v>
      </c>
      <c r="F4" s="250" t="s">
        <v>120</v>
      </c>
      <c r="G4" s="271" t="s">
        <v>121</v>
      </c>
      <c r="H4" s="253" t="s">
        <v>122</v>
      </c>
      <c r="I4" s="273" t="s">
        <v>123</v>
      </c>
      <c r="J4" s="253" t="s">
        <v>124</v>
      </c>
      <c r="K4" s="252" t="s">
        <v>125</v>
      </c>
      <c r="L4" s="250" t="s">
        <v>126</v>
      </c>
      <c r="M4" s="250" t="s">
        <v>127</v>
      </c>
      <c r="N4" s="251" t="s">
        <v>128</v>
      </c>
    </row>
    <row r="5" spans="1:15">
      <c r="B5" s="254" t="s">
        <v>182</v>
      </c>
      <c r="C5" s="260">
        <f>+Ingresos!D12</f>
        <v>38955</v>
      </c>
      <c r="D5" s="265">
        <f>+Ingresos!E12</f>
        <v>38955</v>
      </c>
      <c r="E5" s="260">
        <f>+Ingresos!F12</f>
        <v>38955</v>
      </c>
      <c r="F5" s="265">
        <f>+Ingresos!G12</f>
        <v>38955</v>
      </c>
      <c r="G5" s="260">
        <f>+Ingresos!H12</f>
        <v>38955</v>
      </c>
      <c r="H5" s="272">
        <f>+Ingresos!I12</f>
        <v>38955</v>
      </c>
      <c r="I5" s="260">
        <f>+Ingresos!J12</f>
        <v>38955</v>
      </c>
      <c r="J5" s="272">
        <f>+Ingresos!K12</f>
        <v>38955</v>
      </c>
      <c r="K5" s="260">
        <f>+Ingresos!L12</f>
        <v>38955</v>
      </c>
      <c r="L5" s="265">
        <f>+Ingresos!M12</f>
        <v>38955</v>
      </c>
      <c r="M5" s="260">
        <f>+Ingresos!N12</f>
        <v>38955</v>
      </c>
      <c r="N5" s="265">
        <f>+Ingresos!O12</f>
        <v>38955</v>
      </c>
    </row>
    <row r="6" spans="1:15">
      <c r="B6" s="255" t="s">
        <v>200</v>
      </c>
      <c r="C6" s="261"/>
      <c r="D6" s="266"/>
      <c r="E6" s="261"/>
      <c r="F6" s="266"/>
      <c r="G6" s="261"/>
      <c r="H6" s="266"/>
      <c r="I6" s="261"/>
      <c r="J6" s="266"/>
      <c r="K6" s="261"/>
      <c r="L6" s="266"/>
      <c r="M6" s="261"/>
      <c r="N6" s="266"/>
    </row>
    <row r="7" spans="1:15" s="7" customFormat="1">
      <c r="A7" s="30"/>
      <c r="B7" s="256" t="s">
        <v>206</v>
      </c>
      <c r="C7" s="261">
        <f>+Hoja1!$N$84</f>
        <v>25016.775000000001</v>
      </c>
      <c r="D7" s="266">
        <f>+Hoja1!$N$84</f>
        <v>25016.775000000001</v>
      </c>
      <c r="E7" s="261">
        <f>+Hoja1!$N$84</f>
        <v>25016.775000000001</v>
      </c>
      <c r="F7" s="266">
        <f>+Hoja1!$N$84</f>
        <v>25016.775000000001</v>
      </c>
      <c r="G7" s="261">
        <f>+Hoja1!$N$84</f>
        <v>25016.775000000001</v>
      </c>
      <c r="H7" s="266">
        <f>+Hoja1!$N$84</f>
        <v>25016.775000000001</v>
      </c>
      <c r="I7" s="261">
        <f>+Hoja1!$N$84</f>
        <v>25016.775000000001</v>
      </c>
      <c r="J7" s="266">
        <f>+Hoja1!$N$84</f>
        <v>25016.775000000001</v>
      </c>
      <c r="K7" s="261">
        <f>+Hoja1!$N$84</f>
        <v>25016.775000000001</v>
      </c>
      <c r="L7" s="266">
        <f>+Hoja1!$N$84</f>
        <v>25016.775000000001</v>
      </c>
      <c r="M7" s="261">
        <f>+Hoja1!$N$84</f>
        <v>25016.775000000001</v>
      </c>
      <c r="N7" s="266">
        <f>+Hoja1!$N$84</f>
        <v>25016.775000000001</v>
      </c>
      <c r="O7" s="30"/>
    </row>
    <row r="8" spans="1:15">
      <c r="B8" s="256" t="s">
        <v>201</v>
      </c>
      <c r="C8" s="261">
        <f>+Hoja1!$R$31</f>
        <v>9000</v>
      </c>
      <c r="D8" s="266">
        <f>+Hoja1!$R$31</f>
        <v>9000</v>
      </c>
      <c r="E8" s="261">
        <f>+Hoja1!$R$31</f>
        <v>9000</v>
      </c>
      <c r="F8" s="266">
        <f>+Hoja1!$R$31</f>
        <v>9000</v>
      </c>
      <c r="G8" s="261">
        <f>+Hoja1!$R$31</f>
        <v>9000</v>
      </c>
      <c r="H8" s="266">
        <f>+Hoja1!$R$31</f>
        <v>9000</v>
      </c>
      <c r="I8" s="261">
        <f>+Hoja1!$R$31</f>
        <v>9000</v>
      </c>
      <c r="J8" s="266">
        <f>+Hoja1!$R$31</f>
        <v>9000</v>
      </c>
      <c r="K8" s="261">
        <f>+Hoja1!$R$31</f>
        <v>9000</v>
      </c>
      <c r="L8" s="266">
        <f>+Hoja1!$R$31</f>
        <v>9000</v>
      </c>
      <c r="M8" s="261">
        <f>+Hoja1!$R$31</f>
        <v>9000</v>
      </c>
      <c r="N8" s="266">
        <f>+Hoja1!$R$31</f>
        <v>9000</v>
      </c>
    </row>
    <row r="9" spans="1:15" s="7" customFormat="1">
      <c r="A9" s="30"/>
      <c r="B9" s="256" t="s">
        <v>202</v>
      </c>
      <c r="C9" s="261">
        <f>+Hoja1!$O$46</f>
        <v>1120</v>
      </c>
      <c r="D9" s="266">
        <f>+Hoja1!$O$46</f>
        <v>1120</v>
      </c>
      <c r="E9" s="261">
        <f>+Hoja1!$O$46</f>
        <v>1120</v>
      </c>
      <c r="F9" s="266">
        <f>+Hoja1!$O$46</f>
        <v>1120</v>
      </c>
      <c r="G9" s="261">
        <f>+Hoja1!$O$46</f>
        <v>1120</v>
      </c>
      <c r="H9" s="266">
        <f>+Hoja1!$O$46</f>
        <v>1120</v>
      </c>
      <c r="I9" s="261">
        <f>+Hoja1!$O$46</f>
        <v>1120</v>
      </c>
      <c r="J9" s="266">
        <f>+Hoja1!$O$46</f>
        <v>1120</v>
      </c>
      <c r="K9" s="261">
        <f>+Hoja1!$O$46</f>
        <v>1120</v>
      </c>
      <c r="L9" s="266">
        <f>+Hoja1!$O$46</f>
        <v>1120</v>
      </c>
      <c r="M9" s="261">
        <f>+Hoja1!$O$46</f>
        <v>1120</v>
      </c>
      <c r="N9" s="266">
        <f>+Hoja1!$O$46</f>
        <v>1120</v>
      </c>
      <c r="O9" s="30"/>
    </row>
    <row r="10" spans="1:15" s="7" customFormat="1">
      <c r="A10" s="30"/>
      <c r="B10" s="256" t="s">
        <v>212</v>
      </c>
      <c r="C10" s="261">
        <f>+Hoja1!$O$51</f>
        <v>400</v>
      </c>
      <c r="D10" s="266">
        <f>+Hoja1!$O$51</f>
        <v>400</v>
      </c>
      <c r="E10" s="261">
        <f>+Hoja1!$O$51</f>
        <v>400</v>
      </c>
      <c r="F10" s="266">
        <f>+Hoja1!$O$51</f>
        <v>400</v>
      </c>
      <c r="G10" s="261">
        <f>+Hoja1!$O$51</f>
        <v>400</v>
      </c>
      <c r="H10" s="266">
        <f>+Hoja1!$O$51</f>
        <v>400</v>
      </c>
      <c r="I10" s="261">
        <f>+Hoja1!$O$51</f>
        <v>400</v>
      </c>
      <c r="J10" s="266">
        <f>+Hoja1!$O$51</f>
        <v>400</v>
      </c>
      <c r="K10" s="261">
        <f>+Hoja1!$O$51</f>
        <v>400</v>
      </c>
      <c r="L10" s="266">
        <f>+Hoja1!$O$51</f>
        <v>400</v>
      </c>
      <c r="M10" s="261">
        <f>+Hoja1!$O$51</f>
        <v>400</v>
      </c>
      <c r="N10" s="266">
        <f>+Hoja1!$O$51</f>
        <v>400</v>
      </c>
      <c r="O10" s="30"/>
    </row>
    <row r="11" spans="1:15">
      <c r="B11" s="256" t="s">
        <v>207</v>
      </c>
      <c r="C11" s="261">
        <f>+Hoja1!$R$36</f>
        <v>200</v>
      </c>
      <c r="D11" s="266">
        <f>+Hoja1!$R$36</f>
        <v>200</v>
      </c>
      <c r="E11" s="261">
        <f>+Hoja1!$R$36</f>
        <v>200</v>
      </c>
      <c r="F11" s="266">
        <f>+Hoja1!$R$36</f>
        <v>200</v>
      </c>
      <c r="G11" s="261">
        <f>+Hoja1!$R$36</f>
        <v>200</v>
      </c>
      <c r="H11" s="266">
        <f>+Hoja1!$R$36</f>
        <v>200</v>
      </c>
      <c r="I11" s="261">
        <f>+Hoja1!$R$36</f>
        <v>200</v>
      </c>
      <c r="J11" s="266">
        <f>+Hoja1!$R$36</f>
        <v>200</v>
      </c>
      <c r="K11" s="261">
        <f>+Hoja1!$R$36</f>
        <v>200</v>
      </c>
      <c r="L11" s="266">
        <f>+Hoja1!$R$36</f>
        <v>200</v>
      </c>
      <c r="M11" s="261">
        <f>+Hoja1!$R$36</f>
        <v>200</v>
      </c>
      <c r="N11" s="266">
        <f>+Hoja1!$R$36</f>
        <v>200</v>
      </c>
    </row>
    <row r="12" spans="1:15">
      <c r="B12" s="256" t="s">
        <v>203</v>
      </c>
      <c r="C12" s="261">
        <f>SUM(C7:C11)</f>
        <v>35736.775000000001</v>
      </c>
      <c r="D12" s="266">
        <f t="shared" ref="D12:L12" si="0">SUM(D7:D11)</f>
        <v>35736.775000000001</v>
      </c>
      <c r="E12" s="261">
        <f t="shared" si="0"/>
        <v>35736.775000000001</v>
      </c>
      <c r="F12" s="266">
        <f t="shared" si="0"/>
        <v>35736.775000000001</v>
      </c>
      <c r="G12" s="261">
        <f t="shared" si="0"/>
        <v>35736.775000000001</v>
      </c>
      <c r="H12" s="266">
        <f t="shared" si="0"/>
        <v>35736.775000000001</v>
      </c>
      <c r="I12" s="261">
        <f t="shared" si="0"/>
        <v>35736.775000000001</v>
      </c>
      <c r="J12" s="266">
        <f t="shared" si="0"/>
        <v>35736.775000000001</v>
      </c>
      <c r="K12" s="261">
        <f t="shared" si="0"/>
        <v>35736.775000000001</v>
      </c>
      <c r="L12" s="266">
        <f t="shared" si="0"/>
        <v>35736.775000000001</v>
      </c>
      <c r="M12" s="261">
        <f>SUM(M7:M11)</f>
        <v>35736.775000000001</v>
      </c>
      <c r="N12" s="266">
        <f>SUM(N7:N11)</f>
        <v>35736.775000000001</v>
      </c>
    </row>
    <row r="13" spans="1:15" ht="15.75" thickBot="1">
      <c r="B13" s="257" t="s">
        <v>88</v>
      </c>
      <c r="C13" s="262">
        <f>+Hoja1!$O$11</f>
        <v>591.1</v>
      </c>
      <c r="D13" s="267">
        <f>+Hoja1!$O$11</f>
        <v>591.1</v>
      </c>
      <c r="E13" s="262">
        <f>+Hoja1!$O$11</f>
        <v>591.1</v>
      </c>
      <c r="F13" s="267">
        <f>+Hoja1!$O$11</f>
        <v>591.1</v>
      </c>
      <c r="G13" s="262">
        <f>+Hoja1!$O$11</f>
        <v>591.1</v>
      </c>
      <c r="H13" s="267">
        <f>+Hoja1!$O$11</f>
        <v>591.1</v>
      </c>
      <c r="I13" s="262">
        <f>+Hoja1!$O$11</f>
        <v>591.1</v>
      </c>
      <c r="J13" s="267">
        <f>+Hoja1!$O$11</f>
        <v>591.1</v>
      </c>
      <c r="K13" s="262">
        <f>+Hoja1!$O$11</f>
        <v>591.1</v>
      </c>
      <c r="L13" s="267">
        <f>+Hoja1!$O$11</f>
        <v>591.1</v>
      </c>
      <c r="M13" s="262">
        <f>+Hoja1!$O$11</f>
        <v>591.1</v>
      </c>
      <c r="N13" s="267">
        <f>+Hoja1!$O$11</f>
        <v>591.1</v>
      </c>
    </row>
    <row r="14" spans="1:15" ht="15.75" thickBot="1">
      <c r="B14" s="259" t="s">
        <v>204</v>
      </c>
      <c r="C14" s="263">
        <f>+C5-C12-C13</f>
        <v>2627.1249999999986</v>
      </c>
      <c r="D14" s="268">
        <f t="shared" ref="D14:F14" si="1">+D5-D12-D13</f>
        <v>2627.1249999999986</v>
      </c>
      <c r="E14" s="263">
        <f t="shared" si="1"/>
        <v>2627.1249999999986</v>
      </c>
      <c r="F14" s="268">
        <f t="shared" si="1"/>
        <v>2627.1249999999986</v>
      </c>
      <c r="G14" s="263">
        <f t="shared" ref="G14" si="2">+G5-G12-G13</f>
        <v>2627.1249999999986</v>
      </c>
      <c r="H14" s="268">
        <f t="shared" ref="H14" si="3">+H5-H12-H13</f>
        <v>2627.1249999999986</v>
      </c>
      <c r="I14" s="263">
        <f t="shared" ref="I14" si="4">+I5-I12-I13</f>
        <v>2627.1249999999986</v>
      </c>
      <c r="J14" s="268">
        <f t="shared" ref="J14" si="5">+J5-J12-J13</f>
        <v>2627.1249999999986</v>
      </c>
      <c r="K14" s="263">
        <f t="shared" ref="K14" si="6">+K5-K12-K13</f>
        <v>2627.1249999999986</v>
      </c>
      <c r="L14" s="268">
        <f t="shared" ref="L14" si="7">+L5-L12-L13</f>
        <v>2627.1249999999986</v>
      </c>
      <c r="M14" s="263">
        <f t="shared" ref="M14" si="8">+M5-M12-M13</f>
        <v>2627.1249999999986</v>
      </c>
      <c r="N14" s="268">
        <f t="shared" ref="N14" si="9">+N5-N12-N13</f>
        <v>2627.1249999999986</v>
      </c>
    </row>
    <row r="15" spans="1:15" ht="15.75" thickBot="1">
      <c r="B15" s="258" t="s">
        <v>205</v>
      </c>
      <c r="C15" s="264">
        <f>+C14</f>
        <v>2627.1249999999986</v>
      </c>
      <c r="D15" s="269">
        <f>+C15+D14</f>
        <v>5254.2499999999973</v>
      </c>
      <c r="E15" s="270">
        <f t="shared" ref="E15:J15" si="10">+D15+E14</f>
        <v>7881.3749999999964</v>
      </c>
      <c r="F15" s="269">
        <f t="shared" si="10"/>
        <v>10508.499999999995</v>
      </c>
      <c r="G15" s="270">
        <f t="shared" si="10"/>
        <v>13135.624999999993</v>
      </c>
      <c r="H15" s="269">
        <f t="shared" si="10"/>
        <v>15762.749999999991</v>
      </c>
      <c r="I15" s="270">
        <f t="shared" si="10"/>
        <v>18389.874999999989</v>
      </c>
      <c r="J15" s="269">
        <f t="shared" si="10"/>
        <v>21016.999999999989</v>
      </c>
      <c r="K15" s="270">
        <f>+J15+K14</f>
        <v>23644.124999999989</v>
      </c>
      <c r="L15" s="269">
        <f t="shared" ref="L15" si="11">+K15+L14</f>
        <v>26271.249999999989</v>
      </c>
      <c r="M15" s="270">
        <f t="shared" ref="M15" si="12">+L15+M14</f>
        <v>28898.374999999989</v>
      </c>
      <c r="N15" s="269">
        <f>+M15+N14</f>
        <v>31525.499999999989</v>
      </c>
    </row>
    <row r="16" spans="1:15" s="30" customFormat="1"/>
    <row r="17" s="30" customFormat="1"/>
  </sheetData>
  <mergeCells count="1"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1"/>
  <sheetViews>
    <sheetView topLeftCell="A10" zoomScale="75" zoomScaleNormal="75" workbookViewId="0">
      <pane ySplit="8265" topLeftCell="A30"/>
      <selection activeCell="M5" sqref="M5"/>
      <selection pane="bottomLeft" activeCell="B30" sqref="B30"/>
    </sheetView>
  </sheetViews>
  <sheetFormatPr baseColWidth="10" defaultRowHeight="15"/>
  <cols>
    <col min="1" max="1" width="11.42578125" style="7"/>
    <col min="2" max="2" width="5.28515625" style="30" customWidth="1"/>
    <col min="3" max="3" width="40.42578125" style="7" customWidth="1"/>
    <col min="4" max="6" width="14.28515625" style="7" bestFit="1" customWidth="1"/>
    <col min="7" max="10" width="14.85546875" style="7" bestFit="1" customWidth="1"/>
    <col min="11" max="11" width="3" style="30" customWidth="1"/>
    <col min="12" max="12" width="11.42578125" style="30"/>
    <col min="13" max="13" width="14.28515625" style="7" bestFit="1" customWidth="1"/>
    <col min="14" max="16384" width="11.42578125" style="7"/>
  </cols>
  <sheetData>
    <row r="1" spans="3:10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0">
      <c r="C2" s="26" t="s">
        <v>191</v>
      </c>
      <c r="D2" s="21">
        <v>8.8300000000000003E-2</v>
      </c>
      <c r="E2" s="27"/>
      <c r="G2" s="19"/>
      <c r="H2" s="19"/>
      <c r="I2" s="19"/>
    </row>
    <row r="3" spans="3:10" s="30" customFormat="1">
      <c r="C3" s="26" t="s">
        <v>192</v>
      </c>
      <c r="D3" s="20">
        <v>0.25</v>
      </c>
      <c r="E3" s="27"/>
      <c r="F3" s="7"/>
      <c r="G3" s="19"/>
      <c r="H3" s="19"/>
      <c r="I3" s="19"/>
      <c r="J3" s="7"/>
    </row>
    <row r="4" spans="3:10" s="30" customFormat="1">
      <c r="C4" s="344"/>
      <c r="D4" s="345"/>
      <c r="E4" s="344"/>
      <c r="F4" s="7"/>
      <c r="G4" s="19"/>
      <c r="H4" s="19"/>
      <c r="I4" s="19"/>
      <c r="J4" s="7"/>
    </row>
    <row r="5" spans="3:10" s="30" customFormat="1">
      <c r="C5" s="344"/>
      <c r="D5" s="376"/>
      <c r="E5" s="344"/>
      <c r="F5" s="7"/>
      <c r="G5" s="19"/>
      <c r="H5" s="19"/>
      <c r="I5" s="19"/>
      <c r="J5" s="7"/>
    </row>
    <row r="6" spans="3:10" s="30" customFormat="1">
      <c r="C6" s="344"/>
      <c r="D6" s="345"/>
      <c r="E6" s="344"/>
      <c r="F6" s="7"/>
      <c r="G6" s="19"/>
      <c r="H6" s="19"/>
      <c r="I6" s="19"/>
      <c r="J6" s="7"/>
    </row>
    <row r="7" spans="3:10" s="30" customFormat="1">
      <c r="C7" s="28"/>
      <c r="D7" s="346"/>
      <c r="E7" s="28"/>
      <c r="G7" s="343"/>
      <c r="H7" s="343"/>
      <c r="I7" s="343"/>
    </row>
    <row r="8" spans="3:10" s="377" customFormat="1" ht="15.75" thickBot="1">
      <c r="C8" s="378"/>
      <c r="D8" s="378"/>
      <c r="E8" s="378"/>
      <c r="F8" s="380"/>
      <c r="G8" s="379"/>
      <c r="H8" s="379"/>
      <c r="I8" s="379"/>
    </row>
    <row r="9" spans="3:10" s="30" customFormat="1" ht="16.5" thickBot="1">
      <c r="C9" s="564" t="s">
        <v>306</v>
      </c>
      <c r="D9" s="571"/>
      <c r="E9" s="571"/>
      <c r="F9" s="571"/>
      <c r="G9" s="571"/>
      <c r="H9" s="571"/>
      <c r="I9" s="571"/>
      <c r="J9" s="572"/>
    </row>
    <row r="10" spans="3:10" s="30" customFormat="1" ht="15.75" thickBot="1">
      <c r="C10" s="389"/>
      <c r="D10" s="390"/>
      <c r="E10" s="314">
        <v>0</v>
      </c>
      <c r="F10" s="316">
        <v>1</v>
      </c>
      <c r="G10" s="315">
        <v>2</v>
      </c>
      <c r="H10" s="316">
        <v>3</v>
      </c>
      <c r="I10" s="315">
        <v>4</v>
      </c>
      <c r="J10" s="316">
        <v>5</v>
      </c>
    </row>
    <row r="11" spans="3:10" s="30" customFormat="1">
      <c r="C11" s="562" t="s">
        <v>182</v>
      </c>
      <c r="D11" s="563"/>
      <c r="E11" s="329"/>
      <c r="F11" s="31">
        <f>+Ingresos!D19</f>
        <v>467460</v>
      </c>
      <c r="G11" s="351">
        <f>+F11*(1.1)</f>
        <v>514206.00000000006</v>
      </c>
      <c r="H11" s="31">
        <f t="shared" ref="H11:J11" si="0">+G11*(1.1)</f>
        <v>565626.60000000009</v>
      </c>
      <c r="I11" s="351">
        <f t="shared" si="0"/>
        <v>622189.26000000013</v>
      </c>
      <c r="J11" s="351">
        <f t="shared" si="0"/>
        <v>684408.18600000022</v>
      </c>
    </row>
    <row r="12" spans="3:10" s="30" customFormat="1">
      <c r="C12" s="562"/>
      <c r="D12" s="563"/>
      <c r="E12" s="330"/>
      <c r="F12" s="31"/>
      <c r="G12" s="317"/>
      <c r="H12" s="31"/>
      <c r="I12" s="317"/>
      <c r="J12" s="317"/>
    </row>
    <row r="13" spans="3:10" s="30" customFormat="1">
      <c r="C13" s="562" t="s">
        <v>249</v>
      </c>
      <c r="D13" s="563"/>
      <c r="E13" s="330"/>
      <c r="F13" s="32">
        <f>(+Hoja1!O84)</f>
        <v>300201.3</v>
      </c>
      <c r="G13" s="318">
        <f>+F13*(1+$D$2)</f>
        <v>326709.07478999998</v>
      </c>
      <c r="H13" s="32">
        <f>+G13*(1+$D$2)</f>
        <v>355557.48609395698</v>
      </c>
      <c r="I13" s="318">
        <f>+H13*(1+$D$2)</f>
        <v>386953.21211605339</v>
      </c>
      <c r="J13" s="318">
        <f>+I13*(1+$D$2)</f>
        <v>421121.1807459009</v>
      </c>
    </row>
    <row r="14" spans="3:10" s="30" customFormat="1">
      <c r="C14" s="562"/>
      <c r="D14" s="563"/>
      <c r="E14" s="330"/>
      <c r="F14" s="31"/>
      <c r="G14" s="317"/>
      <c r="H14" s="31"/>
      <c r="I14" s="317"/>
      <c r="J14" s="317"/>
    </row>
    <row r="15" spans="3:10" s="30" customFormat="1">
      <c r="C15" s="562" t="s">
        <v>183</v>
      </c>
      <c r="D15" s="563"/>
      <c r="E15" s="330"/>
      <c r="F15" s="33">
        <f>SUM(F16:F25)</f>
        <v>157161.41600000003</v>
      </c>
      <c r="G15" s="319">
        <f>SUM(G16:G25)</f>
        <v>170086.84292000005</v>
      </c>
      <c r="H15" s="33">
        <f t="shared" ref="H15:J15" si="1">SUM(H16:H25)</f>
        <v>184118.65543703607</v>
      </c>
      <c r="I15" s="319">
        <f t="shared" si="1"/>
        <v>199352.80091932637</v>
      </c>
      <c r="J15" s="319">
        <f t="shared" si="1"/>
        <v>215893.61156370293</v>
      </c>
    </row>
    <row r="16" spans="3:10" s="30" customFormat="1">
      <c r="C16" s="562" t="s">
        <v>201</v>
      </c>
      <c r="D16" s="563"/>
      <c r="E16" s="331"/>
      <c r="F16" s="32">
        <f>Hoja1!T31*12</f>
        <v>97902.000000000029</v>
      </c>
      <c r="G16" s="318">
        <f>F16*1.0883</f>
        <v>106546.74660000004</v>
      </c>
      <c r="H16" s="32">
        <f t="shared" ref="H16:I19" si="2">G16*1.0883</f>
        <v>115954.82432478006</v>
      </c>
      <c r="I16" s="318">
        <f t="shared" si="2"/>
        <v>126193.63531265814</v>
      </c>
      <c r="J16" s="318">
        <f>I16*1.0883</f>
        <v>137336.53331076587</v>
      </c>
    </row>
    <row r="17" spans="2:12" s="30" customFormat="1">
      <c r="C17" s="562" t="s">
        <v>242</v>
      </c>
      <c r="D17" s="563"/>
      <c r="E17" s="331"/>
      <c r="F17" s="32">
        <f>SUM(Hoja1!U23:U30)</f>
        <v>9000</v>
      </c>
      <c r="G17" s="318">
        <f>F17*1.0883</f>
        <v>9794.7000000000007</v>
      </c>
      <c r="H17" s="32">
        <f t="shared" si="2"/>
        <v>10659.572010000002</v>
      </c>
      <c r="I17" s="318">
        <f t="shared" si="2"/>
        <v>11600.812218483003</v>
      </c>
      <c r="J17" s="318">
        <f>I17*1.0883</f>
        <v>12625.163937375053</v>
      </c>
    </row>
    <row r="18" spans="2:12" s="30" customFormat="1">
      <c r="C18" s="562" t="s">
        <v>213</v>
      </c>
      <c r="D18" s="563"/>
      <c r="E18" s="331"/>
      <c r="F18" s="32">
        <f>SUM(Hoja1!V23:V30)</f>
        <v>1920</v>
      </c>
      <c r="G18" s="318">
        <f>F18*1.0883</f>
        <v>2089.5360000000001</v>
      </c>
      <c r="H18" s="32">
        <f t="shared" si="2"/>
        <v>2274.0420288</v>
      </c>
      <c r="I18" s="318">
        <f t="shared" si="2"/>
        <v>2474.83993994304</v>
      </c>
      <c r="J18" s="318">
        <f>I18*1.0883</f>
        <v>2693.3683066400104</v>
      </c>
    </row>
    <row r="19" spans="2:12" s="30" customFormat="1">
      <c r="C19" s="562" t="s">
        <v>214</v>
      </c>
      <c r="D19" s="563"/>
      <c r="E19" s="331"/>
      <c r="F19" s="32">
        <f>SUM(Hoja1!W23:W30)</f>
        <v>4500</v>
      </c>
      <c r="G19" s="318">
        <f>F19*1.0883</f>
        <v>4897.3500000000004</v>
      </c>
      <c r="H19" s="32">
        <f t="shared" si="2"/>
        <v>5329.7860050000008</v>
      </c>
      <c r="I19" s="318">
        <f t="shared" si="2"/>
        <v>5800.4061092415013</v>
      </c>
      <c r="J19" s="318">
        <f>I19*1.0883</f>
        <v>6312.5819686875266</v>
      </c>
      <c r="K19" s="32"/>
    </row>
    <row r="20" spans="2:12">
      <c r="C20" s="562" t="s">
        <v>248</v>
      </c>
      <c r="D20" s="563"/>
      <c r="E20" s="331"/>
      <c r="F20" s="32">
        <f>+'Flujo de Caja mensual'!F18*12</f>
        <v>22730.400000000005</v>
      </c>
      <c r="G20" s="318">
        <f>+F20*1.0883</f>
        <v>24737.494320000005</v>
      </c>
      <c r="H20" s="32">
        <f t="shared" ref="H20:I20" si="3">+G20*1.0883</f>
        <v>26921.815068456006</v>
      </c>
      <c r="I20" s="318">
        <f t="shared" si="3"/>
        <v>29299.011339000674</v>
      </c>
      <c r="J20" s="318">
        <f>+I20*1.0883</f>
        <v>31886.114040234435</v>
      </c>
    </row>
    <row r="21" spans="2:12">
      <c r="C21" s="562" t="s">
        <v>202</v>
      </c>
      <c r="D21" s="563"/>
      <c r="E21" s="331"/>
      <c r="F21" s="32">
        <f>Hoja1!P46</f>
        <v>13440</v>
      </c>
      <c r="G21" s="318">
        <f>+F21*1.05</f>
        <v>14112</v>
      </c>
      <c r="H21" s="32">
        <f t="shared" ref="H21:J21" si="4">+G21*1.05</f>
        <v>14817.6</v>
      </c>
      <c r="I21" s="318">
        <f t="shared" si="4"/>
        <v>15558.480000000001</v>
      </c>
      <c r="J21" s="318">
        <f t="shared" si="4"/>
        <v>16336.404000000002</v>
      </c>
    </row>
    <row r="22" spans="2:12">
      <c r="C22" s="562" t="s">
        <v>212</v>
      </c>
      <c r="D22" s="563"/>
      <c r="E22" s="331"/>
      <c r="F22" s="32">
        <f>Hoja1!P51</f>
        <v>4800</v>
      </c>
      <c r="G22" s="318">
        <f>F22*1.05</f>
        <v>5040</v>
      </c>
      <c r="H22" s="32">
        <f t="shared" ref="H22:I22" si="5">G22*1.05</f>
        <v>5292</v>
      </c>
      <c r="I22" s="318">
        <f t="shared" si="5"/>
        <v>5556.6</v>
      </c>
      <c r="J22" s="318">
        <f>I22*1.05</f>
        <v>5834.43</v>
      </c>
    </row>
    <row r="23" spans="2:12">
      <c r="C23" s="562" t="s">
        <v>250</v>
      </c>
      <c r="D23" s="563"/>
      <c r="E23" s="330"/>
      <c r="F23" s="32">
        <f>Hoja1!$H$15</f>
        <v>1030.1759999999999</v>
      </c>
      <c r="G23" s="318">
        <f>Hoja1!$H$15</f>
        <v>1030.1759999999999</v>
      </c>
      <c r="H23" s="32">
        <f>Hoja1!$H$15</f>
        <v>1030.1759999999999</v>
      </c>
      <c r="I23" s="318">
        <f>Hoja1!$H$15</f>
        <v>1030.1759999999999</v>
      </c>
      <c r="J23" s="318">
        <f>Hoja1!$H$15</f>
        <v>1030.1759999999999</v>
      </c>
      <c r="L23" s="347"/>
    </row>
    <row r="24" spans="2:12">
      <c r="C24" s="562" t="s">
        <v>251</v>
      </c>
      <c r="D24" s="563"/>
      <c r="E24" s="330"/>
      <c r="F24" s="32">
        <f>Hoja1!$H$51</f>
        <v>1038.8400000000001</v>
      </c>
      <c r="G24" s="318">
        <f>Hoja1!$H$51</f>
        <v>1038.8400000000001</v>
      </c>
      <c r="H24" s="32">
        <f>Hoja1!$H$51</f>
        <v>1038.8400000000001</v>
      </c>
      <c r="I24" s="318">
        <f>Hoja1!$H$51</f>
        <v>1038.8400000000001</v>
      </c>
      <c r="J24" s="318">
        <f>Hoja1!$H$51</f>
        <v>1038.8400000000001</v>
      </c>
    </row>
    <row r="25" spans="2:12">
      <c r="C25" s="562" t="s">
        <v>217</v>
      </c>
      <c r="D25" s="563"/>
      <c r="E25" s="332"/>
      <c r="F25" s="32">
        <f>Hoja1!$H$61</f>
        <v>800</v>
      </c>
      <c r="G25" s="318">
        <f>Hoja1!$H$61</f>
        <v>800</v>
      </c>
      <c r="H25" s="32">
        <f>Hoja1!$H$61</f>
        <v>800</v>
      </c>
      <c r="I25" s="318">
        <f>Hoja1!$H$61</f>
        <v>800</v>
      </c>
      <c r="J25" s="318">
        <f>Hoja1!$H$61</f>
        <v>800</v>
      </c>
    </row>
    <row r="26" spans="2:12">
      <c r="C26" s="562" t="s">
        <v>243</v>
      </c>
      <c r="D26" s="563"/>
      <c r="E26" s="333"/>
      <c r="F26" s="32">
        <f>Hoja1!$P$11</f>
        <v>7093.2</v>
      </c>
      <c r="G26" s="318">
        <f>+F26*1.05</f>
        <v>7447.86</v>
      </c>
      <c r="H26" s="32">
        <f t="shared" ref="H26:I26" si="6">+G26*1.05</f>
        <v>7820.2529999999997</v>
      </c>
      <c r="I26" s="318">
        <f t="shared" si="6"/>
        <v>8211.2656499999994</v>
      </c>
      <c r="J26" s="318">
        <f>+I26*1.05</f>
        <v>8621.8289325000005</v>
      </c>
    </row>
    <row r="27" spans="2:12" s="122" customFormat="1">
      <c r="B27" s="23"/>
      <c r="C27" s="569" t="s">
        <v>314</v>
      </c>
      <c r="D27" s="570"/>
      <c r="E27" s="334"/>
      <c r="F27" s="34">
        <f>+F11-F13-F15-F26</f>
        <v>3004.0839999999853</v>
      </c>
      <c r="G27" s="321">
        <f t="shared" ref="G27:J27" si="7">+G11-G13-G15-G26</f>
        <v>9962.2222900000197</v>
      </c>
      <c r="H27" s="34">
        <f t="shared" si="7"/>
        <v>18130.205469007047</v>
      </c>
      <c r="I27" s="321">
        <f t="shared" si="7"/>
        <v>27671.981314620367</v>
      </c>
      <c r="J27" s="321">
        <f t="shared" si="7"/>
        <v>38771.564757896391</v>
      </c>
      <c r="K27" s="23"/>
      <c r="L27" s="23"/>
    </row>
    <row r="28" spans="2:12">
      <c r="C28" s="562" t="s">
        <v>184</v>
      </c>
      <c r="D28" s="563"/>
      <c r="E28" s="330"/>
      <c r="F28" s="125">
        <f>Prestamo!E19</f>
        <v>2967.6017679543156</v>
      </c>
      <c r="G28" s="320">
        <f>Prestamo!F19</f>
        <v>2512.8074694483294</v>
      </c>
      <c r="H28" s="125">
        <f>Prestamo!G19</f>
        <v>1980.0614281784178</v>
      </c>
      <c r="I28" s="320">
        <f>Prestamo!H19</f>
        <v>1356.0027154348425</v>
      </c>
      <c r="J28" s="320">
        <f>Prestamo!I19</f>
        <v>624.98033932701844</v>
      </c>
    </row>
    <row r="29" spans="2:12">
      <c r="C29" s="569" t="s">
        <v>252</v>
      </c>
      <c r="D29" s="570"/>
      <c r="E29" s="334"/>
      <c r="F29" s="34">
        <f>F27-F28</f>
        <v>36.482232045669662</v>
      </c>
      <c r="G29" s="321">
        <f>G27-G28</f>
        <v>7449.4148205516904</v>
      </c>
      <c r="H29" s="34">
        <f>H27-H28</f>
        <v>16150.144040828629</v>
      </c>
      <c r="I29" s="321">
        <f>I27-I28</f>
        <v>26315.978599185524</v>
      </c>
      <c r="J29" s="321">
        <f>J27-J28</f>
        <v>38146.584418569371</v>
      </c>
    </row>
    <row r="30" spans="2:12">
      <c r="C30" s="562" t="s">
        <v>185</v>
      </c>
      <c r="D30" s="563"/>
      <c r="E30" s="335"/>
      <c r="F30" s="125">
        <f>F29*15%</f>
        <v>5.4723348068504487</v>
      </c>
      <c r="G30" s="320">
        <f>G29*15%</f>
        <v>1117.4122230827536</v>
      </c>
      <c r="H30" s="125">
        <f>H29*15%</f>
        <v>2422.5216061242941</v>
      </c>
      <c r="I30" s="320">
        <f>I29*15%</f>
        <v>3947.3967898778283</v>
      </c>
      <c r="J30" s="320">
        <f>J29*15%</f>
        <v>5721.9876627854055</v>
      </c>
    </row>
    <row r="31" spans="2:12">
      <c r="C31" s="562" t="s">
        <v>252</v>
      </c>
      <c r="D31" s="563"/>
      <c r="E31" s="334"/>
      <c r="F31" s="34">
        <f>F29-F30</f>
        <v>31.009897238819214</v>
      </c>
      <c r="G31" s="321">
        <f t="shared" ref="G31:J31" si="8">G29-G30</f>
        <v>6332.002597468937</v>
      </c>
      <c r="H31" s="34">
        <f t="shared" si="8"/>
        <v>13727.622434704335</v>
      </c>
      <c r="I31" s="321">
        <f t="shared" si="8"/>
        <v>22368.581809307696</v>
      </c>
      <c r="J31" s="321">
        <f t="shared" si="8"/>
        <v>32424.596755783965</v>
      </c>
    </row>
    <row r="32" spans="2:12" ht="15.75" thickBot="1">
      <c r="C32" s="574" t="s">
        <v>253</v>
      </c>
      <c r="D32" s="575"/>
      <c r="E32" s="386"/>
      <c r="F32" s="31">
        <f>F31*$D$3</f>
        <v>7.7524743097048034</v>
      </c>
      <c r="G32" s="325">
        <f>G31*$D$3</f>
        <v>1583.0006493672342</v>
      </c>
      <c r="H32" s="31">
        <f>H31*$D$3</f>
        <v>3431.9056086760838</v>
      </c>
      <c r="I32" s="325">
        <f>I31*$D$3</f>
        <v>5592.145452326924</v>
      </c>
      <c r="J32" s="325">
        <f>J31*$D$3</f>
        <v>8106.1491889459912</v>
      </c>
    </row>
    <row r="33" spans="3:12" ht="15.75" thickBot="1">
      <c r="C33" s="567" t="s">
        <v>186</v>
      </c>
      <c r="D33" s="573"/>
      <c r="E33" s="358"/>
      <c r="F33" s="349">
        <f>F31-F32</f>
        <v>23.257422929114412</v>
      </c>
      <c r="G33" s="350">
        <f t="shared" ref="G33:J33" si="9">G31-G32</f>
        <v>4749.0019481017025</v>
      </c>
      <c r="H33" s="349">
        <f t="shared" si="9"/>
        <v>10295.716826028252</v>
      </c>
      <c r="I33" s="350">
        <f t="shared" si="9"/>
        <v>16776.436356980772</v>
      </c>
      <c r="J33" s="349">
        <f t="shared" si="9"/>
        <v>24318.447566837975</v>
      </c>
      <c r="L33" s="40"/>
    </row>
    <row r="34" spans="3:12" s="30" customFormat="1">
      <c r="E34" s="37"/>
      <c r="F34" s="23"/>
      <c r="G34" s="23"/>
      <c r="H34" s="23"/>
      <c r="I34" s="23"/>
      <c r="J34" s="23"/>
    </row>
    <row r="35" spans="3:12" s="30" customFormat="1"/>
    <row r="36" spans="3:12" s="30" customFormat="1"/>
    <row r="41" spans="3:12">
      <c r="D41" s="30"/>
    </row>
  </sheetData>
  <mergeCells count="24"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C9:J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verticalDpi="0" r:id="rId1"/>
  <ignoredErrors>
    <ignoredError sqref="F30:M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topLeftCell="A8" zoomScale="75" zoomScaleNormal="75" workbookViewId="0">
      <pane ySplit="8265" topLeftCell="A30"/>
      <selection activeCell="C7" sqref="C7:Q39"/>
      <selection pane="bottomLeft" activeCell="E48" sqref="E48"/>
    </sheetView>
  </sheetViews>
  <sheetFormatPr baseColWidth="10" defaultRowHeight="15"/>
  <cols>
    <col min="1" max="1" width="11.42578125" style="30"/>
    <col min="2" max="2" width="3.42578125" style="30" customWidth="1"/>
    <col min="3" max="3" width="41" style="7" customWidth="1"/>
    <col min="4" max="4" width="3" style="7" hidden="1" customWidth="1"/>
    <col min="5" max="5" width="12.5703125" style="7" bestFit="1" customWidth="1"/>
    <col min="6" max="7" width="12" style="7" bestFit="1" customWidth="1"/>
    <col min="8" max="8" width="14.28515625" style="7" customWidth="1"/>
    <col min="9" max="17" width="12" style="7" bestFit="1" customWidth="1"/>
    <col min="18" max="19" width="1.85546875" style="30" customWidth="1"/>
    <col min="20" max="16384" width="11.42578125" style="7"/>
  </cols>
  <sheetData>
    <row r="1" spans="3:17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7">
      <c r="C2" s="26" t="s">
        <v>191</v>
      </c>
      <c r="D2" s="21">
        <v>8.8300000000000003E-2</v>
      </c>
      <c r="E2" s="27"/>
      <c r="G2" s="19"/>
      <c r="H2" s="19"/>
      <c r="I2" s="19"/>
    </row>
    <row r="3" spans="3:17">
      <c r="C3" s="26" t="s">
        <v>192</v>
      </c>
      <c r="D3" s="20">
        <v>0.25</v>
      </c>
      <c r="E3" s="27"/>
      <c r="G3" s="19"/>
      <c r="H3" s="19"/>
      <c r="I3" s="19"/>
    </row>
    <row r="4" spans="3:17">
      <c r="C4" s="344"/>
      <c r="D4" s="345"/>
      <c r="E4" s="344"/>
      <c r="G4" s="19"/>
      <c r="H4" s="19"/>
      <c r="I4" s="19"/>
    </row>
    <row r="5" spans="3:17" s="30" customFormat="1">
      <c r="C5" s="28"/>
      <c r="D5" s="346"/>
      <c r="E5" s="28"/>
      <c r="G5" s="343"/>
      <c r="H5" s="343"/>
      <c r="I5" s="343"/>
    </row>
    <row r="6" spans="3:17" s="30" customFormat="1" ht="15.75" thickBot="1">
      <c r="C6" s="341"/>
      <c r="D6" s="341"/>
      <c r="E6" s="341"/>
      <c r="F6" s="342">
        <v>0.05</v>
      </c>
      <c r="G6" s="343"/>
      <c r="H6" s="343"/>
      <c r="I6" s="343"/>
    </row>
    <row r="7" spans="3:17" ht="16.5" thickBot="1">
      <c r="C7" s="564" t="s">
        <v>187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3"/>
    </row>
    <row r="8" spans="3:17" ht="15.75" thickBot="1">
      <c r="C8" s="565"/>
      <c r="D8" s="566"/>
      <c r="E8" s="354">
        <v>0</v>
      </c>
      <c r="F8" s="355" t="s">
        <v>117</v>
      </c>
      <c r="G8" s="356" t="s">
        <v>118</v>
      </c>
      <c r="H8" s="355" t="s">
        <v>119</v>
      </c>
      <c r="I8" s="356" t="s">
        <v>120</v>
      </c>
      <c r="J8" s="355" t="s">
        <v>121</v>
      </c>
      <c r="K8" s="356" t="s">
        <v>122</v>
      </c>
      <c r="L8" s="355" t="s">
        <v>123</v>
      </c>
      <c r="M8" s="356" t="s">
        <v>124</v>
      </c>
      <c r="N8" s="355" t="s">
        <v>125</v>
      </c>
      <c r="O8" s="356" t="s">
        <v>126</v>
      </c>
      <c r="P8" s="355" t="s">
        <v>127</v>
      </c>
      <c r="Q8" s="357" t="s">
        <v>128</v>
      </c>
    </row>
    <row r="9" spans="3:17">
      <c r="C9" s="562" t="s">
        <v>182</v>
      </c>
      <c r="D9" s="563"/>
      <c r="E9" s="329"/>
      <c r="F9" s="351">
        <f>+Ingresos!D12</f>
        <v>38955</v>
      </c>
      <c r="G9" s="31">
        <f>+Ingresos!E12</f>
        <v>38955</v>
      </c>
      <c r="H9" s="351">
        <f>+Ingresos!F12</f>
        <v>38955</v>
      </c>
      <c r="I9" s="31">
        <f>+Ingresos!G12</f>
        <v>38955</v>
      </c>
      <c r="J9" s="351">
        <f>+Ingresos!H12</f>
        <v>38955</v>
      </c>
      <c r="K9" s="31">
        <f>+Ingresos!I12</f>
        <v>38955</v>
      </c>
      <c r="L9" s="351">
        <f>+Ingresos!J12</f>
        <v>38955</v>
      </c>
      <c r="M9" s="31">
        <f>+Ingresos!K12</f>
        <v>38955</v>
      </c>
      <c r="N9" s="351">
        <f>+Ingresos!L12</f>
        <v>38955</v>
      </c>
      <c r="O9" s="31">
        <f>+Ingresos!M12</f>
        <v>38955</v>
      </c>
      <c r="P9" s="351">
        <f>+Ingresos!N12</f>
        <v>38955</v>
      </c>
      <c r="Q9" s="351">
        <f>+Ingresos!O12</f>
        <v>38955</v>
      </c>
    </row>
    <row r="10" spans="3:17">
      <c r="C10" s="562"/>
      <c r="D10" s="563"/>
      <c r="E10" s="330"/>
      <c r="F10" s="317"/>
      <c r="G10" s="31"/>
      <c r="H10" s="317"/>
      <c r="I10" s="31"/>
      <c r="J10" s="317"/>
      <c r="K10" s="30"/>
      <c r="L10" s="353"/>
      <c r="N10" s="353"/>
      <c r="P10" s="353"/>
      <c r="Q10" s="353"/>
    </row>
    <row r="11" spans="3:17">
      <c r="C11" s="562" t="s">
        <v>249</v>
      </c>
      <c r="D11" s="563"/>
      <c r="E11" s="330"/>
      <c r="F11" s="318">
        <f>+Hoja1!$N$84</f>
        <v>25016.775000000001</v>
      </c>
      <c r="G11" s="32">
        <f>+Hoja1!$N$84</f>
        <v>25016.775000000001</v>
      </c>
      <c r="H11" s="318">
        <f>+Hoja1!$N$84</f>
        <v>25016.775000000001</v>
      </c>
      <c r="I11" s="32">
        <f>+Hoja1!$N$84</f>
        <v>25016.775000000001</v>
      </c>
      <c r="J11" s="318">
        <f>+Hoja1!$N$84</f>
        <v>25016.775000000001</v>
      </c>
      <c r="K11" s="32">
        <f>+Hoja1!$N$84</f>
        <v>25016.775000000001</v>
      </c>
      <c r="L11" s="318">
        <f>+Hoja1!$N$84</f>
        <v>25016.775000000001</v>
      </c>
      <c r="M11" s="32">
        <f>+Hoja1!$N$84</f>
        <v>25016.775000000001</v>
      </c>
      <c r="N11" s="318">
        <f>+Hoja1!$N$84</f>
        <v>25016.775000000001</v>
      </c>
      <c r="O11" s="32">
        <f>+Hoja1!$N$84</f>
        <v>25016.775000000001</v>
      </c>
      <c r="P11" s="318">
        <f>+Hoja1!$N$84</f>
        <v>25016.775000000001</v>
      </c>
      <c r="Q11" s="318">
        <f>+Hoja1!$N$84</f>
        <v>25016.775000000001</v>
      </c>
    </row>
    <row r="12" spans="3:17">
      <c r="C12" s="562"/>
      <c r="D12" s="563"/>
      <c r="E12" s="330"/>
      <c r="F12" s="317"/>
      <c r="G12" s="31"/>
      <c r="H12" s="317"/>
      <c r="I12" s="31"/>
      <c r="J12" s="317"/>
      <c r="K12" s="30"/>
      <c r="L12" s="353"/>
      <c r="N12" s="353"/>
      <c r="P12" s="353"/>
      <c r="Q12" s="353"/>
    </row>
    <row r="13" spans="3:17">
      <c r="C13" s="562" t="s">
        <v>183</v>
      </c>
      <c r="D13" s="563"/>
      <c r="E13" s="330"/>
      <c r="F13" s="319">
        <f>SUM(F14:F23)</f>
        <v>13096.784666666668</v>
      </c>
      <c r="G13" s="33">
        <f>SUM(G14:G23)</f>
        <v>13096.784666666668</v>
      </c>
      <c r="H13" s="319">
        <f t="shared" ref="H13:Q13" si="0">SUM(H14:H23)</f>
        <v>13096.784666666668</v>
      </c>
      <c r="I13" s="33">
        <f t="shared" si="0"/>
        <v>13096.784666666668</v>
      </c>
      <c r="J13" s="319">
        <f t="shared" si="0"/>
        <v>13096.784666666668</v>
      </c>
      <c r="K13" s="33">
        <f t="shared" si="0"/>
        <v>13096.784666666668</v>
      </c>
      <c r="L13" s="319">
        <f t="shared" si="0"/>
        <v>13096.784666666668</v>
      </c>
      <c r="M13" s="33">
        <f t="shared" si="0"/>
        <v>13096.784666666668</v>
      </c>
      <c r="N13" s="319">
        <f t="shared" si="0"/>
        <v>13096.784666666668</v>
      </c>
      <c r="O13" s="33">
        <f t="shared" si="0"/>
        <v>13096.784666666668</v>
      </c>
      <c r="P13" s="319">
        <f t="shared" si="0"/>
        <v>13096.784666666668</v>
      </c>
      <c r="Q13" s="319">
        <f t="shared" si="0"/>
        <v>13096.784666666668</v>
      </c>
    </row>
    <row r="14" spans="3:17">
      <c r="C14" s="562" t="s">
        <v>201</v>
      </c>
      <c r="D14" s="563"/>
      <c r="E14" s="331"/>
      <c r="F14" s="318">
        <f>Hoja1!T31</f>
        <v>8158.5000000000018</v>
      </c>
      <c r="G14" s="32">
        <f>F14</f>
        <v>8158.5000000000018</v>
      </c>
      <c r="H14" s="318">
        <f t="shared" ref="H14:Q17" si="1">G14</f>
        <v>8158.5000000000018</v>
      </c>
      <c r="I14" s="32">
        <f t="shared" si="1"/>
        <v>8158.5000000000018</v>
      </c>
      <c r="J14" s="318">
        <f t="shared" si="1"/>
        <v>8158.5000000000018</v>
      </c>
      <c r="K14" s="32">
        <f t="shared" si="1"/>
        <v>8158.5000000000018</v>
      </c>
      <c r="L14" s="318">
        <f t="shared" si="1"/>
        <v>8158.5000000000018</v>
      </c>
      <c r="M14" s="32">
        <f t="shared" si="1"/>
        <v>8158.5000000000018</v>
      </c>
      <c r="N14" s="318">
        <f t="shared" si="1"/>
        <v>8158.5000000000018</v>
      </c>
      <c r="O14" s="32">
        <f t="shared" si="1"/>
        <v>8158.5000000000018</v>
      </c>
      <c r="P14" s="318">
        <f t="shared" si="1"/>
        <v>8158.5000000000018</v>
      </c>
      <c r="Q14" s="318">
        <f t="shared" si="1"/>
        <v>8158.5000000000018</v>
      </c>
    </row>
    <row r="15" spans="3:17">
      <c r="C15" s="562" t="s">
        <v>242</v>
      </c>
      <c r="D15" s="563"/>
      <c r="E15" s="331"/>
      <c r="F15" s="318">
        <f>SUM(Hoja1!U23:U30)/12</f>
        <v>750</v>
      </c>
      <c r="G15" s="32">
        <f>F15</f>
        <v>750</v>
      </c>
      <c r="H15" s="318">
        <f t="shared" si="1"/>
        <v>750</v>
      </c>
      <c r="I15" s="32">
        <f t="shared" si="1"/>
        <v>750</v>
      </c>
      <c r="J15" s="318">
        <f t="shared" si="1"/>
        <v>750</v>
      </c>
      <c r="K15" s="32">
        <f t="shared" si="1"/>
        <v>750</v>
      </c>
      <c r="L15" s="318">
        <f t="shared" si="1"/>
        <v>750</v>
      </c>
      <c r="M15" s="32">
        <f t="shared" si="1"/>
        <v>750</v>
      </c>
      <c r="N15" s="318">
        <f t="shared" si="1"/>
        <v>750</v>
      </c>
      <c r="O15" s="32">
        <f t="shared" si="1"/>
        <v>750</v>
      </c>
      <c r="P15" s="318">
        <f t="shared" si="1"/>
        <v>750</v>
      </c>
      <c r="Q15" s="318">
        <f t="shared" si="1"/>
        <v>750</v>
      </c>
    </row>
    <row r="16" spans="3:17">
      <c r="C16" s="562" t="s">
        <v>213</v>
      </c>
      <c r="D16" s="563"/>
      <c r="E16" s="331"/>
      <c r="F16" s="318">
        <f>SUM(Hoja1!V23:V30)/12</f>
        <v>160</v>
      </c>
      <c r="G16" s="32">
        <f>F16</f>
        <v>160</v>
      </c>
      <c r="H16" s="318">
        <f t="shared" si="1"/>
        <v>160</v>
      </c>
      <c r="I16" s="32">
        <f t="shared" si="1"/>
        <v>160</v>
      </c>
      <c r="J16" s="318">
        <f t="shared" si="1"/>
        <v>160</v>
      </c>
      <c r="K16" s="32">
        <f t="shared" si="1"/>
        <v>160</v>
      </c>
      <c r="L16" s="318">
        <f t="shared" si="1"/>
        <v>160</v>
      </c>
      <c r="M16" s="32">
        <f t="shared" si="1"/>
        <v>160</v>
      </c>
      <c r="N16" s="318">
        <f t="shared" si="1"/>
        <v>160</v>
      </c>
      <c r="O16" s="32">
        <f t="shared" si="1"/>
        <v>160</v>
      </c>
      <c r="P16" s="318">
        <f t="shared" si="1"/>
        <v>160</v>
      </c>
      <c r="Q16" s="318">
        <f t="shared" si="1"/>
        <v>160</v>
      </c>
    </row>
    <row r="17" spans="3:20">
      <c r="C17" s="562" t="s">
        <v>214</v>
      </c>
      <c r="D17" s="563"/>
      <c r="E17" s="331"/>
      <c r="F17" s="318">
        <f>SUM(Hoja1!W23:W30)/12</f>
        <v>375</v>
      </c>
      <c r="G17" s="32">
        <f>F17</f>
        <v>375</v>
      </c>
      <c r="H17" s="318">
        <f t="shared" si="1"/>
        <v>375</v>
      </c>
      <c r="I17" s="32">
        <f t="shared" si="1"/>
        <v>375</v>
      </c>
      <c r="J17" s="318">
        <f t="shared" si="1"/>
        <v>375</v>
      </c>
      <c r="K17" s="32">
        <f t="shared" si="1"/>
        <v>375</v>
      </c>
      <c r="L17" s="318">
        <f t="shared" si="1"/>
        <v>375</v>
      </c>
      <c r="M17" s="32">
        <f t="shared" si="1"/>
        <v>375</v>
      </c>
      <c r="N17" s="318">
        <f t="shared" si="1"/>
        <v>375</v>
      </c>
      <c r="O17" s="32">
        <f t="shared" si="1"/>
        <v>375</v>
      </c>
      <c r="P17" s="318">
        <f t="shared" si="1"/>
        <v>375</v>
      </c>
      <c r="Q17" s="318">
        <f t="shared" si="1"/>
        <v>375</v>
      </c>
    </row>
    <row r="18" spans="3:20">
      <c r="C18" s="562" t="s">
        <v>248</v>
      </c>
      <c r="D18" s="563"/>
      <c r="E18" s="331"/>
      <c r="F18" s="318">
        <f>+'Aportaciones al IESS'!$D$30+'Aportaciones al IESS'!$E$30</f>
        <v>1894.2000000000005</v>
      </c>
      <c r="G18" s="32">
        <f>+'Aportaciones al IESS'!$D$30+'Aportaciones al IESS'!$E$30</f>
        <v>1894.2000000000005</v>
      </c>
      <c r="H18" s="318">
        <f>+'Aportaciones al IESS'!$D$30+'Aportaciones al IESS'!$E$30</f>
        <v>1894.2000000000005</v>
      </c>
      <c r="I18" s="32">
        <f>+'Aportaciones al IESS'!$D$30+'Aportaciones al IESS'!$E$30</f>
        <v>1894.2000000000005</v>
      </c>
      <c r="J18" s="318">
        <f>+'Aportaciones al IESS'!$D$30+'Aportaciones al IESS'!$E$30</f>
        <v>1894.2000000000005</v>
      </c>
      <c r="K18" s="32">
        <f>+'Aportaciones al IESS'!$D$30+'Aportaciones al IESS'!$E$30</f>
        <v>1894.2000000000005</v>
      </c>
      <c r="L18" s="318">
        <f>+'Aportaciones al IESS'!$D$30+'Aportaciones al IESS'!$E$30</f>
        <v>1894.2000000000005</v>
      </c>
      <c r="M18" s="32">
        <f>+'Aportaciones al IESS'!$D$30+'Aportaciones al IESS'!$E$30</f>
        <v>1894.2000000000005</v>
      </c>
      <c r="N18" s="318">
        <f>+'Aportaciones al IESS'!$D$30+'Aportaciones al IESS'!$E$30</f>
        <v>1894.2000000000005</v>
      </c>
      <c r="O18" s="32">
        <f>+'Aportaciones al IESS'!$D$30+'Aportaciones al IESS'!$E$30</f>
        <v>1894.2000000000005</v>
      </c>
      <c r="P18" s="318">
        <f>+'Aportaciones al IESS'!$D$30+'Aportaciones al IESS'!$E$30</f>
        <v>1894.2000000000005</v>
      </c>
      <c r="Q18" s="318">
        <f>+'Aportaciones al IESS'!$D$30+'Aportaciones al IESS'!$E$30</f>
        <v>1894.2000000000005</v>
      </c>
      <c r="T18" s="7" t="s">
        <v>313</v>
      </c>
    </row>
    <row r="19" spans="3:20">
      <c r="C19" s="562" t="s">
        <v>202</v>
      </c>
      <c r="D19" s="563"/>
      <c r="E19" s="331"/>
      <c r="F19" s="318">
        <f>+Hoja1!$O$46</f>
        <v>1120</v>
      </c>
      <c r="G19" s="32">
        <f>+Hoja1!$O$46</f>
        <v>1120</v>
      </c>
      <c r="H19" s="318">
        <f>+Hoja1!$O$46</f>
        <v>1120</v>
      </c>
      <c r="I19" s="32">
        <f>+Hoja1!$O$46</f>
        <v>1120</v>
      </c>
      <c r="J19" s="318">
        <f>+Hoja1!$O$46</f>
        <v>1120</v>
      </c>
      <c r="K19" s="32">
        <f>+Hoja1!$O$46</f>
        <v>1120</v>
      </c>
      <c r="L19" s="318">
        <f>+Hoja1!$O$46</f>
        <v>1120</v>
      </c>
      <c r="M19" s="32">
        <f>+Hoja1!$O$46</f>
        <v>1120</v>
      </c>
      <c r="N19" s="318">
        <f>+Hoja1!$O$46</f>
        <v>1120</v>
      </c>
      <c r="O19" s="32">
        <f>+Hoja1!$O$46</f>
        <v>1120</v>
      </c>
      <c r="P19" s="318">
        <f>+Hoja1!$O$46</f>
        <v>1120</v>
      </c>
      <c r="Q19" s="318">
        <f>+Hoja1!$O$46</f>
        <v>1120</v>
      </c>
    </row>
    <row r="20" spans="3:20">
      <c r="C20" s="562" t="s">
        <v>212</v>
      </c>
      <c r="D20" s="563"/>
      <c r="E20" s="331"/>
      <c r="F20" s="318">
        <f>+Hoja1!$O$51</f>
        <v>400</v>
      </c>
      <c r="G20" s="32">
        <f>+Hoja1!$O$51</f>
        <v>400</v>
      </c>
      <c r="H20" s="318">
        <f>+Hoja1!$O$51</f>
        <v>400</v>
      </c>
      <c r="I20" s="32">
        <f>+Hoja1!$O$51</f>
        <v>400</v>
      </c>
      <c r="J20" s="318">
        <f>+Hoja1!$O$51</f>
        <v>400</v>
      </c>
      <c r="K20" s="32">
        <f>+Hoja1!$O$51</f>
        <v>400</v>
      </c>
      <c r="L20" s="318">
        <f>+Hoja1!$O$51</f>
        <v>400</v>
      </c>
      <c r="M20" s="32">
        <f>+Hoja1!$O$51</f>
        <v>400</v>
      </c>
      <c r="N20" s="318">
        <f>+Hoja1!$O$51</f>
        <v>400</v>
      </c>
      <c r="O20" s="32">
        <f>+Hoja1!$O$51</f>
        <v>400</v>
      </c>
      <c r="P20" s="318">
        <f>+Hoja1!$O$51</f>
        <v>400</v>
      </c>
      <c r="Q20" s="318">
        <f>+Hoja1!$O$51</f>
        <v>400</v>
      </c>
    </row>
    <row r="21" spans="3:20">
      <c r="C21" s="562" t="s">
        <v>250</v>
      </c>
      <c r="D21" s="563"/>
      <c r="E21" s="330"/>
      <c r="F21" s="318">
        <f>(Hoja1!$H$15)/12</f>
        <v>85.847999999999999</v>
      </c>
      <c r="G21" s="32">
        <f>(Hoja1!$H$15)/12</f>
        <v>85.847999999999999</v>
      </c>
      <c r="H21" s="318">
        <f>(Hoja1!$H$15)/12</f>
        <v>85.847999999999999</v>
      </c>
      <c r="I21" s="32">
        <f>(Hoja1!$H$15)/12</f>
        <v>85.847999999999999</v>
      </c>
      <c r="J21" s="318">
        <f>(Hoja1!$H$15)/12</f>
        <v>85.847999999999999</v>
      </c>
      <c r="K21" s="32">
        <f>(Hoja1!$H$15)/12</f>
        <v>85.847999999999999</v>
      </c>
      <c r="L21" s="318">
        <f>(Hoja1!$H$15)/12</f>
        <v>85.847999999999999</v>
      </c>
      <c r="M21" s="32">
        <f>(Hoja1!$H$15)/12</f>
        <v>85.847999999999999</v>
      </c>
      <c r="N21" s="318">
        <f>(Hoja1!$H$15)/12</f>
        <v>85.847999999999999</v>
      </c>
      <c r="O21" s="32">
        <f>(Hoja1!$H$15)/12</f>
        <v>85.847999999999999</v>
      </c>
      <c r="P21" s="318">
        <f>(Hoja1!$H$15)/12</f>
        <v>85.847999999999999</v>
      </c>
      <c r="Q21" s="318">
        <f>(Hoja1!$H$15)/12</f>
        <v>85.847999999999999</v>
      </c>
    </row>
    <row r="22" spans="3:20">
      <c r="C22" s="562" t="s">
        <v>251</v>
      </c>
      <c r="D22" s="563"/>
      <c r="E22" s="330"/>
      <c r="F22" s="318">
        <f>(Hoja1!$H$51)/12</f>
        <v>86.570000000000007</v>
      </c>
      <c r="G22" s="32">
        <f>(Hoja1!$H$51)/12</f>
        <v>86.570000000000007</v>
      </c>
      <c r="H22" s="318">
        <f>(Hoja1!$H$51)/12</f>
        <v>86.570000000000007</v>
      </c>
      <c r="I22" s="32">
        <f>(Hoja1!$H$51)/12</f>
        <v>86.570000000000007</v>
      </c>
      <c r="J22" s="318">
        <f>(Hoja1!$H$51)/12</f>
        <v>86.570000000000007</v>
      </c>
      <c r="K22" s="32">
        <f>(Hoja1!$H$51)/12</f>
        <v>86.570000000000007</v>
      </c>
      <c r="L22" s="318">
        <f>(Hoja1!$H$51)/12</f>
        <v>86.570000000000007</v>
      </c>
      <c r="M22" s="32">
        <f>(Hoja1!$H$51)/12</f>
        <v>86.570000000000007</v>
      </c>
      <c r="N22" s="318">
        <f>(Hoja1!$H$51)/12</f>
        <v>86.570000000000007</v>
      </c>
      <c r="O22" s="32">
        <f>(Hoja1!$H$51)/12</f>
        <v>86.570000000000007</v>
      </c>
      <c r="P22" s="318">
        <f>(Hoja1!$H$51)/12</f>
        <v>86.570000000000007</v>
      </c>
      <c r="Q22" s="318">
        <f>(Hoja1!$H$51)/12</f>
        <v>86.570000000000007</v>
      </c>
    </row>
    <row r="23" spans="3:20">
      <c r="C23" s="562" t="s">
        <v>217</v>
      </c>
      <c r="D23" s="563"/>
      <c r="E23" s="332"/>
      <c r="F23" s="318">
        <f>(Hoja1!$H$61)/12</f>
        <v>66.666666666666671</v>
      </c>
      <c r="G23" s="32">
        <f>(Hoja1!$H$61)/12</f>
        <v>66.666666666666671</v>
      </c>
      <c r="H23" s="318">
        <f>(Hoja1!$H$61)/12</f>
        <v>66.666666666666671</v>
      </c>
      <c r="I23" s="32">
        <f>(Hoja1!$H$61)/12</f>
        <v>66.666666666666671</v>
      </c>
      <c r="J23" s="318">
        <f>(Hoja1!$H$61)/12</f>
        <v>66.666666666666671</v>
      </c>
      <c r="K23" s="32">
        <f>(Hoja1!$H$61)/12</f>
        <v>66.666666666666671</v>
      </c>
      <c r="L23" s="318">
        <f>(Hoja1!$H$61)/12</f>
        <v>66.666666666666671</v>
      </c>
      <c r="M23" s="32">
        <f>(Hoja1!$H$61)/12</f>
        <v>66.666666666666671</v>
      </c>
      <c r="N23" s="318">
        <f>(Hoja1!$H$61)/12</f>
        <v>66.666666666666671</v>
      </c>
      <c r="O23" s="32">
        <f>(Hoja1!$H$61)/12</f>
        <v>66.666666666666671</v>
      </c>
      <c r="P23" s="318">
        <f>(Hoja1!$H$61)/12</f>
        <v>66.666666666666671</v>
      </c>
      <c r="Q23" s="318">
        <f>(Hoja1!$H$61)/12</f>
        <v>66.666666666666671</v>
      </c>
      <c r="R23" s="32"/>
      <c r="S23" s="32"/>
    </row>
    <row r="24" spans="3:20" ht="15.75" thickBot="1">
      <c r="C24" s="562" t="s">
        <v>243</v>
      </c>
      <c r="D24" s="563"/>
      <c r="E24" s="333"/>
      <c r="F24" s="318">
        <f>Hoja1!$O$11</f>
        <v>591.1</v>
      </c>
      <c r="G24" s="32">
        <f>Hoja1!$O$11</f>
        <v>591.1</v>
      </c>
      <c r="H24" s="318">
        <f>Hoja1!$O$11</f>
        <v>591.1</v>
      </c>
      <c r="I24" s="32">
        <f>Hoja1!$O$11</f>
        <v>591.1</v>
      </c>
      <c r="J24" s="318">
        <f>Hoja1!$O$11</f>
        <v>591.1</v>
      </c>
      <c r="K24" s="32">
        <f>Hoja1!$O$11</f>
        <v>591.1</v>
      </c>
      <c r="L24" s="318">
        <f>Hoja1!$O$11</f>
        <v>591.1</v>
      </c>
      <c r="M24" s="32">
        <f>Hoja1!$O$11</f>
        <v>591.1</v>
      </c>
      <c r="N24" s="318">
        <f>Hoja1!$O$11</f>
        <v>591.1</v>
      </c>
      <c r="O24" s="32">
        <f>Hoja1!$O$11</f>
        <v>591.1</v>
      </c>
      <c r="P24" s="318">
        <f>Hoja1!$O$11</f>
        <v>591.1</v>
      </c>
      <c r="Q24" s="318">
        <f>Hoja1!$O$11</f>
        <v>591.1</v>
      </c>
    </row>
    <row r="25" spans="3:20" ht="15.75" thickBot="1">
      <c r="C25" s="567" t="s">
        <v>186</v>
      </c>
      <c r="D25" s="568"/>
      <c r="E25" s="358"/>
      <c r="F25" s="349">
        <f>+F9-F11-F13-F24</f>
        <v>250.34033333333025</v>
      </c>
      <c r="G25" s="350">
        <f t="shared" ref="G25:J25" si="2">+G9-G11-G13-G24</f>
        <v>250.34033333333025</v>
      </c>
      <c r="H25" s="349">
        <f t="shared" si="2"/>
        <v>250.34033333333025</v>
      </c>
      <c r="I25" s="350">
        <f t="shared" si="2"/>
        <v>250.34033333333025</v>
      </c>
      <c r="J25" s="349">
        <f t="shared" si="2"/>
        <v>250.34033333333025</v>
      </c>
      <c r="K25" s="350">
        <f t="shared" ref="K25" si="3">+K9-K11-K13-K24</f>
        <v>250.34033333333025</v>
      </c>
      <c r="L25" s="349">
        <f t="shared" ref="L25" si="4">+L9-L11-L13-L24</f>
        <v>250.34033333333025</v>
      </c>
      <c r="M25" s="350">
        <f t="shared" ref="M25" si="5">+M9-M11-M13-M24</f>
        <v>250.34033333333025</v>
      </c>
      <c r="N25" s="349">
        <f t="shared" ref="N25" si="6">+N9-N11-N13-N24</f>
        <v>250.34033333333025</v>
      </c>
      <c r="O25" s="350">
        <f t="shared" ref="O25" si="7">+O9-O11-O13-O24</f>
        <v>250.34033333333025</v>
      </c>
      <c r="P25" s="349">
        <f t="shared" ref="P25" si="8">+P9-P11-P13-P24</f>
        <v>250.34033333333025</v>
      </c>
      <c r="Q25" s="349">
        <f t="shared" ref="Q25" si="9">+Q9-Q11-Q13-Q24</f>
        <v>250.34033333333025</v>
      </c>
    </row>
    <row r="26" spans="3:20">
      <c r="C26" s="562" t="s">
        <v>184</v>
      </c>
      <c r="D26" s="563"/>
      <c r="E26" s="330"/>
      <c r="F26" s="320">
        <f>+Prestamo!$G$26</f>
        <v>247.30014732952631</v>
      </c>
      <c r="G26" s="125">
        <f>+Prestamo!$G$26</f>
        <v>247.30014732952631</v>
      </c>
      <c r="H26" s="320">
        <f>+Prestamo!$G$26</f>
        <v>247.30014732952631</v>
      </c>
      <c r="I26" s="125">
        <f>+Prestamo!$G$26</f>
        <v>247.30014732952631</v>
      </c>
      <c r="J26" s="320">
        <f>+Prestamo!$G$26</f>
        <v>247.30014732952631</v>
      </c>
      <c r="K26" s="125">
        <f>+Prestamo!$G$26</f>
        <v>247.30014732952631</v>
      </c>
      <c r="L26" s="320">
        <f>+Prestamo!$G$26</f>
        <v>247.30014732952631</v>
      </c>
      <c r="M26" s="125">
        <f>+Prestamo!$G$26</f>
        <v>247.30014732952631</v>
      </c>
      <c r="N26" s="320">
        <f>+Prestamo!$G$26</f>
        <v>247.30014732952631</v>
      </c>
      <c r="O26" s="125">
        <f>+Prestamo!$G$26</f>
        <v>247.30014732952631</v>
      </c>
      <c r="P26" s="320">
        <f>+Prestamo!$G$26</f>
        <v>247.30014732952631</v>
      </c>
      <c r="Q26" s="320">
        <f>+Prestamo!$G$26</f>
        <v>247.30014732952631</v>
      </c>
    </row>
    <row r="27" spans="3:20">
      <c r="C27" s="569" t="s">
        <v>252</v>
      </c>
      <c r="D27" s="570"/>
      <c r="E27" s="334"/>
      <c r="F27" s="321">
        <f t="shared" ref="F27:Q27" si="10">F25-F26</f>
        <v>3.0401860038039388</v>
      </c>
      <c r="G27" s="34">
        <f t="shared" si="10"/>
        <v>3.0401860038039388</v>
      </c>
      <c r="H27" s="321">
        <f t="shared" si="10"/>
        <v>3.0401860038039388</v>
      </c>
      <c r="I27" s="34">
        <f t="shared" si="10"/>
        <v>3.0401860038039388</v>
      </c>
      <c r="J27" s="321">
        <f t="shared" si="10"/>
        <v>3.0401860038039388</v>
      </c>
      <c r="K27" s="34">
        <f t="shared" si="10"/>
        <v>3.0401860038039388</v>
      </c>
      <c r="L27" s="321">
        <f t="shared" si="10"/>
        <v>3.0401860038039388</v>
      </c>
      <c r="M27" s="34">
        <f t="shared" si="10"/>
        <v>3.0401860038039388</v>
      </c>
      <c r="N27" s="321">
        <f t="shared" si="10"/>
        <v>3.0401860038039388</v>
      </c>
      <c r="O27" s="34">
        <f t="shared" si="10"/>
        <v>3.0401860038039388</v>
      </c>
      <c r="P27" s="321">
        <f t="shared" si="10"/>
        <v>3.0401860038039388</v>
      </c>
      <c r="Q27" s="321">
        <f t="shared" si="10"/>
        <v>3.0401860038039388</v>
      </c>
    </row>
    <row r="28" spans="3:20">
      <c r="C28" s="562" t="s">
        <v>185</v>
      </c>
      <c r="D28" s="563"/>
      <c r="E28" s="335"/>
      <c r="F28" s="320">
        <f>+F27*15%</f>
        <v>0.45602790057059078</v>
      </c>
      <c r="G28" s="125">
        <f t="shared" ref="G28:Q28" si="11">+G27*15%</f>
        <v>0.45602790057059078</v>
      </c>
      <c r="H28" s="320">
        <f t="shared" si="11"/>
        <v>0.45602790057059078</v>
      </c>
      <c r="I28" s="125">
        <f t="shared" si="11"/>
        <v>0.45602790057059078</v>
      </c>
      <c r="J28" s="320">
        <f t="shared" si="11"/>
        <v>0.45602790057059078</v>
      </c>
      <c r="K28" s="125">
        <f t="shared" si="11"/>
        <v>0.45602790057059078</v>
      </c>
      <c r="L28" s="320">
        <f t="shared" si="11"/>
        <v>0.45602790057059078</v>
      </c>
      <c r="M28" s="125">
        <f t="shared" si="11"/>
        <v>0.45602790057059078</v>
      </c>
      <c r="N28" s="320">
        <f t="shared" si="11"/>
        <v>0.45602790057059078</v>
      </c>
      <c r="O28" s="125">
        <f t="shared" si="11"/>
        <v>0.45602790057059078</v>
      </c>
      <c r="P28" s="320">
        <f t="shared" si="11"/>
        <v>0.45602790057059078</v>
      </c>
      <c r="Q28" s="320">
        <f t="shared" si="11"/>
        <v>0.45602790057059078</v>
      </c>
    </row>
    <row r="29" spans="3:20">
      <c r="C29" s="562" t="s">
        <v>252</v>
      </c>
      <c r="D29" s="563"/>
      <c r="E29" s="334"/>
      <c r="F29" s="321">
        <f>F27-F28</f>
        <v>2.584158103233348</v>
      </c>
      <c r="G29" s="34">
        <f t="shared" ref="G29:Q29" si="12">G27-G28</f>
        <v>2.584158103233348</v>
      </c>
      <c r="H29" s="321">
        <f t="shared" si="12"/>
        <v>2.584158103233348</v>
      </c>
      <c r="I29" s="34">
        <f t="shared" si="12"/>
        <v>2.584158103233348</v>
      </c>
      <c r="J29" s="321">
        <f t="shared" si="12"/>
        <v>2.584158103233348</v>
      </c>
      <c r="K29" s="34">
        <f t="shared" si="12"/>
        <v>2.584158103233348</v>
      </c>
      <c r="L29" s="321">
        <f t="shared" si="12"/>
        <v>2.584158103233348</v>
      </c>
      <c r="M29" s="34">
        <f t="shared" si="12"/>
        <v>2.584158103233348</v>
      </c>
      <c r="N29" s="321">
        <f t="shared" si="12"/>
        <v>2.584158103233348</v>
      </c>
      <c r="O29" s="34">
        <f t="shared" si="12"/>
        <v>2.584158103233348</v>
      </c>
      <c r="P29" s="321">
        <f t="shared" si="12"/>
        <v>2.584158103233348</v>
      </c>
      <c r="Q29" s="321">
        <f t="shared" si="12"/>
        <v>2.584158103233348</v>
      </c>
    </row>
    <row r="30" spans="3:20">
      <c r="C30" s="562" t="s">
        <v>253</v>
      </c>
      <c r="D30" s="563"/>
      <c r="E30" s="330"/>
      <c r="F30" s="322">
        <f>F29*$D$3</f>
        <v>0.64603952580833701</v>
      </c>
      <c r="G30" s="126">
        <f>G29*$D$3</f>
        <v>0.64603952580833701</v>
      </c>
      <c r="H30" s="322">
        <f>H29*$D$3</f>
        <v>0.64603952580833701</v>
      </c>
      <c r="I30" s="126">
        <f>I29*$D$3</f>
        <v>0.64603952580833701</v>
      </c>
      <c r="J30" s="322">
        <f>J29*$D$3</f>
        <v>0.64603952580833701</v>
      </c>
      <c r="K30" s="126">
        <f t="shared" ref="K30:Q30" si="13">K29*$D$3</f>
        <v>0.64603952580833701</v>
      </c>
      <c r="L30" s="322">
        <f t="shared" si="13"/>
        <v>0.64603952580833701</v>
      </c>
      <c r="M30" s="126">
        <f t="shared" si="13"/>
        <v>0.64603952580833701</v>
      </c>
      <c r="N30" s="322">
        <f t="shared" si="13"/>
        <v>0.64603952580833701</v>
      </c>
      <c r="O30" s="126">
        <f t="shared" si="13"/>
        <v>0.64603952580833701</v>
      </c>
      <c r="P30" s="322">
        <f t="shared" si="13"/>
        <v>0.64603952580833701</v>
      </c>
      <c r="Q30" s="322">
        <f t="shared" si="13"/>
        <v>0.64603952580833701</v>
      </c>
    </row>
    <row r="31" spans="3:20">
      <c r="C31" s="569" t="s">
        <v>186</v>
      </c>
      <c r="D31" s="570"/>
      <c r="E31" s="334"/>
      <c r="F31" s="321">
        <f>F29-F30</f>
        <v>1.9381185774250111</v>
      </c>
      <c r="G31" s="34">
        <f t="shared" ref="G31:J31" si="14">G29-G30</f>
        <v>1.9381185774250111</v>
      </c>
      <c r="H31" s="321">
        <f t="shared" si="14"/>
        <v>1.9381185774250111</v>
      </c>
      <c r="I31" s="34">
        <f t="shared" si="14"/>
        <v>1.9381185774250111</v>
      </c>
      <c r="J31" s="321">
        <f t="shared" si="14"/>
        <v>1.9381185774250111</v>
      </c>
      <c r="K31" s="34">
        <f t="shared" ref="K31" si="15">K29-K30</f>
        <v>1.9381185774250111</v>
      </c>
      <c r="L31" s="321">
        <f t="shared" ref="L31" si="16">L29-L30</f>
        <v>1.9381185774250111</v>
      </c>
      <c r="M31" s="34">
        <f t="shared" ref="M31" si="17">M29-M30</f>
        <v>1.9381185774250111</v>
      </c>
      <c r="N31" s="321">
        <f t="shared" ref="N31" si="18">N29-N30</f>
        <v>1.9381185774250111</v>
      </c>
      <c r="O31" s="34">
        <f t="shared" ref="O31" si="19">O29-O30</f>
        <v>1.9381185774250111</v>
      </c>
      <c r="P31" s="321">
        <f t="shared" ref="P31" si="20">P29-P30</f>
        <v>1.9381185774250111</v>
      </c>
      <c r="Q31" s="321">
        <f t="shared" ref="Q31" si="21">Q29-Q30</f>
        <v>1.9381185774250111</v>
      </c>
    </row>
    <row r="32" spans="3:20">
      <c r="C32" s="562" t="s">
        <v>254</v>
      </c>
      <c r="D32" s="563"/>
      <c r="E32" s="324"/>
      <c r="F32" s="323">
        <f>(Hoja1!$H$15+Hoja1!$H$51+Hoja1!$H$61)/12</f>
        <v>239.08466666666666</v>
      </c>
      <c r="G32" s="35">
        <f>(Hoja1!$H$15+Hoja1!$H$51+Hoja1!$H$61)/12</f>
        <v>239.08466666666666</v>
      </c>
      <c r="H32" s="323">
        <f>(Hoja1!$H$15+Hoja1!$H$51+Hoja1!$H$61)/12</f>
        <v>239.08466666666666</v>
      </c>
      <c r="I32" s="35">
        <f>(Hoja1!$H$15+Hoja1!$H$51+Hoja1!$H$61)/12</f>
        <v>239.08466666666666</v>
      </c>
      <c r="J32" s="323">
        <f>(Hoja1!$H$15+Hoja1!$H$51+Hoja1!$H$61)/12</f>
        <v>239.08466666666666</v>
      </c>
      <c r="K32" s="35">
        <f>(Hoja1!$H$15+Hoja1!$H$51+Hoja1!$H$61)/12</f>
        <v>239.08466666666666</v>
      </c>
      <c r="L32" s="323">
        <f>(Hoja1!$H$15+Hoja1!$H$51+Hoja1!$H$61)/12</f>
        <v>239.08466666666666</v>
      </c>
      <c r="M32" s="35">
        <f>(Hoja1!$H$15+Hoja1!$H$51+Hoja1!$H$61)/12</f>
        <v>239.08466666666666</v>
      </c>
      <c r="N32" s="323">
        <f>(Hoja1!$H$15+Hoja1!$H$51+Hoja1!$H$61)/12</f>
        <v>239.08466666666666</v>
      </c>
      <c r="O32" s="35">
        <f>(Hoja1!$H$15+Hoja1!$H$51+Hoja1!$H$61)/12</f>
        <v>239.08466666666666</v>
      </c>
      <c r="P32" s="323">
        <f>(Hoja1!$H$15+Hoja1!$H$51+Hoja1!$H$61)/12</f>
        <v>239.08466666666666</v>
      </c>
      <c r="Q32" s="323">
        <f>(Hoja1!$H$15+Hoja1!$H$51+Hoja1!$H$61)/12</f>
        <v>239.08466666666666</v>
      </c>
    </row>
    <row r="33" spans="3:18">
      <c r="C33" s="562" t="s">
        <v>255</v>
      </c>
      <c r="D33" s="563"/>
      <c r="E33" s="336">
        <f>Prestamo!$C$5</f>
        <v>31106</v>
      </c>
      <c r="F33" s="324"/>
      <c r="G33" s="23"/>
      <c r="H33" s="318"/>
      <c r="I33" s="23"/>
      <c r="J33" s="324"/>
      <c r="K33" s="30"/>
      <c r="L33" s="324"/>
      <c r="M33" s="30"/>
      <c r="N33" s="324"/>
      <c r="O33" s="30"/>
      <c r="P33" s="324"/>
      <c r="Q33" s="324"/>
    </row>
    <row r="34" spans="3:18">
      <c r="C34" s="562" t="s">
        <v>256</v>
      </c>
      <c r="D34" s="563"/>
      <c r="E34" s="333"/>
      <c r="F34" s="324"/>
      <c r="G34" s="23"/>
      <c r="H34" s="324"/>
      <c r="I34" s="23"/>
      <c r="J34" s="317"/>
      <c r="K34" s="30"/>
      <c r="L34" s="324"/>
      <c r="M34" s="30"/>
      <c r="N34" s="324"/>
      <c r="O34" s="30"/>
      <c r="P34" s="324"/>
      <c r="Q34" s="324"/>
    </row>
    <row r="35" spans="3:18">
      <c r="C35" s="562" t="s">
        <v>210</v>
      </c>
      <c r="D35" s="563"/>
      <c r="E35" s="336">
        <f>'CAPITAL DE TRABAJO'!$C$15</f>
        <v>2627.1249999999986</v>
      </c>
      <c r="F35" s="324"/>
      <c r="G35" s="23"/>
      <c r="H35" s="324"/>
      <c r="I35" s="23"/>
      <c r="J35" s="324"/>
      <c r="K35" s="30"/>
      <c r="L35" s="324"/>
      <c r="M35" s="30"/>
      <c r="N35" s="324"/>
      <c r="O35" s="30"/>
      <c r="P35" s="324"/>
      <c r="Q35" s="324"/>
    </row>
    <row r="36" spans="3:18">
      <c r="C36" s="562" t="s">
        <v>257</v>
      </c>
      <c r="D36" s="563"/>
      <c r="E36" s="333"/>
      <c r="F36" s="318">
        <f>+Prestamo!H26</f>
        <v>221.11741467618899</v>
      </c>
      <c r="G36" s="32">
        <f>+Prestamo!$H$26</f>
        <v>221.11741467618899</v>
      </c>
      <c r="H36" s="318">
        <f>+Prestamo!$H$26</f>
        <v>221.11741467618899</v>
      </c>
      <c r="I36" s="32">
        <f>+Prestamo!$H$26</f>
        <v>221.11741467618899</v>
      </c>
      <c r="J36" s="318">
        <f>+Prestamo!$H$26</f>
        <v>221.11741467618899</v>
      </c>
      <c r="K36" s="32">
        <f>+Prestamo!$H$26</f>
        <v>221.11741467618899</v>
      </c>
      <c r="L36" s="318">
        <f>+Prestamo!$H$26</f>
        <v>221.11741467618899</v>
      </c>
      <c r="M36" s="32">
        <f>+Prestamo!$H$26</f>
        <v>221.11741467618899</v>
      </c>
      <c r="N36" s="318">
        <f>+Prestamo!$H$26</f>
        <v>221.11741467618899</v>
      </c>
      <c r="O36" s="32">
        <f>+Prestamo!$H$26</f>
        <v>221.11741467618899</v>
      </c>
      <c r="P36" s="318">
        <f>+Prestamo!$H$26</f>
        <v>221.11741467618899</v>
      </c>
      <c r="Q36" s="318">
        <f>+Prestamo!$H$26</f>
        <v>221.11741467618899</v>
      </c>
    </row>
    <row r="37" spans="3:18">
      <c r="C37" s="562" t="s">
        <v>258</v>
      </c>
      <c r="D37" s="563"/>
      <c r="E37" s="337">
        <f>Prestamo!$C$7</f>
        <v>18663.599999999999</v>
      </c>
      <c r="F37" s="324"/>
      <c r="G37" s="23"/>
      <c r="H37" s="324"/>
      <c r="I37" s="23"/>
      <c r="J37" s="324"/>
      <c r="K37" s="30"/>
      <c r="L37" s="324"/>
      <c r="M37" s="30"/>
      <c r="N37" s="324"/>
      <c r="O37" s="30"/>
      <c r="P37" s="324"/>
      <c r="Q37" s="324"/>
    </row>
    <row r="38" spans="3:18" ht="15.75" thickBot="1">
      <c r="C38" s="574" t="s">
        <v>259</v>
      </c>
      <c r="D38" s="575"/>
      <c r="E38" s="338"/>
      <c r="F38" s="352"/>
      <c r="G38" s="38"/>
      <c r="H38" s="352"/>
      <c r="I38" s="38"/>
      <c r="J38" s="325"/>
      <c r="K38" s="38"/>
      <c r="L38" s="352"/>
      <c r="M38" s="38"/>
      <c r="N38" s="352"/>
      <c r="O38" s="38"/>
      <c r="P38" s="352"/>
      <c r="Q38" s="352"/>
    </row>
    <row r="39" spans="3:18" ht="15.75" thickBot="1">
      <c r="C39" s="567" t="s">
        <v>187</v>
      </c>
      <c r="D39" s="568"/>
      <c r="E39" s="326">
        <f>E37-E33-E35</f>
        <v>-15069.525</v>
      </c>
      <c r="F39" s="325">
        <f>+F31+F32-F36</f>
        <v>19.905370567902679</v>
      </c>
      <c r="G39" s="328">
        <f t="shared" ref="G39:I39" si="22">+G31+G32-G36</f>
        <v>19.905370567902679</v>
      </c>
      <c r="H39" s="325">
        <f t="shared" si="22"/>
        <v>19.905370567902679</v>
      </c>
      <c r="I39" s="328">
        <f t="shared" si="22"/>
        <v>19.905370567902679</v>
      </c>
      <c r="J39" s="325">
        <f>+J31+J32+J34-J36+J38</f>
        <v>19.905370567902679</v>
      </c>
      <c r="K39" s="328">
        <f t="shared" ref="K39:Q39" si="23">+K31+K32+K34-K36+K38</f>
        <v>19.905370567902679</v>
      </c>
      <c r="L39" s="325">
        <f t="shared" si="23"/>
        <v>19.905370567902679</v>
      </c>
      <c r="M39" s="328">
        <f t="shared" si="23"/>
        <v>19.905370567902679</v>
      </c>
      <c r="N39" s="325">
        <f t="shared" si="23"/>
        <v>19.905370567902679</v>
      </c>
      <c r="O39" s="328">
        <f t="shared" si="23"/>
        <v>19.905370567902679</v>
      </c>
      <c r="P39" s="325">
        <f t="shared" si="23"/>
        <v>19.905370567902679</v>
      </c>
      <c r="Q39" s="327">
        <f t="shared" si="23"/>
        <v>19.905370567902679</v>
      </c>
      <c r="R39" s="347"/>
    </row>
    <row r="40" spans="3:18" s="30" customFormat="1">
      <c r="E40" s="37"/>
      <c r="F40" s="23"/>
      <c r="G40" s="23"/>
      <c r="H40" s="23"/>
      <c r="I40" s="23"/>
      <c r="J40" s="23"/>
    </row>
    <row r="41" spans="3:18" s="30" customFormat="1"/>
    <row r="42" spans="3:18" s="30" customFormat="1"/>
    <row r="43" spans="3:18" s="30" customFormat="1"/>
  </sheetData>
  <mergeCells count="33">
    <mergeCell ref="C18:D18"/>
    <mergeCell ref="C20:D20"/>
    <mergeCell ref="C21:D21"/>
    <mergeCell ref="C22:D22"/>
    <mergeCell ref="C35:D35"/>
    <mergeCell ref="C26:D26"/>
    <mergeCell ref="C27:D27"/>
    <mergeCell ref="C23:D23"/>
    <mergeCell ref="C28:D28"/>
    <mergeCell ref="C29:D29"/>
    <mergeCell ref="C30:D30"/>
    <mergeCell ref="C31:D31"/>
    <mergeCell ref="C13:D13"/>
    <mergeCell ref="C14:D14"/>
    <mergeCell ref="C15:D15"/>
    <mergeCell ref="C16:D16"/>
    <mergeCell ref="C17:D17"/>
    <mergeCell ref="C38:D38"/>
    <mergeCell ref="C39:D39"/>
    <mergeCell ref="C36:D36"/>
    <mergeCell ref="C37:D37"/>
    <mergeCell ref="C7:Q7"/>
    <mergeCell ref="C32:D32"/>
    <mergeCell ref="C33:D33"/>
    <mergeCell ref="C34:D34"/>
    <mergeCell ref="C25:D25"/>
    <mergeCell ref="C19:D19"/>
    <mergeCell ref="C9:D9"/>
    <mergeCell ref="C10:D10"/>
    <mergeCell ref="C11:D11"/>
    <mergeCell ref="C12:D12"/>
    <mergeCell ref="C24:D24"/>
    <mergeCell ref="C8:D8"/>
  </mergeCells>
  <pageMargins left="0.7" right="0.7" top="0.75" bottom="0.75" header="0.3" footer="0.3"/>
  <pageSetup paperSize="9" orientation="portrait" verticalDpi="0" r:id="rId1"/>
  <ignoredErrors>
    <ignoredError sqref="F28:Q28 F30:L30 M30:Q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L51"/>
  <sheetViews>
    <sheetView topLeftCell="A13" zoomScale="75" zoomScaleNormal="75" workbookViewId="0">
      <pane ySplit="8265" topLeftCell="A34"/>
      <selection activeCell="C1" sqref="C1"/>
      <selection pane="bottomLeft" activeCell="B30" sqref="B30:B33"/>
    </sheetView>
  </sheetViews>
  <sheetFormatPr baseColWidth="10" defaultRowHeight="15"/>
  <cols>
    <col min="1" max="1" width="11.42578125" style="7"/>
    <col min="2" max="2" width="5.28515625" style="30" customWidth="1"/>
    <col min="3" max="3" width="40.42578125" style="7" customWidth="1"/>
    <col min="4" max="6" width="14.28515625" style="7" bestFit="1" customWidth="1"/>
    <col min="7" max="10" width="14.85546875" style="7" bestFit="1" customWidth="1"/>
    <col min="11" max="11" width="3" style="30" customWidth="1"/>
    <col min="12" max="12" width="13.140625" style="30" bestFit="1" customWidth="1"/>
    <col min="13" max="13" width="14.28515625" style="7" bestFit="1" customWidth="1"/>
    <col min="14" max="16384" width="11.42578125" style="7"/>
  </cols>
  <sheetData>
    <row r="1" spans="3:12">
      <c r="C1" s="26" t="s">
        <v>190</v>
      </c>
      <c r="D1" s="21">
        <f>+Hoja6!C16</f>
        <v>0.15254000000000001</v>
      </c>
      <c r="E1" s="27"/>
      <c r="G1" s="19"/>
      <c r="H1" s="19"/>
      <c r="I1" s="19"/>
    </row>
    <row r="2" spans="3:12">
      <c r="C2" s="26" t="s">
        <v>191</v>
      </c>
      <c r="D2" s="21">
        <v>8.8300000000000003E-2</v>
      </c>
      <c r="E2" s="27"/>
      <c r="G2" s="19"/>
      <c r="H2" s="19"/>
      <c r="I2" s="19"/>
    </row>
    <row r="3" spans="3:12" s="30" customFormat="1">
      <c r="C3" s="26" t="s">
        <v>192</v>
      </c>
      <c r="D3" s="20">
        <v>0.25</v>
      </c>
      <c r="E3" s="27"/>
      <c r="F3" s="7"/>
      <c r="G3" s="19"/>
      <c r="H3" s="19"/>
      <c r="I3" s="19"/>
      <c r="J3" s="7"/>
    </row>
    <row r="4" spans="3:12" s="30" customFormat="1">
      <c r="C4" s="344"/>
      <c r="D4" s="345"/>
      <c r="E4" s="344"/>
      <c r="F4" s="7"/>
      <c r="G4" s="19"/>
      <c r="H4" s="19"/>
      <c r="I4" s="19"/>
      <c r="J4" s="7"/>
    </row>
    <row r="5" spans="3:12" s="30" customFormat="1">
      <c r="C5" s="344"/>
      <c r="D5" s="376"/>
      <c r="E5" s="344"/>
      <c r="F5" s="7"/>
      <c r="G5" s="19"/>
      <c r="H5" s="19"/>
      <c r="I5" s="19"/>
      <c r="J5" s="7"/>
    </row>
    <row r="6" spans="3:12" s="30" customFormat="1">
      <c r="C6" s="344"/>
      <c r="D6" s="345"/>
      <c r="E6" s="344"/>
      <c r="F6" s="7"/>
      <c r="G6" s="19"/>
      <c r="H6" s="19"/>
      <c r="I6" s="19"/>
      <c r="J6" s="7"/>
    </row>
    <row r="7" spans="3:12" s="30" customFormat="1">
      <c r="C7" s="28"/>
      <c r="D7" s="346"/>
      <c r="E7" s="28"/>
      <c r="G7" s="343"/>
      <c r="H7" s="343"/>
      <c r="I7" s="343"/>
    </row>
    <row r="8" spans="3:12" s="377" customFormat="1" ht="7.5" customHeight="1" thickBot="1">
      <c r="C8" s="378"/>
      <c r="D8" s="378"/>
      <c r="E8" s="378"/>
      <c r="F8" s="380"/>
      <c r="G8" s="379"/>
      <c r="H8" s="379"/>
      <c r="I8" s="379"/>
    </row>
    <row r="9" spans="3:12" s="30" customFormat="1" ht="16.5" thickBot="1">
      <c r="C9" s="564" t="s">
        <v>187</v>
      </c>
      <c r="D9" s="571"/>
      <c r="E9" s="571"/>
      <c r="F9" s="571"/>
      <c r="G9" s="571"/>
      <c r="H9" s="571"/>
      <c r="I9" s="571"/>
      <c r="J9" s="572"/>
    </row>
    <row r="10" spans="3:12" s="30" customFormat="1" ht="15.75" thickBot="1">
      <c r="C10" s="311"/>
      <c r="D10" s="29"/>
      <c r="E10" s="314">
        <v>0</v>
      </c>
      <c r="F10" s="316">
        <v>1</v>
      </c>
      <c r="G10" s="315">
        <v>2</v>
      </c>
      <c r="H10" s="316">
        <v>3</v>
      </c>
      <c r="I10" s="315">
        <v>4</v>
      </c>
      <c r="J10" s="316">
        <v>5</v>
      </c>
    </row>
    <row r="11" spans="3:12" s="30" customFormat="1">
      <c r="C11" s="562" t="s">
        <v>182</v>
      </c>
      <c r="D11" s="576"/>
      <c r="E11" s="329"/>
      <c r="F11" s="317">
        <f>+Ingresos!D19</f>
        <v>467460</v>
      </c>
      <c r="G11" s="31">
        <f>+F11*(1.1)</f>
        <v>514206.00000000006</v>
      </c>
      <c r="H11" s="351">
        <f t="shared" ref="H11:J11" si="0">+G11*(1.1)</f>
        <v>565626.60000000009</v>
      </c>
      <c r="I11" s="31">
        <f t="shared" si="0"/>
        <v>622189.26000000013</v>
      </c>
      <c r="J11" s="351">
        <f t="shared" si="0"/>
        <v>684408.18600000022</v>
      </c>
    </row>
    <row r="12" spans="3:12" s="30" customFormat="1">
      <c r="C12" s="562"/>
      <c r="D12" s="576"/>
      <c r="E12" s="330"/>
      <c r="F12" s="317"/>
      <c r="G12" s="31"/>
      <c r="H12" s="317"/>
      <c r="I12" s="31"/>
      <c r="J12" s="317"/>
    </row>
    <row r="13" spans="3:12" s="30" customFormat="1">
      <c r="C13" s="562" t="s">
        <v>249</v>
      </c>
      <c r="D13" s="576"/>
      <c r="E13" s="330"/>
      <c r="F13" s="318">
        <f>(+Hoja1!O84)</f>
        <v>300201.3</v>
      </c>
      <c r="G13" s="32">
        <f>+F13*(1+$D$2)</f>
        <v>326709.07478999998</v>
      </c>
      <c r="H13" s="318">
        <f>+G13*(1+$D$2)</f>
        <v>355557.48609395698</v>
      </c>
      <c r="I13" s="32">
        <f>+H13*(1+$D$2)</f>
        <v>386953.21211605339</v>
      </c>
      <c r="J13" s="318">
        <f>+I13*(1+$D$2)</f>
        <v>421121.1807459009</v>
      </c>
    </row>
    <row r="14" spans="3:12" s="30" customFormat="1" ht="9.75" customHeight="1">
      <c r="C14" s="562"/>
      <c r="D14" s="576"/>
      <c r="E14" s="330"/>
      <c r="F14" s="317"/>
      <c r="G14" s="31"/>
      <c r="H14" s="317"/>
      <c r="I14" s="31"/>
      <c r="J14" s="317"/>
      <c r="L14" s="347"/>
    </row>
    <row r="15" spans="3:12" s="30" customFormat="1">
      <c r="C15" s="562" t="s">
        <v>183</v>
      </c>
      <c r="D15" s="576"/>
      <c r="E15" s="330"/>
      <c r="F15" s="319">
        <f>SUM(F16:F25)</f>
        <v>157161.41600000003</v>
      </c>
      <c r="G15" s="33">
        <f>SUM(G16:G25)</f>
        <v>170086.84292000005</v>
      </c>
      <c r="H15" s="319">
        <f t="shared" ref="H15:J15" si="1">SUM(H16:H25)</f>
        <v>184118.65543703607</v>
      </c>
      <c r="I15" s="33">
        <f t="shared" si="1"/>
        <v>199352.80091932637</v>
      </c>
      <c r="J15" s="319">
        <f t="shared" si="1"/>
        <v>215893.61156370293</v>
      </c>
    </row>
    <row r="16" spans="3:12" s="30" customFormat="1">
      <c r="C16" s="562" t="s">
        <v>201</v>
      </c>
      <c r="D16" s="576"/>
      <c r="E16" s="331"/>
      <c r="F16" s="318">
        <f>Hoja1!T31*12</f>
        <v>97902.000000000029</v>
      </c>
      <c r="G16" s="32">
        <f>F16*1.0883</f>
        <v>106546.74660000004</v>
      </c>
      <c r="H16" s="318">
        <f t="shared" ref="H16:I19" si="2">G16*1.0883</f>
        <v>115954.82432478006</v>
      </c>
      <c r="I16" s="32">
        <f t="shared" si="2"/>
        <v>126193.63531265814</v>
      </c>
      <c r="J16" s="318">
        <f>I16*1.0883</f>
        <v>137336.53331076587</v>
      </c>
    </row>
    <row r="17" spans="3:12" s="30" customFormat="1">
      <c r="C17" s="562" t="s">
        <v>242</v>
      </c>
      <c r="D17" s="576"/>
      <c r="E17" s="331"/>
      <c r="F17" s="318">
        <f>SUM(Hoja1!U23:U30)</f>
        <v>9000</v>
      </c>
      <c r="G17" s="32">
        <f>F17*1.0883</f>
        <v>9794.7000000000007</v>
      </c>
      <c r="H17" s="318">
        <f t="shared" si="2"/>
        <v>10659.572010000002</v>
      </c>
      <c r="I17" s="32">
        <f t="shared" si="2"/>
        <v>11600.812218483003</v>
      </c>
      <c r="J17" s="318">
        <f>I17*1.0883</f>
        <v>12625.163937375053</v>
      </c>
    </row>
    <row r="18" spans="3:12" s="30" customFormat="1">
      <c r="C18" s="562" t="s">
        <v>213</v>
      </c>
      <c r="D18" s="576"/>
      <c r="E18" s="331"/>
      <c r="F18" s="318">
        <f>SUM(Hoja1!V23:V30)</f>
        <v>1920</v>
      </c>
      <c r="G18" s="32">
        <f>F18*1.0883</f>
        <v>2089.5360000000001</v>
      </c>
      <c r="H18" s="318">
        <f t="shared" si="2"/>
        <v>2274.0420288</v>
      </c>
      <c r="I18" s="32">
        <f t="shared" si="2"/>
        <v>2474.83993994304</v>
      </c>
      <c r="J18" s="318">
        <f>I18*1.0883</f>
        <v>2693.3683066400104</v>
      </c>
    </row>
    <row r="19" spans="3:12" s="30" customFormat="1">
      <c r="C19" s="562" t="s">
        <v>214</v>
      </c>
      <c r="D19" s="576"/>
      <c r="E19" s="331"/>
      <c r="F19" s="318">
        <f>SUM(Hoja1!W23:W30)</f>
        <v>4500</v>
      </c>
      <c r="G19" s="32">
        <f>F19*1.0883</f>
        <v>4897.3500000000004</v>
      </c>
      <c r="H19" s="318">
        <f t="shared" si="2"/>
        <v>5329.7860050000008</v>
      </c>
      <c r="I19" s="32">
        <f t="shared" si="2"/>
        <v>5800.4061092415013</v>
      </c>
      <c r="J19" s="318">
        <f>I19*1.0883</f>
        <v>6312.5819686875266</v>
      </c>
      <c r="K19" s="32"/>
    </row>
    <row r="20" spans="3:12">
      <c r="C20" s="562" t="s">
        <v>248</v>
      </c>
      <c r="D20" s="576"/>
      <c r="E20" s="331"/>
      <c r="F20" s="318">
        <f>+'Flujo de Caja mensual'!F18*12</f>
        <v>22730.400000000005</v>
      </c>
      <c r="G20" s="372">
        <f>+F20*1.0883</f>
        <v>24737.494320000005</v>
      </c>
      <c r="H20" s="318">
        <f t="shared" ref="H20:I20" si="3">+G20*1.0883</f>
        <v>26921.815068456006</v>
      </c>
      <c r="I20" s="32">
        <f t="shared" si="3"/>
        <v>29299.011339000674</v>
      </c>
      <c r="J20" s="318">
        <f>+I20*1.0883</f>
        <v>31886.114040234435</v>
      </c>
    </row>
    <row r="21" spans="3:12">
      <c r="C21" s="562" t="s">
        <v>202</v>
      </c>
      <c r="D21" s="576"/>
      <c r="E21" s="331"/>
      <c r="F21" s="318">
        <f>Hoja1!P46</f>
        <v>13440</v>
      </c>
      <c r="G21" s="372">
        <f>+F21*1.05</f>
        <v>14112</v>
      </c>
      <c r="H21" s="318">
        <f t="shared" ref="H21:J21" si="4">+G21*1.05</f>
        <v>14817.6</v>
      </c>
      <c r="I21" s="32">
        <f t="shared" si="4"/>
        <v>15558.480000000001</v>
      </c>
      <c r="J21" s="318">
        <f t="shared" si="4"/>
        <v>16336.404000000002</v>
      </c>
    </row>
    <row r="22" spans="3:12">
      <c r="C22" s="562" t="s">
        <v>212</v>
      </c>
      <c r="D22" s="576"/>
      <c r="E22" s="331"/>
      <c r="F22" s="318">
        <f>Hoja1!P51</f>
        <v>4800</v>
      </c>
      <c r="G22" s="32">
        <f>F22*1.05</f>
        <v>5040</v>
      </c>
      <c r="H22" s="318">
        <f t="shared" ref="H22:I22" si="5">G22*1.05</f>
        <v>5292</v>
      </c>
      <c r="I22" s="32">
        <f t="shared" si="5"/>
        <v>5556.6</v>
      </c>
      <c r="J22" s="318">
        <f>I22*1.05</f>
        <v>5834.43</v>
      </c>
    </row>
    <row r="23" spans="3:12">
      <c r="C23" s="562" t="s">
        <v>250</v>
      </c>
      <c r="D23" s="576"/>
      <c r="E23" s="330"/>
      <c r="F23" s="318">
        <f>Hoja1!$H$15</f>
        <v>1030.1759999999999</v>
      </c>
      <c r="G23" s="32">
        <f>Hoja1!$H$15</f>
        <v>1030.1759999999999</v>
      </c>
      <c r="H23" s="318">
        <f>Hoja1!$H$15</f>
        <v>1030.1759999999999</v>
      </c>
      <c r="I23" s="32">
        <f>Hoja1!$H$15</f>
        <v>1030.1759999999999</v>
      </c>
      <c r="J23" s="318">
        <f>Hoja1!$H$15</f>
        <v>1030.1759999999999</v>
      </c>
      <c r="L23" s="347"/>
    </row>
    <row r="24" spans="3:12">
      <c r="C24" s="562" t="s">
        <v>251</v>
      </c>
      <c r="D24" s="576"/>
      <c r="E24" s="330"/>
      <c r="F24" s="318">
        <f>Hoja1!$H$51</f>
        <v>1038.8400000000001</v>
      </c>
      <c r="G24" s="32">
        <f>Hoja1!$H$51</f>
        <v>1038.8400000000001</v>
      </c>
      <c r="H24" s="318">
        <f>Hoja1!$H$51</f>
        <v>1038.8400000000001</v>
      </c>
      <c r="I24" s="32">
        <f>Hoja1!$H$51</f>
        <v>1038.8400000000001</v>
      </c>
      <c r="J24" s="318">
        <f>Hoja1!$H$51</f>
        <v>1038.8400000000001</v>
      </c>
    </row>
    <row r="25" spans="3:12">
      <c r="C25" s="562" t="s">
        <v>217</v>
      </c>
      <c r="D25" s="576"/>
      <c r="E25" s="332"/>
      <c r="F25" s="318">
        <f>Hoja1!$H$61</f>
        <v>800</v>
      </c>
      <c r="G25" s="32">
        <f>Hoja1!$H$61</f>
        <v>800</v>
      </c>
      <c r="H25" s="318">
        <f>Hoja1!$H$61</f>
        <v>800</v>
      </c>
      <c r="I25" s="32">
        <f>Hoja1!$H$61</f>
        <v>800</v>
      </c>
      <c r="J25" s="318">
        <f>Hoja1!$H$61</f>
        <v>800</v>
      </c>
    </row>
    <row r="26" spans="3:12" ht="15.75" thickBot="1">
      <c r="C26" s="562" t="s">
        <v>243</v>
      </c>
      <c r="D26" s="576"/>
      <c r="E26" s="333"/>
      <c r="F26" s="318">
        <f>Hoja1!$P$11</f>
        <v>7093.2</v>
      </c>
      <c r="G26" s="32">
        <f>+F26*1.05</f>
        <v>7447.86</v>
      </c>
      <c r="H26" s="373">
        <f t="shared" ref="H26:I26" si="6">+G26*1.05</f>
        <v>7820.2529999999997</v>
      </c>
      <c r="I26" s="32">
        <f t="shared" si="6"/>
        <v>8211.2656499999994</v>
      </c>
      <c r="J26" s="373">
        <f>+I26*1.05</f>
        <v>8621.8289325000005</v>
      </c>
    </row>
    <row r="27" spans="3:12" ht="15.75" thickBot="1">
      <c r="C27" s="567" t="s">
        <v>186</v>
      </c>
      <c r="D27" s="573"/>
      <c r="E27" s="358"/>
      <c r="F27" s="349">
        <f>+F11-F13-F15-F26</f>
        <v>3004.0839999999853</v>
      </c>
      <c r="G27" s="350">
        <f t="shared" ref="G27:J27" si="7">+G11-G13-G15-G26</f>
        <v>9962.2222900000197</v>
      </c>
      <c r="H27" s="430">
        <f t="shared" si="7"/>
        <v>18130.205469007047</v>
      </c>
      <c r="I27" s="350">
        <f t="shared" si="7"/>
        <v>27671.981314620367</v>
      </c>
      <c r="J27" s="349">
        <f t="shared" si="7"/>
        <v>38771.564757896391</v>
      </c>
    </row>
    <row r="28" spans="3:12">
      <c r="C28" s="562" t="s">
        <v>184</v>
      </c>
      <c r="D28" s="576"/>
      <c r="E28" s="330"/>
      <c r="F28" s="320">
        <f>Prestamo!E19</f>
        <v>2967.6017679543156</v>
      </c>
      <c r="G28" s="125">
        <f>Prestamo!F19</f>
        <v>2512.8074694483294</v>
      </c>
      <c r="H28" s="320">
        <f>Prestamo!G19</f>
        <v>1980.0614281784178</v>
      </c>
      <c r="I28" s="125">
        <f>Prestamo!H19</f>
        <v>1356.0027154348425</v>
      </c>
      <c r="J28" s="320">
        <f>Prestamo!I19</f>
        <v>624.98033932701844</v>
      </c>
    </row>
    <row r="29" spans="3:12">
      <c r="C29" s="569" t="s">
        <v>252</v>
      </c>
      <c r="D29" s="581"/>
      <c r="E29" s="334"/>
      <c r="F29" s="321">
        <f>F27-F28</f>
        <v>36.482232045669662</v>
      </c>
      <c r="G29" s="34">
        <f>G27-G28</f>
        <v>7449.4148205516904</v>
      </c>
      <c r="H29" s="321">
        <f>H27-H28</f>
        <v>16150.144040828629</v>
      </c>
      <c r="I29" s="34">
        <f>I27-I28</f>
        <v>26315.978599185524</v>
      </c>
      <c r="J29" s="321">
        <f>J27-J28</f>
        <v>38146.584418569371</v>
      </c>
    </row>
    <row r="30" spans="3:12">
      <c r="C30" s="562" t="s">
        <v>185</v>
      </c>
      <c r="D30" s="576"/>
      <c r="E30" s="335"/>
      <c r="F30" s="320">
        <f>F29*15%</f>
        <v>5.4723348068504487</v>
      </c>
      <c r="G30" s="125">
        <f>G29*15%</f>
        <v>1117.4122230827536</v>
      </c>
      <c r="H30" s="320">
        <f>H29*15%</f>
        <v>2422.5216061242941</v>
      </c>
      <c r="I30" s="125">
        <f>I29*15%</f>
        <v>3947.3967898778283</v>
      </c>
      <c r="J30" s="320">
        <f>J29*15%</f>
        <v>5721.9876627854055</v>
      </c>
    </row>
    <row r="31" spans="3:12">
      <c r="C31" s="562" t="s">
        <v>252</v>
      </c>
      <c r="D31" s="576"/>
      <c r="E31" s="334"/>
      <c r="F31" s="321">
        <f>F29-F30</f>
        <v>31.009897238819214</v>
      </c>
      <c r="G31" s="34">
        <f t="shared" ref="G31:J31" si="8">G29-G30</f>
        <v>6332.002597468937</v>
      </c>
      <c r="H31" s="321">
        <f t="shared" si="8"/>
        <v>13727.622434704335</v>
      </c>
      <c r="I31" s="34">
        <f t="shared" si="8"/>
        <v>22368.581809307696</v>
      </c>
      <c r="J31" s="321">
        <f t="shared" si="8"/>
        <v>32424.596755783965</v>
      </c>
    </row>
    <row r="32" spans="3:12">
      <c r="C32" s="562" t="s">
        <v>253</v>
      </c>
      <c r="D32" s="576"/>
      <c r="E32" s="330"/>
      <c r="F32" s="322">
        <f>F31*$D$3</f>
        <v>7.7524743097048034</v>
      </c>
      <c r="G32" s="126">
        <f>G31*$D$3</f>
        <v>1583.0006493672342</v>
      </c>
      <c r="H32" s="322">
        <f>H31*$D$3</f>
        <v>3431.9056086760838</v>
      </c>
      <c r="I32" s="126">
        <f>I31*$D$3</f>
        <v>5592.145452326924</v>
      </c>
      <c r="J32" s="322">
        <f>J31*$D$3</f>
        <v>8106.1491889459912</v>
      </c>
    </row>
    <row r="33" spans="3:12">
      <c r="C33" s="569" t="s">
        <v>186</v>
      </c>
      <c r="D33" s="581"/>
      <c r="E33" s="334"/>
      <c r="F33" s="321">
        <f>F31-F32</f>
        <v>23.257422929114412</v>
      </c>
      <c r="G33" s="34">
        <f t="shared" ref="G33:J33" si="9">G31-G32</f>
        <v>4749.0019481017025</v>
      </c>
      <c r="H33" s="321">
        <f t="shared" si="9"/>
        <v>10295.716826028252</v>
      </c>
      <c r="I33" s="34">
        <f t="shared" si="9"/>
        <v>16776.436356980772</v>
      </c>
      <c r="J33" s="321">
        <f t="shared" si="9"/>
        <v>24318.447566837975</v>
      </c>
      <c r="L33" s="40"/>
    </row>
    <row r="34" spans="3:12">
      <c r="C34" s="562" t="s">
        <v>254</v>
      </c>
      <c r="D34" s="576"/>
      <c r="E34" s="324"/>
      <c r="F34" s="323">
        <f>(Hoja1!$H$15+Hoja1!$H$51+Hoja1!$H$61)</f>
        <v>2869.0160000000001</v>
      </c>
      <c r="G34" s="35">
        <f>Hoja1!$H$15+Hoja1!$H$51+Hoja1!$H$61</f>
        <v>2869.0160000000001</v>
      </c>
      <c r="H34" s="323">
        <f>Hoja1!$H$15+Hoja1!$H$51+Hoja1!$H$61</f>
        <v>2869.0160000000001</v>
      </c>
      <c r="I34" s="35">
        <f>Hoja1!$H$15+Hoja1!$H$51+Hoja1!$H$61</f>
        <v>2869.0160000000001</v>
      </c>
      <c r="J34" s="323">
        <f>Hoja1!$H$15+Hoja1!$H$51+Hoja1!$H$61</f>
        <v>2869.0160000000001</v>
      </c>
    </row>
    <row r="35" spans="3:12">
      <c r="C35" s="562" t="s">
        <v>255</v>
      </c>
      <c r="D35" s="576"/>
      <c r="E35" s="336">
        <f>Prestamo!$C$5</f>
        <v>31106</v>
      </c>
      <c r="F35" s="324"/>
      <c r="G35" s="23"/>
      <c r="H35" s="318">
        <f>Hoja1!F51</f>
        <v>3116.5200000000004</v>
      </c>
      <c r="I35" s="23"/>
      <c r="J35" s="324"/>
    </row>
    <row r="36" spans="3:12" s="30" customFormat="1">
      <c r="C36" s="562" t="s">
        <v>256</v>
      </c>
      <c r="D36" s="576"/>
      <c r="E36" s="333"/>
      <c r="F36" s="324"/>
      <c r="G36" s="23"/>
      <c r="H36" s="324"/>
      <c r="I36" s="23"/>
      <c r="J36" s="317">
        <f>Hoja1!J15+Hoja1!J61</f>
        <v>7150.88</v>
      </c>
    </row>
    <row r="37" spans="3:12" s="30" customFormat="1">
      <c r="C37" s="562" t="s">
        <v>210</v>
      </c>
      <c r="D37" s="576"/>
      <c r="E37" s="336">
        <f>'CAPITAL DE TRABAJO'!$C$15</f>
        <v>2627.1249999999986</v>
      </c>
      <c r="F37" s="324"/>
      <c r="G37" s="23"/>
      <c r="H37" s="324"/>
      <c r="I37" s="23"/>
      <c r="J37" s="324"/>
    </row>
    <row r="38" spans="3:12" s="30" customFormat="1">
      <c r="C38" s="562" t="s">
        <v>257</v>
      </c>
      <c r="D38" s="576"/>
      <c r="E38" s="333"/>
      <c r="F38" s="318">
        <f>Prestamo!E18</f>
        <v>2653.4089761142677</v>
      </c>
      <c r="G38" s="32">
        <f>Prestamo!F18</f>
        <v>3108.203274620254</v>
      </c>
      <c r="H38" s="318">
        <f>Prestamo!G18</f>
        <v>3640.9493158901655</v>
      </c>
      <c r="I38" s="32">
        <f>Prestamo!H18</f>
        <v>4265.0080286337407</v>
      </c>
      <c r="J38" s="318">
        <f>Prestamo!I18</f>
        <v>4996.0304047415648</v>
      </c>
    </row>
    <row r="39" spans="3:12" s="30" customFormat="1">
      <c r="C39" s="562" t="s">
        <v>258</v>
      </c>
      <c r="D39" s="576"/>
      <c r="E39" s="337">
        <f>Prestamo!$C$7</f>
        <v>18663.599999999999</v>
      </c>
      <c r="F39" s="324"/>
      <c r="G39" s="23"/>
      <c r="H39" s="324"/>
      <c r="I39" s="23"/>
      <c r="J39" s="324"/>
    </row>
    <row r="40" spans="3:12" s="30" customFormat="1" ht="15.75" thickBot="1">
      <c r="C40" s="562" t="s">
        <v>259</v>
      </c>
      <c r="D40" s="576"/>
      <c r="E40" s="338"/>
      <c r="F40" s="324"/>
      <c r="G40" s="23"/>
      <c r="H40" s="324"/>
      <c r="I40" s="23"/>
      <c r="J40" s="317">
        <f>'CAPITAL DE TRABAJO'!C15</f>
        <v>2627.1249999999986</v>
      </c>
    </row>
    <row r="41" spans="3:12" s="30" customFormat="1" ht="15.75" thickBot="1">
      <c r="C41" s="567" t="s">
        <v>187</v>
      </c>
      <c r="D41" s="568"/>
      <c r="E41" s="348">
        <f>E39-E35-E37</f>
        <v>-15069.525</v>
      </c>
      <c r="F41" s="349">
        <f>+F33+F34-F38</f>
        <v>238.86444681484681</v>
      </c>
      <c r="G41" s="350">
        <f t="shared" ref="G41:I41" si="10">+G33+G34-G38</f>
        <v>4509.8146734814482</v>
      </c>
      <c r="H41" s="349">
        <f t="shared" si="10"/>
        <v>9523.7835101380861</v>
      </c>
      <c r="I41" s="350">
        <f t="shared" si="10"/>
        <v>15380.444328347032</v>
      </c>
      <c r="J41" s="349">
        <f>+J33+J34+J36-J38+J40</f>
        <v>31969.438162096412</v>
      </c>
    </row>
    <row r="42" spans="3:12" s="30" customFormat="1">
      <c r="C42" s="577" t="s">
        <v>232</v>
      </c>
      <c r="D42" s="578"/>
      <c r="E42" s="339">
        <f>+NPV(D1,F41:J41)+E41</f>
        <v>19190.153917130927</v>
      </c>
      <c r="F42" s="23"/>
      <c r="G42" s="23"/>
      <c r="H42" s="23"/>
      <c r="I42" s="23"/>
      <c r="J42" s="312"/>
    </row>
    <row r="43" spans="3:12" s="30" customFormat="1" ht="15.75" thickBot="1">
      <c r="C43" s="579" t="s">
        <v>189</v>
      </c>
      <c r="D43" s="580"/>
      <c r="E43" s="340">
        <f>+IRR(E41:J41)</f>
        <v>0.41954263655209462</v>
      </c>
      <c r="F43" s="38"/>
      <c r="G43" s="38"/>
      <c r="H43" s="38"/>
      <c r="I43" s="38"/>
      <c r="J43" s="313"/>
    </row>
    <row r="44" spans="3:12" s="30" customFormat="1">
      <c r="E44" s="37"/>
      <c r="F44" s="23"/>
      <c r="G44" s="23"/>
      <c r="H44" s="23"/>
      <c r="I44" s="23"/>
      <c r="J44" s="23"/>
    </row>
    <row r="45" spans="3:12" s="30" customFormat="1"/>
    <row r="46" spans="3:12" s="30" customFormat="1"/>
    <row r="51" spans="4:4">
      <c r="D51" s="30"/>
    </row>
  </sheetData>
  <mergeCells count="34">
    <mergeCell ref="C21:D21"/>
    <mergeCell ref="C9:J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9:D39"/>
  </mergeCells>
  <pageMargins left="0.7" right="0.7" top="0.75" bottom="0.75" header="0.3" footer="0.3"/>
  <pageSetup paperSize="9" orientation="portrait" verticalDpi="0" r:id="rId1"/>
  <ignoredErrors>
    <ignoredError sqref="F30:J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Aportaciones al IESS</vt:lpstr>
      <vt:lpstr>Prestamo</vt:lpstr>
      <vt:lpstr>Ingresos</vt:lpstr>
      <vt:lpstr>Estado de Resultado mensual</vt:lpstr>
      <vt:lpstr>CAPITAL DE TRABAJO</vt:lpstr>
      <vt:lpstr>Estado de Resultado anual  </vt:lpstr>
      <vt:lpstr>Flujo de Caja mensual</vt:lpstr>
      <vt:lpstr>Flujo de caja  anual </vt:lpstr>
      <vt:lpstr>Payback</vt:lpstr>
      <vt:lpstr>Analisis de sensibilidad</vt:lpstr>
      <vt:lpstr>Hoja6</vt:lpstr>
      <vt:lpstr>Hoja2</vt:lpstr>
      <vt:lpstr>Hoja3</vt:lpstr>
      <vt:lpstr>Flujo de caja  anual 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Mariuxi</dc:creator>
  <cp:lastModifiedBy>WINDOWS XP</cp:lastModifiedBy>
  <dcterms:created xsi:type="dcterms:W3CDTF">2010-02-17T06:25:07Z</dcterms:created>
  <dcterms:modified xsi:type="dcterms:W3CDTF">2010-02-26T02:47:12Z</dcterms:modified>
</cp:coreProperties>
</file>