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775" windowHeight="3765" activeTab="2"/>
  </bookViews>
  <sheets>
    <sheet name="Hoja1" sheetId="1" r:id="rId1"/>
    <sheet name="Hoja 3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<sst xmlns="http://schemas.openxmlformats.org/spreadsheetml/2006/main" count="519" uniqueCount="373">
  <si>
    <t>ENCUESTA</t>
  </si>
  <si>
    <t>1.- Sexo</t>
  </si>
  <si>
    <t>Masculino</t>
  </si>
  <si>
    <t>2.- Su edad es</t>
  </si>
  <si>
    <t>18 - 24 años</t>
  </si>
  <si>
    <t>25 - 31 años</t>
  </si>
  <si>
    <t>32 - 38 años</t>
  </si>
  <si>
    <t>39 - 45 años</t>
  </si>
  <si>
    <t>Mas de 45 años</t>
  </si>
  <si>
    <t>$200 - $350</t>
  </si>
  <si>
    <t>$351 - $500</t>
  </si>
  <si>
    <t>$501 - $650</t>
  </si>
  <si>
    <t>Más de $650</t>
  </si>
  <si>
    <t>3.- Sus ingresos son</t>
  </si>
  <si>
    <t>4.- Su formación académica es</t>
  </si>
  <si>
    <t>Primaria</t>
  </si>
  <si>
    <t>Secundaria</t>
  </si>
  <si>
    <t>Superior</t>
  </si>
  <si>
    <t>Masterado</t>
  </si>
  <si>
    <t>Otros</t>
  </si>
  <si>
    <t>5.- ¿A qué actividad se dedica actualmente?</t>
  </si>
  <si>
    <t>Comerciante</t>
  </si>
  <si>
    <t>Servicios Profesionales</t>
  </si>
  <si>
    <t xml:space="preserve">Ama de casa </t>
  </si>
  <si>
    <t>Estudiante</t>
  </si>
  <si>
    <t>Chofer</t>
  </si>
  <si>
    <t>Profesor</t>
  </si>
  <si>
    <t>Otra</t>
  </si>
  <si>
    <t>6.- ¿Cuál es su área profesional?</t>
  </si>
  <si>
    <t xml:space="preserve">Administrativa </t>
  </si>
  <si>
    <t>Salud</t>
  </si>
  <si>
    <t>Civil</t>
  </si>
  <si>
    <t>Social</t>
  </si>
  <si>
    <t>Gastronómica</t>
  </si>
  <si>
    <t>No tiene</t>
  </si>
  <si>
    <t>7.- ¿Elabora pasteles?</t>
  </si>
  <si>
    <t>Si</t>
  </si>
  <si>
    <t>No</t>
  </si>
  <si>
    <t>8.- ¿Qué aceite usa para elaborar pasteles?</t>
  </si>
  <si>
    <t>Aceite Vegetal</t>
  </si>
  <si>
    <t>Aceite de Girasol</t>
  </si>
  <si>
    <t>Aceite de Oliva</t>
  </si>
  <si>
    <t>Aceite de Jengibre</t>
  </si>
  <si>
    <t>9.- ¿Por qué razones usa ese aceite?</t>
  </si>
  <si>
    <t xml:space="preserve">Sabor </t>
  </si>
  <si>
    <t>Textura</t>
  </si>
  <si>
    <t xml:space="preserve">Salud </t>
  </si>
  <si>
    <t>Precio</t>
  </si>
  <si>
    <t>Otras</t>
  </si>
  <si>
    <t>10.- ¿Ha utilizado aceite de Jengibre?</t>
  </si>
  <si>
    <t xml:space="preserve">Si </t>
  </si>
  <si>
    <t>11.- ¿Por qué no lo ha utilizado?</t>
  </si>
  <si>
    <t>Por falta de conocimiento</t>
  </si>
  <si>
    <t>Porque no es el apropiado</t>
  </si>
  <si>
    <t>Por el sabor</t>
  </si>
  <si>
    <t>12.- ¿Conoce las propiedades del aceite de jengibre?</t>
  </si>
  <si>
    <t>13.- Conociendo estas propiedades, consumiría el aceite de Jengibre</t>
  </si>
  <si>
    <t>14.- ¿Con qué frecuencia compraría el Aceite de Jengibre?</t>
  </si>
  <si>
    <t>Una vez a la semana</t>
  </si>
  <si>
    <t>Una vez al mes</t>
  </si>
  <si>
    <t>Dos veces al mes</t>
  </si>
  <si>
    <t>Tres veces al mes</t>
  </si>
  <si>
    <t>15.- ¿En qué presentación le gustaría encontrarlo?</t>
  </si>
  <si>
    <t>Sachet</t>
  </si>
  <si>
    <t>Frasco de 125 ml</t>
  </si>
  <si>
    <t>Frasco de 250 ml</t>
  </si>
  <si>
    <t>Frasco de 500 ml</t>
  </si>
  <si>
    <t>Frasco de 1 lt</t>
  </si>
  <si>
    <t>16.- ¿Cuánto estaría dispuesto a pagar por un frasco de 250 ml?</t>
  </si>
  <si>
    <t>De $0,50 a $0,75</t>
  </si>
  <si>
    <t>de $0,76 a $1,00</t>
  </si>
  <si>
    <t>De $1,01 a $1,50</t>
  </si>
  <si>
    <t>De $1,51 a $2,00</t>
  </si>
  <si>
    <t>Mas de $2,01</t>
  </si>
  <si>
    <t>17.- ¿Dónde le gustaria comprar el producto?</t>
  </si>
  <si>
    <t>Comisariatos</t>
  </si>
  <si>
    <t>Supermercados</t>
  </si>
  <si>
    <t>Tiendas de Barrios</t>
  </si>
  <si>
    <t>Mercados</t>
  </si>
  <si>
    <t>18.- ¿Por cuáles medios le gustaría informarse acerca del aceite de Jengibre?</t>
  </si>
  <si>
    <t>Hojas volantes</t>
  </si>
  <si>
    <t>Televisión</t>
  </si>
  <si>
    <t>Radio</t>
  </si>
  <si>
    <t>Revistas</t>
  </si>
  <si>
    <t>Propagandas en el Supermercado</t>
  </si>
  <si>
    <t>19.- ¿Qué nombre le gustaría que tenga el producto?</t>
  </si>
  <si>
    <t>EcuaJengibre</t>
  </si>
  <si>
    <t>AceJibre</t>
  </si>
  <si>
    <t>Femenino</t>
  </si>
  <si>
    <t>% pers elab pasteles</t>
  </si>
  <si>
    <t>% dispuest. Comprar</t>
  </si>
  <si>
    <t>poblacion</t>
  </si>
  <si>
    <t>% NO UTILIZA</t>
  </si>
  <si>
    <t>% DESCONOC</t>
  </si>
  <si>
    <t>INGRESO POTENCIAL=</t>
  </si>
  <si>
    <t>SUELD BASE</t>
  </si>
  <si>
    <t>DEC CUARTO</t>
  </si>
  <si>
    <t>DEC TERCR</t>
  </si>
  <si>
    <t>VACACIONES</t>
  </si>
  <si>
    <t>FOND RESERV</t>
  </si>
  <si>
    <t>APORT PATRONAL</t>
  </si>
  <si>
    <t>IECE Y SECAP</t>
  </si>
  <si>
    <t>GUARDIA</t>
  </si>
  <si>
    <t>SUELDO FINAL</t>
  </si>
  <si>
    <t>GASTOS DE SUELDOS</t>
  </si>
  <si>
    <t>GASTOS DE PUBLICIDAD</t>
  </si>
  <si>
    <t>GASTOS DE ARRIENDO</t>
  </si>
  <si>
    <t>GASTOS SERVICIOS BASICOS</t>
  </si>
  <si>
    <t>AGUA</t>
  </si>
  <si>
    <t>LUZ</t>
  </si>
  <si>
    <t>RADIO</t>
  </si>
  <si>
    <t>GASTOS DE ARRIENDOS</t>
  </si>
  <si>
    <t xml:space="preserve">ARRIENDO MENSUAL </t>
  </si>
  <si>
    <t>GASTOS DE OFICINA</t>
  </si>
  <si>
    <t>IMPRESIÓN DE FACTURAS</t>
  </si>
  <si>
    <t>TELEFONO</t>
  </si>
  <si>
    <t>ETIQUETAS</t>
  </si>
  <si>
    <t>BOTELLAS 500 CC</t>
  </si>
  <si>
    <t>BOTELLAS DE 1 LT</t>
  </si>
  <si>
    <t>BOTELLAS 250 CC(100 UNIDADES)</t>
  </si>
  <si>
    <t>COSTO LT ACEITE</t>
  </si>
  <si>
    <t>COSTO PRODUCTO LISTO</t>
  </si>
  <si>
    <t>COSTOS</t>
  </si>
  <si>
    <t>CUADRO DE DEPRECIACION SEGUROS Y MANTENIMIENTO</t>
  </si>
  <si>
    <t>DETALLE</t>
  </si>
  <si>
    <t>Equipo de computacion</t>
  </si>
  <si>
    <t>DEPRECIACION</t>
  </si>
  <si>
    <t>SEGURO</t>
  </si>
  <si>
    <t>MANTENIMIENTO</t>
  </si>
  <si>
    <t>AMORTIZACION DE GASTOS DE CONSTITUCION</t>
  </si>
  <si>
    <t>CONSTITUCION DE LA EMPRESA</t>
  </si>
  <si>
    <t>ACTIVOS DIFERIDOS</t>
  </si>
  <si>
    <t>Cubiertas y techado</t>
  </si>
  <si>
    <t>Material y mano de obra</t>
  </si>
  <si>
    <t>CONSTITUCON DE EMPRESA, IMPUESTOS</t>
  </si>
  <si>
    <t>PATENTE</t>
  </si>
  <si>
    <t>PERMISOS  DE FUNCIONAMIENTO</t>
  </si>
  <si>
    <t>PERMISOS DE SALUD</t>
  </si>
  <si>
    <t>BOMBEROS</t>
  </si>
  <si>
    <t>EQUIPO DE COMPUTACION</t>
  </si>
  <si>
    <t>COMPUTADORAS</t>
  </si>
  <si>
    <t>ARCHIVADORES</t>
  </si>
  <si>
    <t>ACTIVIDAD</t>
  </si>
  <si>
    <t>TIEMPO DE EJECUCION</t>
  </si>
  <si>
    <t>COSTO TOTAL $</t>
  </si>
  <si>
    <t>1 mes</t>
  </si>
  <si>
    <t>Constitucion de la empresa</t>
  </si>
  <si>
    <t>ENCARGADO FINANCIERO</t>
  </si>
  <si>
    <t>ASISTENTE</t>
  </si>
  <si>
    <t>GASTOS ADMINISTRATIVOS</t>
  </si>
  <si>
    <t>GASTOS DE SERVICIOS BASICOS</t>
  </si>
  <si>
    <t>TOTAL DE GASTOS DE ADMINISTRACION</t>
  </si>
  <si>
    <t>GASTOS DE VENTAS</t>
  </si>
  <si>
    <t>ENCARGADO DE VENTAS</t>
  </si>
  <si>
    <t>TOTAL DE GASTOS DE VENTAS</t>
  </si>
  <si>
    <t>TELEVISION</t>
  </si>
  <si>
    <t>TOTAL</t>
  </si>
  <si>
    <t>GASTOS DE DEPRECIACION</t>
  </si>
  <si>
    <t>PAPELERIA $45</t>
  </si>
  <si>
    <t>IMPRESIÓN DE FACTURAS $50</t>
  </si>
  <si>
    <t>demanda potencial</t>
  </si>
  <si>
    <t>MUEBLES DE OFICINA</t>
  </si>
  <si>
    <t xml:space="preserve">ESCRITORIOS </t>
  </si>
  <si>
    <t>SILLAS DE ESCRITORIO</t>
  </si>
  <si>
    <t>SILLAS DE ESPERA</t>
  </si>
  <si>
    <t>CALCULADORA</t>
  </si>
  <si>
    <t>PAPELERIA MENSUAL</t>
  </si>
  <si>
    <t>Muebles de oficina</t>
  </si>
  <si>
    <t>INGRESOS</t>
  </si>
  <si>
    <t>ACEITE DE JENGIBRE</t>
  </si>
  <si>
    <t>UNIDADES CONSUMIDAS POR AÑO</t>
  </si>
  <si>
    <t>COSTO DE  BOTELLAS</t>
  </si>
  <si>
    <t>PRECIOS</t>
  </si>
  <si>
    <t>ESTADO DE PERDIDAS Y GANANCIAS</t>
  </si>
  <si>
    <t>INGRESOS OPERATIVOS</t>
  </si>
  <si>
    <t>COSTOS OPERATIVOS</t>
  </si>
  <si>
    <t>UTILIDAD BRUTA</t>
  </si>
  <si>
    <t>GASTOS:</t>
  </si>
  <si>
    <t>GASTOS DE ADMINISTRACION</t>
  </si>
  <si>
    <t>GASTOS DE VENTA</t>
  </si>
  <si>
    <t>AMORTIZACION</t>
  </si>
  <si>
    <t>TOTAL DE GASTOS</t>
  </si>
  <si>
    <t>UTILIDAD OPERATIVA</t>
  </si>
  <si>
    <t>15% BENEFIC A LOS TRABAJ</t>
  </si>
  <si>
    <t>UTILIDAD ANTES DE IMPUESTOS</t>
  </si>
  <si>
    <t>25% IMPUESTO A LA RENTA</t>
  </si>
  <si>
    <t>UTILIDAD NETA</t>
  </si>
  <si>
    <t>CAPITAL DE OPERACIÓN</t>
  </si>
  <si>
    <t>COSTOS TOTALES</t>
  </si>
  <si>
    <t>METODO DE MAXIMO DEFICIT ACUMULADO</t>
  </si>
  <si>
    <t>GASTOS</t>
  </si>
  <si>
    <t xml:space="preserve">MESES </t>
  </si>
  <si>
    <t>ENERO</t>
  </si>
  <si>
    <t>FEBRER</t>
  </si>
  <si>
    <t>MARZO</t>
  </si>
  <si>
    <t xml:space="preserve">ABRIL </t>
  </si>
  <si>
    <t>MAYO</t>
  </si>
  <si>
    <t>JUNI</t>
  </si>
  <si>
    <t>JULIO</t>
  </si>
  <si>
    <t>AGOST</t>
  </si>
  <si>
    <t>SEPT</t>
  </si>
  <si>
    <t>OCTUB</t>
  </si>
  <si>
    <t>NOV</t>
  </si>
  <si>
    <t>DIC</t>
  </si>
  <si>
    <t>SALDOS</t>
  </si>
  <si>
    <t>SALDOS ACUMULADOS</t>
  </si>
  <si>
    <t>FLUJO DE CAJA DEL PROYECTO</t>
  </si>
  <si>
    <t>A INGRESOS OPERATIVOS</t>
  </si>
  <si>
    <t>-</t>
  </si>
  <si>
    <t>GASTOS ADMINISTRACION</t>
  </si>
  <si>
    <t>GASTOS DE AMORTIZACION</t>
  </si>
  <si>
    <t>IMPUESTO</t>
  </si>
  <si>
    <t>INVERSION INICIAL</t>
  </si>
  <si>
    <t>INVERSION CAPITAL DE TRABAJO</t>
  </si>
  <si>
    <t>VALOR DE DESECHO</t>
  </si>
  <si>
    <t>FLUJO DE CAJA</t>
  </si>
  <si>
    <t>Ke:TMAR= CAPM=</t>
  </si>
  <si>
    <t>TIR=</t>
  </si>
  <si>
    <t>VAN=</t>
  </si>
  <si>
    <t>I. INVERSION FIJA</t>
  </si>
  <si>
    <t>MAQUINARIA</t>
  </si>
  <si>
    <t>SUBTOTAL</t>
  </si>
  <si>
    <t>IMPREVISTOS 5%</t>
  </si>
  <si>
    <t>I. INVERSION DIFERIDA</t>
  </si>
  <si>
    <t>CONSTITUCION DE EMPRESA  E IMPUESTOS</t>
  </si>
  <si>
    <t>TOTAL DE INVERSION DIFERIDA</t>
  </si>
  <si>
    <t>TOTAL ACTIVOS FIJOS Y DIF</t>
  </si>
  <si>
    <t>III. CAPITAL DE OPERACIÓN</t>
  </si>
  <si>
    <t>CAPITAL DE TRABAJO</t>
  </si>
  <si>
    <t>INVERSION TOTAL</t>
  </si>
  <si>
    <t>IV FINANCIAMIENTO</t>
  </si>
  <si>
    <t>CAPITAL PROPIO</t>
  </si>
  <si>
    <t>CREDITO</t>
  </si>
  <si>
    <t>TOTAL DE FINANCIAMIENTO</t>
  </si>
  <si>
    <t>TECHADO Y CUBIERTA</t>
  </si>
  <si>
    <t>FLUJO DE CAJA DEL INVERSIONISTA</t>
  </si>
  <si>
    <t>INTERES PRESTAMO</t>
  </si>
  <si>
    <t>UTILIDAD ANTES DE IMPUESTO</t>
  </si>
  <si>
    <t>PRESTAMO</t>
  </si>
  <si>
    <t>AMORTIZACION DE LA DEUDA</t>
  </si>
  <si>
    <t>FFLUJO DE CAJA</t>
  </si>
  <si>
    <t>Ko CC =</t>
  </si>
  <si>
    <t>BETA DESAPALANCADO</t>
  </si>
  <si>
    <t>B^(s/d)</t>
  </si>
  <si>
    <t>=</t>
  </si>
  <si>
    <t>B^(c/d)</t>
  </si>
  <si>
    <t>1+(1-tc)D/P</t>
  </si>
  <si>
    <t>1+(1-,25)</t>
  </si>
  <si>
    <t>CAPM= COSTO DE CAPITAL PROPIO</t>
  </si>
  <si>
    <t>Ke</t>
  </si>
  <si>
    <t>Rf        +    (E(Rm)-Rf)*B       + Sp</t>
  </si>
  <si>
    <t>TMAR</t>
  </si>
  <si>
    <t>Rf= Tasa de libre riesgo</t>
  </si>
  <si>
    <t>E(Rm)= Rendimiento de Mercado</t>
  </si>
  <si>
    <t>Sp=Tasa de riesgo pais</t>
  </si>
  <si>
    <t>D=DEUDA</t>
  </si>
  <si>
    <t>P=PATRIMONIO</t>
  </si>
  <si>
    <r>
      <t>B</t>
    </r>
    <r>
      <rPr>
        <sz val="11"/>
        <color indexed="8"/>
        <rFont val="Calibri"/>
        <family val="2"/>
      </rPr>
      <t>^(c/d)=beta apalancado</t>
    </r>
  </si>
  <si>
    <t>B= Beta desapalancado</t>
  </si>
  <si>
    <t>A    =</t>
  </si>
  <si>
    <t>A=</t>
  </si>
  <si>
    <t>*</t>
  </si>
  <si>
    <t>TABLA DE AMORTIZACION</t>
  </si>
  <si>
    <t>FECHA</t>
  </si>
  <si>
    <t>PAGO ANUAL</t>
  </si>
  <si>
    <t>9,35% INTERESES SOBRE SALDOS</t>
  </si>
  <si>
    <t>AÑO 0</t>
  </si>
  <si>
    <t>FINAL AÑO 1</t>
  </si>
  <si>
    <t>FINAL AÑO 2</t>
  </si>
  <si>
    <t>FINAL AÑO 3</t>
  </si>
  <si>
    <t>FINAL AÑO 4</t>
  </si>
  <si>
    <t>FINAL AÑO 5</t>
  </si>
  <si>
    <t>TOTALES</t>
  </si>
  <si>
    <t>SE REALIZA UN PRESTAMO</t>
  </si>
  <si>
    <t>TASA DE INTERES</t>
  </si>
  <si>
    <t>KRAFT</t>
  </si>
  <si>
    <t>TYSON</t>
  </si>
  <si>
    <t>CONAGRA</t>
  </si>
  <si>
    <t>PROMEDIO</t>
  </si>
  <si>
    <t>BETA</t>
  </si>
  <si>
    <t>RENDIMIENTO</t>
  </si>
  <si>
    <t>COSTO DEL CAPITAL</t>
  </si>
  <si>
    <t>Ko=Ke</t>
  </si>
  <si>
    <t>Kd*           D/A         +Ke            *P/A</t>
  </si>
  <si>
    <t>Kd=COSTO DE LA DEUDA</t>
  </si>
  <si>
    <t>D/A= DEUDA/TOTAL DE LA INVERSION</t>
  </si>
  <si>
    <t>P/A= PATRIMONIO/TOTAL DE LA INVERSION</t>
  </si>
  <si>
    <t>ACTIVOS</t>
  </si>
  <si>
    <t>tc=impuesto del pais(IMP RTA)</t>
  </si>
  <si>
    <t>1-(1+0,0925)*^-5</t>
  </si>
  <si>
    <t>QUE LA TIR SEA MAYOR QUE LA TMAR SIGNIFICA QUE EL PROYECTO ES ECONOMICAMENTE VIABLE</t>
  </si>
  <si>
    <t>VALOR EN LIBROS</t>
  </si>
  <si>
    <t>VAN</t>
  </si>
  <si>
    <t>TIR</t>
  </si>
  <si>
    <t>RIESGO PAIS ECUADOR</t>
  </si>
  <si>
    <t>Demanda</t>
  </si>
  <si>
    <t>veces que consume el producto una persona</t>
  </si>
  <si>
    <t>FINANCIAMIENTO DE LA INVERSION FIJA, DIFERIDA Y CAPITAL DE OPERACIÓN</t>
  </si>
  <si>
    <t>Maquinaria</t>
  </si>
  <si>
    <t>EQUIPO DE OFICINA</t>
  </si>
  <si>
    <t>AIRE ACONDICIONADO</t>
  </si>
  <si>
    <t>AIRE PEQUEÑO</t>
  </si>
  <si>
    <t>IMPRESORAS MULTIFUNCIONAL</t>
  </si>
  <si>
    <t>TELEFONO FAX</t>
  </si>
  <si>
    <t xml:space="preserve">TELEFONO </t>
  </si>
  <si>
    <t>INTERCOMUNICADORES</t>
  </si>
  <si>
    <t>Equipo de oficina</t>
  </si>
  <si>
    <t>ENCARGADO DE MARKETING</t>
  </si>
  <si>
    <t>GERENTE</t>
  </si>
  <si>
    <t>RECURSOS HUMANOS</t>
  </si>
  <si>
    <t>CONTADORA</t>
  </si>
  <si>
    <t>VENDEDORES</t>
  </si>
  <si>
    <t>ASISTENTES</t>
  </si>
  <si>
    <t>LLEGA  EL ACEITE A LAS BODEGAS</t>
  </si>
  <si>
    <t>SE PROCEDE AL ENVASADO Y SELLADO</t>
  </si>
  <si>
    <t>SE PROCEDE A RETIRAR EL PRODUCTO PARA ENVIAR A DESPACHO</t>
  </si>
  <si>
    <t>SE COLOCA EN CAJA DE 24 UNIDADES</t>
  </si>
  <si>
    <t>SE COLOCA ETIQUETAS</t>
  </si>
  <si>
    <t>SE APILA LAS CAJAS LISTA PARA LA ENTREGA</t>
  </si>
  <si>
    <t>OBRERO</t>
  </si>
  <si>
    <t>OPERADOR DE ENVASADO</t>
  </si>
  <si>
    <t>OPERADOR DE SELLADO</t>
  </si>
  <si>
    <t>PROCESO DE ENVASADO</t>
  </si>
  <si>
    <t>AÑOS</t>
  </si>
  <si>
    <t>Techado cableado</t>
  </si>
  <si>
    <t>TECHADO Y CABLEADO</t>
  </si>
  <si>
    <t>Embotellado</t>
  </si>
  <si>
    <t>Oficina</t>
  </si>
  <si>
    <t>Almacenamiento</t>
  </si>
  <si>
    <t>Despacho</t>
  </si>
  <si>
    <t>Presupuesto</t>
  </si>
  <si>
    <t>CONTADOR</t>
  </si>
  <si>
    <t>GASTOS DE SEGUROS</t>
  </si>
  <si>
    <t>GASTOS DE MANTENIMIENTO</t>
  </si>
  <si>
    <t xml:space="preserve">COSTO DEL ACEITE DE 250ML </t>
  </si>
  <si>
    <t>UNIDADES COMPRADAS AL AÑO</t>
  </si>
  <si>
    <t>ENVASADO</t>
  </si>
  <si>
    <t>SELLADO</t>
  </si>
  <si>
    <t>DESPACHO</t>
  </si>
  <si>
    <t>COSTO DEL ACEITE</t>
  </si>
  <si>
    <t>MARGEN BRUTO</t>
  </si>
  <si>
    <t>COSTOS OPERATIVOS:</t>
  </si>
  <si>
    <t xml:space="preserve">FLETE </t>
  </si>
  <si>
    <t>DISTRIBUCION DEL PRODUCTO</t>
  </si>
  <si>
    <t>NUMERO DE BOTELLAS DE 250ML ANUAL</t>
  </si>
  <si>
    <t>CAJAS DE 24 UN</t>
  </si>
  <si>
    <t>BOTELLAS PRODUCIDAS POR HORA</t>
  </si>
  <si>
    <t>BOTELLAS DIARIAS ENVASADAS</t>
  </si>
  <si>
    <t>costo hora de alquiler del camion</t>
  </si>
  <si>
    <t>ACEITE DE 250 ML venta</t>
  </si>
  <si>
    <t>Tanques de almacenamiento</t>
  </si>
  <si>
    <t>COSTO DEL CARTON PARA EMPAQUE</t>
  </si>
  <si>
    <t>COSTO DEL CARTON</t>
  </si>
  <si>
    <t>LUZ+medidor industrial</t>
  </si>
  <si>
    <t>TELEFONO+linea nueva</t>
  </si>
  <si>
    <t>GUARDIAS</t>
  </si>
  <si>
    <t>ingreso potencial</t>
  </si>
  <si>
    <t># DE VECES QUE UNA PERSONA CONSUME AL AÑO</t>
  </si>
  <si>
    <t>EMBOTELLADORA</t>
  </si>
  <si>
    <t>SELLADORA</t>
  </si>
  <si>
    <t>ETIQUETADORA</t>
  </si>
  <si>
    <t>COSTO POR HORA</t>
  </si>
  <si>
    <t>UTILIDAD A LOS TRABAJA</t>
  </si>
  <si>
    <t>UTILIDAD ANTES DE IMP</t>
  </si>
  <si>
    <t>IMPUESTO A LA RENTA</t>
  </si>
  <si>
    <t>bce.fin.ec</t>
  </si>
  <si>
    <t>0,0242 +   (0,0265-0,0242)*0,56+0,2462</t>
  </si>
  <si>
    <t>www.portafoliopersonal.com</t>
  </si>
  <si>
    <t>www.bce.gov.ec</t>
  </si>
  <si>
    <t>www.google.finanzas.com</t>
  </si>
  <si>
    <t>GASTOS DE PRODUCCION</t>
  </si>
  <si>
    <t>COSTO DE ACEITE</t>
  </si>
  <si>
    <t>COSTO DE PRODUCCION (ANUAL)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</si>
</sst>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&quot;$&quot;\ #,##0.00"/>
    <numFmt numFmtId="166" formatCode="0.0000"/>
    <numFmt numFmtId="167" formatCode="0.000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Times New Roman"/>
      <family val="1"/>
    </font>
    <font>
      <b/>
      <i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u val="single"/>
      <sz val="10"/>
      <color rgb="FF000000"/>
      <name val="Arial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rgb="FF000000"/>
      <name val="Arial"/>
      <family val="2"/>
    </font>
    <font>
      <b/>
      <u val="single"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53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52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0" fillId="0" borderId="16" xfId="0" applyFill="1" applyBorder="1" applyAlignment="1">
      <alignment/>
    </xf>
    <xf numFmtId="0" fontId="53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horizontal="right" vertical="top"/>
    </xf>
    <xf numFmtId="1" fontId="52" fillId="0" borderId="0" xfId="0" applyNumberFormat="1" applyFont="1" applyAlignment="1">
      <alignment/>
    </xf>
    <xf numFmtId="0" fontId="52" fillId="0" borderId="0" xfId="0" applyFont="1" applyFill="1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5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9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9" fontId="0" fillId="0" borderId="1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 wrapText="1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2" fillId="9" borderId="15" xfId="0" applyFont="1" applyFill="1" applyBorder="1" applyAlignment="1">
      <alignment/>
    </xf>
    <xf numFmtId="0" fontId="52" fillId="9" borderId="14" xfId="0" applyFon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1" fontId="52" fillId="0" borderId="26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52" fillId="9" borderId="27" xfId="0" applyFont="1" applyFill="1" applyBorder="1" applyAlignment="1">
      <alignment/>
    </xf>
    <xf numFmtId="0" fontId="0" fillId="9" borderId="14" xfId="0" applyFill="1" applyBorder="1" applyAlignment="1">
      <alignment/>
    </xf>
    <xf numFmtId="0" fontId="52" fillId="9" borderId="28" xfId="0" applyFont="1" applyFill="1" applyBorder="1" applyAlignment="1">
      <alignment/>
    </xf>
    <xf numFmtId="1" fontId="59" fillId="0" borderId="0" xfId="0" applyNumberFormat="1" applyFont="1" applyAlignment="1">
      <alignment/>
    </xf>
    <xf numFmtId="1" fontId="59" fillId="0" borderId="22" xfId="0" applyNumberFormat="1" applyFont="1" applyBorder="1" applyAlignment="1">
      <alignment/>
    </xf>
    <xf numFmtId="1" fontId="59" fillId="0" borderId="23" xfId="0" applyNumberFormat="1" applyFont="1" applyBorder="1" applyAlignment="1">
      <alignment/>
    </xf>
    <xf numFmtId="0" fontId="52" fillId="9" borderId="29" xfId="0" applyFont="1" applyFill="1" applyBorder="1" applyAlignment="1">
      <alignment/>
    </xf>
    <xf numFmtId="1" fontId="0" fillId="0" borderId="26" xfId="0" applyNumberFormat="1" applyBorder="1" applyAlignment="1">
      <alignment/>
    </xf>
    <xf numFmtId="1" fontId="0" fillId="34" borderId="26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30" xfId="0" applyNumberFormat="1" applyBorder="1" applyAlignment="1">
      <alignment/>
    </xf>
    <xf numFmtId="0" fontId="60" fillId="9" borderId="31" xfId="0" applyFont="1" applyFill="1" applyBorder="1" applyAlignment="1">
      <alignment/>
    </xf>
    <xf numFmtId="0" fontId="60" fillId="9" borderId="32" xfId="0" applyFont="1" applyFill="1" applyBorder="1" applyAlignment="1">
      <alignment/>
    </xf>
    <xf numFmtId="0" fontId="60" fillId="9" borderId="33" xfId="0" applyFont="1" applyFill="1" applyBorder="1" applyAlignment="1">
      <alignment/>
    </xf>
    <xf numFmtId="0" fontId="60" fillId="9" borderId="34" xfId="0" applyFont="1" applyFill="1" applyBorder="1" applyAlignment="1">
      <alignment/>
    </xf>
    <xf numFmtId="0" fontId="60" fillId="9" borderId="35" xfId="0" applyFont="1" applyFill="1" applyBorder="1" applyAlignment="1">
      <alignment/>
    </xf>
    <xf numFmtId="0" fontId="60" fillId="0" borderId="35" xfId="0" applyFont="1" applyBorder="1" applyAlignment="1">
      <alignment horizontal="center"/>
    </xf>
    <xf numFmtId="1" fontId="60" fillId="0" borderId="36" xfId="0" applyNumberFormat="1" applyFont="1" applyBorder="1" applyAlignment="1">
      <alignment/>
    </xf>
    <xf numFmtId="0" fontId="61" fillId="9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1" fontId="61" fillId="0" borderId="37" xfId="0" applyNumberFormat="1" applyFont="1" applyBorder="1" applyAlignment="1">
      <alignment/>
    </xf>
    <xf numFmtId="1" fontId="61" fillId="0" borderId="24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1" fontId="0" fillId="0" borderId="37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60" fillId="9" borderId="24" xfId="0" applyFont="1" applyFill="1" applyBorder="1" applyAlignment="1">
      <alignment/>
    </xf>
    <xf numFmtId="0" fontId="60" fillId="0" borderId="24" xfId="0" applyFont="1" applyBorder="1" applyAlignment="1">
      <alignment horizontal="center"/>
    </xf>
    <xf numFmtId="1" fontId="62" fillId="0" borderId="37" xfId="0" applyNumberFormat="1" applyFont="1" applyBorder="1" applyAlignment="1">
      <alignment/>
    </xf>
    <xf numFmtId="1" fontId="62" fillId="0" borderId="24" xfId="0" applyNumberFormat="1" applyFont="1" applyBorder="1" applyAlignment="1">
      <alignment horizontal="center"/>
    </xf>
    <xf numFmtId="1" fontId="60" fillId="0" borderId="37" xfId="0" applyNumberFormat="1" applyFont="1" applyBorder="1" applyAlignment="1">
      <alignment/>
    </xf>
    <xf numFmtId="1" fontId="61" fillId="0" borderId="24" xfId="0" applyNumberFormat="1" applyFont="1" applyBorder="1" applyAlignment="1">
      <alignment horizontal="center"/>
    </xf>
    <xf numFmtId="0" fontId="61" fillId="9" borderId="25" xfId="0" applyFont="1" applyFill="1" applyBorder="1" applyAlignment="1">
      <alignment/>
    </xf>
    <xf numFmtId="0" fontId="61" fillId="0" borderId="0" xfId="0" applyFont="1" applyBorder="1" applyAlignment="1">
      <alignment/>
    </xf>
    <xf numFmtId="0" fontId="61" fillId="0" borderId="25" xfId="0" applyFont="1" applyBorder="1" applyAlignment="1">
      <alignment/>
    </xf>
    <xf numFmtId="0" fontId="60" fillId="9" borderId="25" xfId="0" applyFont="1" applyFill="1" applyBorder="1" applyAlignment="1">
      <alignment/>
    </xf>
    <xf numFmtId="1" fontId="61" fillId="0" borderId="25" xfId="0" applyNumberFormat="1" applyFont="1" applyBorder="1" applyAlignment="1">
      <alignment/>
    </xf>
    <xf numFmtId="1" fontId="61" fillId="0" borderId="0" xfId="0" applyNumberFormat="1" applyFont="1" applyBorder="1" applyAlignment="1">
      <alignment/>
    </xf>
    <xf numFmtId="1" fontId="61" fillId="0" borderId="38" xfId="0" applyNumberFormat="1" applyFont="1" applyBorder="1" applyAlignment="1">
      <alignment/>
    </xf>
    <xf numFmtId="0" fontId="61" fillId="9" borderId="31" xfId="0" applyFont="1" applyFill="1" applyBorder="1" applyAlignment="1">
      <alignment/>
    </xf>
    <xf numFmtId="1" fontId="61" fillId="0" borderId="39" xfId="0" applyNumberFormat="1" applyFont="1" applyBorder="1" applyAlignment="1">
      <alignment/>
    </xf>
    <xf numFmtId="1" fontId="61" fillId="0" borderId="40" xfId="0" applyNumberFormat="1" applyFont="1" applyBorder="1" applyAlignment="1">
      <alignment/>
    </xf>
    <xf numFmtId="0" fontId="61" fillId="9" borderId="41" xfId="0" applyFont="1" applyFill="1" applyBorder="1" applyAlignment="1">
      <alignment/>
    </xf>
    <xf numFmtId="10" fontId="61" fillId="0" borderId="41" xfId="0" applyNumberFormat="1" applyFont="1" applyBorder="1" applyAlignment="1">
      <alignment/>
    </xf>
    <xf numFmtId="9" fontId="61" fillId="0" borderId="24" xfId="0" applyNumberFormat="1" applyFont="1" applyBorder="1" applyAlignment="1">
      <alignment/>
    </xf>
    <xf numFmtId="0" fontId="61" fillId="9" borderId="39" xfId="0" applyFont="1" applyFill="1" applyBorder="1" applyAlignment="1">
      <alignment/>
    </xf>
    <xf numFmtId="0" fontId="60" fillId="9" borderId="42" xfId="0" applyFont="1" applyFill="1" applyBorder="1" applyAlignment="1">
      <alignment/>
    </xf>
    <xf numFmtId="0" fontId="61" fillId="0" borderId="43" xfId="0" applyFont="1" applyBorder="1" applyAlignment="1">
      <alignment/>
    </xf>
    <xf numFmtId="0" fontId="61" fillId="9" borderId="44" xfId="0" applyFont="1" applyFill="1" applyBorder="1" applyAlignment="1">
      <alignment/>
    </xf>
    <xf numFmtId="0" fontId="61" fillId="0" borderId="24" xfId="0" applyFont="1" applyBorder="1" applyAlignment="1">
      <alignment/>
    </xf>
    <xf numFmtId="1" fontId="63" fillId="0" borderId="24" xfId="0" applyNumberFormat="1" applyFont="1" applyBorder="1" applyAlignment="1">
      <alignment/>
    </xf>
    <xf numFmtId="0" fontId="60" fillId="9" borderId="44" xfId="0" applyFont="1" applyFill="1" applyBorder="1" applyAlignment="1">
      <alignment/>
    </xf>
    <xf numFmtId="1" fontId="60" fillId="9" borderId="45" xfId="0" applyNumberFormat="1" applyFont="1" applyFill="1" applyBorder="1" applyAlignment="1">
      <alignment/>
    </xf>
    <xf numFmtId="1" fontId="60" fillId="9" borderId="31" xfId="0" applyNumberFormat="1" applyFont="1" applyFill="1" applyBorder="1" applyAlignment="1">
      <alignment/>
    </xf>
    <xf numFmtId="0" fontId="60" fillId="9" borderId="46" xfId="0" applyFont="1" applyFill="1" applyBorder="1" applyAlignment="1">
      <alignment/>
    </xf>
    <xf numFmtId="0" fontId="60" fillId="9" borderId="20" xfId="0" applyFont="1" applyFill="1" applyBorder="1" applyAlignment="1">
      <alignment/>
    </xf>
    <xf numFmtId="0" fontId="60" fillId="9" borderId="43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1" fontId="60" fillId="0" borderId="35" xfId="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18" xfId="0" applyFont="1" applyBorder="1" applyAlignment="1">
      <alignment horizontal="center"/>
    </xf>
    <xf numFmtId="1" fontId="62" fillId="0" borderId="45" xfId="0" applyNumberFormat="1" applyFont="1" applyBorder="1" applyAlignment="1">
      <alignment/>
    </xf>
    <xf numFmtId="1" fontId="62" fillId="0" borderId="14" xfId="0" applyNumberFormat="1" applyFont="1" applyBorder="1" applyAlignment="1">
      <alignment horizontal="center"/>
    </xf>
    <xf numFmtId="1" fontId="60" fillId="0" borderId="43" xfId="0" applyNumberFormat="1" applyFont="1" applyBorder="1" applyAlignment="1">
      <alignment/>
    </xf>
    <xf numFmtId="1" fontId="61" fillId="0" borderId="37" xfId="0" applyNumberFormat="1" applyFont="1" applyBorder="1" applyAlignment="1">
      <alignment horizontal="center"/>
    </xf>
    <xf numFmtId="0" fontId="61" fillId="9" borderId="45" xfId="0" applyFont="1" applyFill="1" applyBorder="1" applyAlignment="1">
      <alignment/>
    </xf>
    <xf numFmtId="1" fontId="61" fillId="0" borderId="14" xfId="0" applyNumberFormat="1" applyFont="1" applyBorder="1" applyAlignment="1">
      <alignment/>
    </xf>
    <xf numFmtId="1" fontId="61" fillId="0" borderId="31" xfId="0" applyNumberFormat="1" applyFont="1" applyBorder="1" applyAlignment="1">
      <alignment/>
    </xf>
    <xf numFmtId="0" fontId="61" fillId="9" borderId="42" xfId="0" applyFont="1" applyFill="1" applyBorder="1" applyAlignment="1">
      <alignment/>
    </xf>
    <xf numFmtId="10" fontId="61" fillId="0" borderId="47" xfId="0" applyNumberFormat="1" applyFont="1" applyBorder="1" applyAlignment="1">
      <alignment/>
    </xf>
    <xf numFmtId="9" fontId="61" fillId="0" borderId="48" xfId="0" applyNumberFormat="1" applyFont="1" applyBorder="1" applyAlignment="1">
      <alignment/>
    </xf>
    <xf numFmtId="0" fontId="61" fillId="9" borderId="11" xfId="0" applyFont="1" applyFill="1" applyBorder="1" applyAlignment="1">
      <alignment/>
    </xf>
    <xf numFmtId="1" fontId="61" fillId="0" borderId="17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0" fontId="52" fillId="0" borderId="0" xfId="0" applyFont="1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" fontId="52" fillId="9" borderId="43" xfId="0" applyNumberFormat="1" applyFont="1" applyFill="1" applyBorder="1" applyAlignment="1">
      <alignment/>
    </xf>
    <xf numFmtId="10" fontId="52" fillId="9" borderId="43" xfId="0" applyNumberFormat="1" applyFont="1" applyFill="1" applyBorder="1" applyAlignment="1">
      <alignment/>
    </xf>
    <xf numFmtId="1" fontId="52" fillId="9" borderId="15" xfId="0" applyNumberFormat="1" applyFont="1" applyFill="1" applyBorder="1" applyAlignment="1">
      <alignment/>
    </xf>
    <xf numFmtId="1" fontId="0" fillId="9" borderId="27" xfId="0" applyNumberFormat="1" applyFill="1" applyBorder="1" applyAlignment="1">
      <alignment/>
    </xf>
    <xf numFmtId="0" fontId="0" fillId="0" borderId="21" xfId="0" applyBorder="1" applyAlignment="1">
      <alignment/>
    </xf>
    <xf numFmtId="1" fontId="0" fillId="9" borderId="28" xfId="0" applyNumberFormat="1" applyFill="1" applyBorder="1" applyAlignment="1">
      <alignment/>
    </xf>
    <xf numFmtId="1" fontId="0" fillId="9" borderId="29" xfId="0" applyNumberFormat="1" applyFill="1" applyBorder="1" applyAlignment="1">
      <alignment/>
    </xf>
    <xf numFmtId="0" fontId="0" fillId="0" borderId="30" xfId="0" applyBorder="1" applyAlignment="1">
      <alignment/>
    </xf>
    <xf numFmtId="1" fontId="0" fillId="0" borderId="22" xfId="0" applyNumberFormat="1" applyFont="1" applyBorder="1" applyAlignment="1">
      <alignment/>
    </xf>
    <xf numFmtId="1" fontId="52" fillId="0" borderId="49" xfId="0" applyNumberFormat="1" applyFont="1" applyBorder="1" applyAlignment="1">
      <alignment/>
    </xf>
    <xf numFmtId="0" fontId="60" fillId="9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2" fontId="52" fillId="0" borderId="0" xfId="0" applyNumberFormat="1" applyFont="1" applyFill="1" applyBorder="1" applyAlignment="1">
      <alignment horizontal="right"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9" fontId="0" fillId="0" borderId="16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61" fillId="9" borderId="0" xfId="0" applyFont="1" applyFill="1" applyBorder="1" applyAlignment="1">
      <alignment/>
    </xf>
    <xf numFmtId="0" fontId="0" fillId="35" borderId="0" xfId="0" applyFill="1" applyAlignment="1">
      <alignment/>
    </xf>
    <xf numFmtId="1" fontId="59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37" xfId="0" applyNumberFormat="1" applyBorder="1" applyAlignment="1">
      <alignment/>
    </xf>
    <xf numFmtId="0" fontId="54" fillId="0" borderId="0" xfId="0" applyFont="1" applyFill="1" applyBorder="1" applyAlignment="1">
      <alignment horizontal="left" vertical="top"/>
    </xf>
    <xf numFmtId="0" fontId="54" fillId="33" borderId="0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right"/>
    </xf>
    <xf numFmtId="1" fontId="0" fillId="33" borderId="17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54" fillId="0" borderId="10" xfId="0" applyFont="1" applyBorder="1" applyAlignment="1">
      <alignment horizontal="right"/>
    </xf>
    <xf numFmtId="0" fontId="54" fillId="0" borderId="16" xfId="0" applyFont="1" applyBorder="1" applyAlignment="1">
      <alignment horizontal="right"/>
    </xf>
    <xf numFmtId="1" fontId="54" fillId="0" borderId="16" xfId="0" applyNumberFormat="1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16" xfId="0" applyFont="1" applyBorder="1" applyAlignment="1">
      <alignment horizontal="right"/>
    </xf>
    <xf numFmtId="0" fontId="52" fillId="0" borderId="2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NumberFormat="1" applyBorder="1" applyAlignment="1">
      <alignment/>
    </xf>
    <xf numFmtId="0" fontId="5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9" fillId="0" borderId="0" xfId="0" applyFont="1" applyBorder="1" applyAlignment="1">
      <alignment/>
    </xf>
    <xf numFmtId="1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4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4" fillId="0" borderId="10" xfId="0" applyFont="1" applyBorder="1" applyAlignment="1">
      <alignment horizontal="right" wrapText="1"/>
    </xf>
    <xf numFmtId="0" fontId="53" fillId="0" borderId="16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167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Alignment="1">
      <alignment/>
    </xf>
    <xf numFmtId="0" fontId="52" fillId="0" borderId="14" xfId="0" applyFont="1" applyBorder="1" applyAlignment="1">
      <alignment/>
    </xf>
    <xf numFmtId="0" fontId="43" fillId="0" borderId="0" xfId="45" applyAlignment="1" applyProtection="1">
      <alignment/>
      <protection/>
    </xf>
    <xf numFmtId="1" fontId="0" fillId="0" borderId="43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5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65" fillId="0" borderId="31" xfId="0" applyFont="1" applyBorder="1" applyAlignment="1">
      <alignment/>
    </xf>
    <xf numFmtId="0" fontId="65" fillId="0" borderId="19" xfId="0" applyFont="1" applyBorder="1" applyAlignment="1">
      <alignment horizontal="right"/>
    </xf>
    <xf numFmtId="0" fontId="66" fillId="0" borderId="45" xfId="0" applyFont="1" applyBorder="1" applyAlignment="1">
      <alignment/>
    </xf>
    <xf numFmtId="0" fontId="66" fillId="0" borderId="17" xfId="0" applyFont="1" applyBorder="1" applyAlignment="1">
      <alignment horizontal="right"/>
    </xf>
    <xf numFmtId="0" fontId="67" fillId="0" borderId="17" xfId="0" applyFont="1" applyBorder="1" applyAlignment="1">
      <alignment horizontal="right"/>
    </xf>
    <xf numFmtId="0" fontId="65" fillId="0" borderId="45" xfId="0" applyFont="1" applyBorder="1" applyAlignment="1">
      <alignment/>
    </xf>
    <xf numFmtId="0" fontId="65" fillId="0" borderId="17" xfId="0" applyFont="1" applyBorder="1" applyAlignment="1">
      <alignment/>
    </xf>
    <xf numFmtId="0" fontId="68" fillId="0" borderId="17" xfId="0" applyFont="1" applyBorder="1" applyAlignment="1">
      <alignment horizontal="right"/>
    </xf>
    <xf numFmtId="0" fontId="65" fillId="0" borderId="17" xfId="0" applyFont="1" applyBorder="1" applyAlignment="1">
      <alignment horizontal="right"/>
    </xf>
    <xf numFmtId="2" fontId="0" fillId="0" borderId="12" xfId="0" applyNumberFormat="1" applyBorder="1" applyAlignment="1">
      <alignment/>
    </xf>
    <xf numFmtId="1" fontId="59" fillId="0" borderId="16" xfId="0" applyNumberFormat="1" applyFont="1" applyBorder="1" applyAlignment="1">
      <alignment/>
    </xf>
    <xf numFmtId="1" fontId="58" fillId="0" borderId="16" xfId="0" applyNumberFormat="1" applyFont="1" applyBorder="1" applyAlignment="1">
      <alignment/>
    </xf>
    <xf numFmtId="1" fontId="52" fillId="0" borderId="16" xfId="0" applyNumberFormat="1" applyFont="1" applyBorder="1" applyAlignment="1">
      <alignment/>
    </xf>
    <xf numFmtId="1" fontId="52" fillId="0" borderId="12" xfId="0" applyNumberFormat="1" applyFont="1" applyBorder="1" applyAlignment="1">
      <alignment/>
    </xf>
    <xf numFmtId="1" fontId="52" fillId="0" borderId="17" xfId="0" applyNumberFormat="1" applyFont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0" fillId="0" borderId="43" xfId="0" applyBorder="1" applyAlignment="1">
      <alignment/>
    </xf>
    <xf numFmtId="0" fontId="52" fillId="0" borderId="45" xfId="0" applyFont="1" applyFill="1" applyBorder="1" applyAlignment="1">
      <alignment/>
    </xf>
    <xf numFmtId="0" fontId="52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10" fontId="0" fillId="0" borderId="0" xfId="53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2895"/>
          <c:w val="0.69125"/>
          <c:h val="0.65475"/>
        </c:manualLayout>
      </c:layout>
      <c:barChart>
        <c:barDir val="col"/>
        <c:grouping val="stacked"/>
        <c:varyColors val="1"/>
        <c:ser>
          <c:idx val="0"/>
          <c:order val="0"/>
          <c:tx>
            <c:v>Edad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Hoja1!$A$16:$A$20</c:f>
              <c:strCache/>
            </c:strRef>
          </c:cat>
          <c:val>
            <c:numRef>
              <c:f>Hoja1!$C$16:$C$20</c:f>
              <c:numCache/>
            </c:numRef>
          </c:val>
        </c:ser>
        <c:overlap val="100"/>
        <c:axId val="59416291"/>
        <c:axId val="64984572"/>
      </c:barChart>
      <c:cat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572"/>
        <c:crosses val="autoZero"/>
        <c:auto val="1"/>
        <c:lblOffset val="100"/>
        <c:tickLblSkip val="1"/>
        <c:noMultiLvlLbl val="0"/>
      </c:catAx>
      <c:valAx>
        <c:axId val="64984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16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28975"/>
          <c:w val="0.24375"/>
          <c:h val="0.6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5875"/>
          <c:h val="0.82525"/>
        </c:manualLayout>
      </c:layout>
      <c:barChart>
        <c:barDir val="col"/>
        <c:grouping val="stacked"/>
        <c:varyColors val="1"/>
        <c:ser>
          <c:idx val="0"/>
          <c:order val="0"/>
          <c:tx>
            <c:v>¿Ha utilizado Aceite de Jengibre?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Hoja1!$A$80:$A$81</c:f>
              <c:strCache/>
            </c:strRef>
          </c:cat>
          <c:val>
            <c:numRef>
              <c:f>Hoja1!$C$80:$C$81</c:f>
              <c:numCache/>
            </c:numRef>
          </c:val>
        </c:ser>
        <c:overlap val="100"/>
        <c:axId val="1344045"/>
        <c:axId val="12096406"/>
      </c:bar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48375"/>
          <c:w val="0.08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925"/>
          <c:y val="0.143"/>
          <c:w val="0.73875"/>
          <c:h val="0.90425"/>
        </c:manualLayout>
      </c:layout>
      <c:barChart>
        <c:barDir val="col"/>
        <c:grouping val="stacked"/>
        <c:varyColors val="1"/>
        <c:ser>
          <c:idx val="0"/>
          <c:order val="0"/>
          <c:tx>
            <c:v>¿Por qué no lo ha utilizado?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Hoja1!$A$85:$A$88</c:f>
              <c:strCache/>
            </c:strRef>
          </c:cat>
          <c:val>
            <c:numRef>
              <c:f>Hoja1!$C$85:$C$88</c:f>
              <c:numCache/>
            </c:numRef>
          </c:val>
        </c:ser>
        <c:overlap val="100"/>
        <c:axId val="41758791"/>
        <c:axId val="40284800"/>
      </c:bar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39775"/>
          <c:w val="0.316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248"/>
          <c:w val="0.85875"/>
          <c:h val="0.72075"/>
        </c:manualLayout>
      </c:layout>
      <c:barChart>
        <c:barDir val="col"/>
        <c:grouping val="stacked"/>
        <c:varyColors val="1"/>
        <c:ser>
          <c:idx val="0"/>
          <c:order val="0"/>
          <c:tx>
            <c:v>¿Conoce las propiedades del Aceite de Jengibre?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Hoja1!$A$92:$A$93</c:f>
              <c:strCache/>
            </c:strRef>
          </c:cat>
          <c:val>
            <c:numRef>
              <c:f>Hoja1!$C$92:$C$93</c:f>
              <c:numCache/>
            </c:numRef>
          </c:val>
        </c:ser>
        <c:overlap val="100"/>
        <c:axId val="27018881"/>
        <c:axId val="41843338"/>
      </c:bar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53775"/>
          <c:w val="0.08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Conociendo las propiedades, consumiría el Aceite de Jengibre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48"/>
          <c:w val="0.87225"/>
          <c:h val="0.72075"/>
        </c:manualLayout>
      </c:layout>
      <c:barChart>
        <c:barDir val="col"/>
        <c:grouping val="stacked"/>
        <c:varyColors val="1"/>
        <c:ser>
          <c:idx val="0"/>
          <c:order val="0"/>
          <c:tx>
            <c:v>Conociendo las propiedades, consuniría el Aceite de Jengibre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Hoja1!$A$97:$A$98</c:f>
              <c:strCache/>
            </c:strRef>
          </c:cat>
          <c:val>
            <c:numRef>
              <c:f>Hoja1!$C$97:$C$98</c:f>
              <c:numCache/>
            </c:numRef>
          </c:val>
        </c:ser>
        <c:overlap val="100"/>
        <c:axId val="41045723"/>
        <c:axId val="33867188"/>
      </c:bar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5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5"/>
          <c:y val="0.53775"/>
          <c:w val="0.07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248"/>
          <c:w val="0.6595"/>
          <c:h val="0.7245"/>
        </c:manualLayout>
      </c:layout>
      <c:barChart>
        <c:barDir val="col"/>
        <c:grouping val="stacked"/>
        <c:varyColors val="1"/>
        <c:ser>
          <c:idx val="0"/>
          <c:order val="0"/>
          <c:tx>
            <c:v>¿Con qué frecuencia compraría el Aceite?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Hoja1!$A$102:$A$105</c:f>
              <c:strCache/>
            </c:strRef>
          </c:cat>
          <c:val>
            <c:numRef>
              <c:f>Hoja1!$C$102:$C$105</c:f>
              <c:numCache/>
            </c:numRef>
          </c:val>
        </c:ser>
        <c:overlap val="100"/>
        <c:axId val="36369237"/>
        <c:axId val="58887678"/>
      </c:bar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4515"/>
          <c:w val="0.2802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248"/>
          <c:w val="0.7385"/>
          <c:h val="0.7245"/>
        </c:manualLayout>
      </c:layout>
      <c:barChart>
        <c:barDir val="col"/>
        <c:grouping val="stacked"/>
        <c:varyColors val="1"/>
        <c:ser>
          <c:idx val="0"/>
          <c:order val="0"/>
          <c:tx>
            <c:v>¿En qué presentación le gustaría encontrarlo?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Hoja1!$A$109:$A$113</c:f>
              <c:strCache/>
            </c:strRef>
          </c:cat>
          <c:val>
            <c:numRef>
              <c:f>Hoja1!$C$109:$C$113</c:f>
              <c:numCache/>
            </c:numRef>
          </c:val>
        </c:ser>
        <c:overlap val="100"/>
        <c:axId val="60227055"/>
        <c:axId val="5172584"/>
      </c:bar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27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085"/>
          <c:w val="0.210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248"/>
          <c:w val="0.69875"/>
          <c:h val="0.7245"/>
        </c:manualLayout>
      </c:layout>
      <c:barChart>
        <c:barDir val="col"/>
        <c:grouping val="stacked"/>
        <c:varyColors val="1"/>
        <c:ser>
          <c:idx val="0"/>
          <c:order val="0"/>
          <c:tx>
            <c:v>¿Cuánto estaría dispuesto a pagar por un frasco de 250 ml?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Hoja1!$A$117:$A$121</c:f>
              <c:strCache/>
            </c:strRef>
          </c:cat>
          <c:val>
            <c:numRef>
              <c:f>Hoja1!$C$117:$C$121</c:f>
              <c:numCache/>
            </c:numRef>
          </c:val>
        </c:ser>
        <c:overlap val="100"/>
        <c:axId val="46553257"/>
        <c:axId val="16326130"/>
      </c:bar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5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4085"/>
          <c:w val="0.24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375"/>
          <c:y val="0.143"/>
          <c:w val="0.76125"/>
          <c:h val="0.829"/>
        </c:manualLayout>
      </c:layout>
      <c:barChart>
        <c:barDir val="col"/>
        <c:grouping val="stacked"/>
        <c:varyColors val="1"/>
        <c:ser>
          <c:idx val="0"/>
          <c:order val="0"/>
          <c:tx>
            <c:v>¿Dónde le gustaría comprar el producto?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Hoja1!$A$125:$A$129</c:f>
              <c:strCache/>
            </c:strRef>
          </c:cat>
          <c:val>
            <c:numRef>
              <c:f>Hoja1!$C$125:$C$129</c:f>
              <c:numCache/>
            </c:numRef>
          </c:val>
        </c:ser>
        <c:overlap val="100"/>
        <c:axId val="12717443"/>
        <c:axId val="47348124"/>
      </c:bar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17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35475"/>
          <c:w val="0.1942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2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45"/>
          <c:y val="0.2475"/>
          <c:w val="0.7335"/>
          <c:h val="0.732"/>
        </c:manualLayout>
      </c:layout>
      <c:barChart>
        <c:barDir val="col"/>
        <c:grouping val="stacked"/>
        <c:varyColors val="1"/>
        <c:ser>
          <c:idx val="0"/>
          <c:order val="0"/>
          <c:tx>
            <c:v>¿Por cuáles medios le gustaría informarse acerca del Aceite de Jengibre?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Hoja1!$A$133:$A$137</c:f>
              <c:strCache/>
            </c:strRef>
          </c:cat>
          <c:val>
            <c:numRef>
              <c:f>Hoja1!$C$133:$C$137</c:f>
              <c:numCache/>
            </c:numRef>
          </c:val>
        </c:ser>
        <c:overlap val="100"/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9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301"/>
          <c:w val="0.234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75"/>
          <c:y val="0.248"/>
          <c:w val="0.743"/>
          <c:h val="0.72075"/>
        </c:manualLayout>
      </c:layout>
      <c:barChart>
        <c:barDir val="col"/>
        <c:grouping val="stacked"/>
        <c:varyColors val="1"/>
        <c:ser>
          <c:idx val="0"/>
          <c:order val="0"/>
          <c:tx>
            <c:v>¿Qué nombre de gustaría que tenga el producto?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Hoja1!$A$141:$A$143</c:f>
              <c:strCache/>
            </c:strRef>
          </c:cat>
          <c:val>
            <c:numRef>
              <c:f>Hoja1!$C$141:$C$143</c:f>
              <c:numCache/>
            </c:numRef>
          </c:val>
        </c:ser>
        <c:overlap val="100"/>
        <c:axId val="22826391"/>
        <c:axId val="4110928"/>
      </c:bar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6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25"/>
          <c:y val="0.4945"/>
          <c:w val="0.20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75"/>
          <c:y val="0.19575"/>
          <c:w val="0.70675"/>
          <c:h val="0.76175"/>
        </c:manualLayout>
      </c:layout>
      <c:barChart>
        <c:barDir val="col"/>
        <c:grouping val="stacked"/>
        <c:varyColors val="1"/>
        <c:ser>
          <c:idx val="0"/>
          <c:order val="0"/>
          <c:tx>
            <c:v>Sexo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Hoja1!$A$5:$A$6</c:f>
              <c:strCache/>
            </c:strRef>
          </c:cat>
          <c:val>
            <c:numRef>
              <c:f>Hoja1!$C$5:$C$6</c:f>
              <c:numCache/>
            </c:numRef>
          </c:val>
        </c:ser>
        <c:overlap val="100"/>
        <c:gapWidth val="55"/>
        <c:axId val="47990237"/>
        <c:axId val="29258950"/>
      </c:bar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90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805"/>
          <c:w val="0.21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"/>
          <c:y val="0.16175"/>
          <c:w val="0.72225"/>
          <c:h val="0.872"/>
        </c:manualLayout>
      </c:layout>
      <c:barChart>
        <c:barDir val="col"/>
        <c:grouping val="stacked"/>
        <c:varyColors val="1"/>
        <c:ser>
          <c:idx val="0"/>
          <c:order val="0"/>
          <c:tx>
            <c:v>Ingresos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Hoja1!$A$26:$A$29</c:f>
              <c:strCache/>
            </c:strRef>
          </c:cat>
          <c:val>
            <c:numRef>
              <c:f>Hoja1!$C$26:$C$29</c:f>
              <c:numCache/>
            </c:numRef>
          </c:val>
        </c:ser>
        <c:overlap val="100"/>
        <c:axId val="62003959"/>
        <c:axId val="21164720"/>
      </c:bar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3845"/>
          <c:w val="0.212"/>
          <c:h val="0.3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25"/>
          <c:y val="0.16025"/>
          <c:w val="0.736"/>
          <c:h val="0.77275"/>
        </c:manualLayout>
      </c:layout>
      <c:barChart>
        <c:barDir val="col"/>
        <c:grouping val="stacked"/>
        <c:varyColors val="1"/>
        <c:ser>
          <c:idx val="0"/>
          <c:order val="0"/>
          <c:tx>
            <c:v>Formación Académica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Hoja1!$A$33:$A$37</c:f>
              <c:strCache/>
            </c:strRef>
          </c:cat>
          <c:val>
            <c:numRef>
              <c:f>Hoja1!$C$33:$C$37</c:f>
              <c:numCache/>
            </c:numRef>
          </c:val>
        </c:ser>
        <c:overlap val="100"/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"/>
          <c:y val="0.33725"/>
          <c:w val="0.19725"/>
          <c:h val="0.4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3675"/>
          <c:y val="0.143"/>
          <c:w val="0.687"/>
          <c:h val="0.77125"/>
        </c:manualLayout>
      </c:layout>
      <c:barChart>
        <c:barDir val="col"/>
        <c:grouping val="stacked"/>
        <c:varyColors val="1"/>
        <c:ser>
          <c:idx val="0"/>
          <c:order val="0"/>
          <c:tx>
            <c:v>¿A que actividad se dedica?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Hoja1!$A$41:$A$47</c:f>
              <c:strCache/>
            </c:strRef>
          </c:cat>
          <c:val>
            <c:numRef>
              <c:f>Hoja1!$C$41:$C$47</c:f>
              <c:numCache/>
            </c:numRef>
          </c:val>
        </c:ser>
        <c:overlap val="100"/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511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26875"/>
          <c:w val="0.3077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625"/>
          <c:y val="0.143"/>
          <c:w val="0.76375"/>
          <c:h val="0.78225"/>
        </c:manualLayout>
      </c:layout>
      <c:barChart>
        <c:barDir val="col"/>
        <c:grouping val="stacked"/>
        <c:varyColors val="1"/>
        <c:ser>
          <c:idx val="0"/>
          <c:order val="0"/>
          <c:tx>
            <c:v>Área Profesional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Hoja1!$A$51:$A$56</c:f>
              <c:strCache/>
            </c:strRef>
          </c:cat>
          <c:val>
            <c:numRef>
              <c:f>Hoja1!$C$51:$C$56</c:f>
              <c:numCache/>
            </c:numRef>
          </c:val>
        </c:ser>
        <c:overlap val="100"/>
        <c:axId val="54293253"/>
        <c:axId val="18877230"/>
      </c:bar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3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31175"/>
          <c:w val="0.220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75"/>
          <c:y val="0.16025"/>
          <c:w val="0.84875"/>
          <c:h val="0.80475"/>
        </c:manualLayout>
      </c:layout>
      <c:barChart>
        <c:barDir val="col"/>
        <c:grouping val="stacked"/>
        <c:varyColors val="1"/>
        <c:ser>
          <c:idx val="0"/>
          <c:order val="0"/>
          <c:tx>
            <c:v>Elabora pasteles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Hoja1!$A$60:$A$61</c:f>
              <c:strCache/>
            </c:strRef>
          </c:cat>
          <c:val>
            <c:numRef>
              <c:f>Hoja1!$C$60:$C$61</c:f>
              <c:numCache/>
            </c:numRef>
          </c:val>
        </c:ser>
        <c:overlap val="100"/>
        <c:axId val="35677343"/>
        <c:axId val="52660632"/>
      </c:bar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7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2"/>
          <c:w val="0.08875"/>
          <c:h val="0.1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248"/>
          <c:w val="0.68075"/>
          <c:h val="0.7245"/>
        </c:manualLayout>
      </c:layout>
      <c:barChart>
        <c:barDir val="col"/>
        <c:grouping val="stacked"/>
        <c:varyColors val="1"/>
        <c:ser>
          <c:idx val="0"/>
          <c:order val="0"/>
          <c:tx>
            <c:v>¿Qué aceite usa para elaborar los pasteles?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Hoja1!$A$65:$A$68</c:f>
              <c:strCache/>
            </c:strRef>
          </c:cat>
          <c:val>
            <c:numRef>
              <c:f>Hoja1!$C$65:$C$68</c:f>
              <c:numCache/>
            </c:numRef>
          </c:val>
        </c:ser>
        <c:overlap val="100"/>
        <c:axId val="4183641"/>
        <c:axId val="37652770"/>
      </c:bar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2770"/>
        <c:crosses val="autoZero"/>
        <c:auto val="1"/>
        <c:lblOffset val="100"/>
        <c:tickLblSkip val="1"/>
        <c:noMultiLvlLbl val="0"/>
      </c:catAx>
      <c:valAx>
        <c:axId val="37652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515"/>
          <c:w val="0.257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0425"/>
          <c:h val="0.82525"/>
        </c:manualLayout>
      </c:layout>
      <c:barChart>
        <c:barDir val="col"/>
        <c:grouping val="stacked"/>
        <c:varyColors val="1"/>
        <c:ser>
          <c:idx val="0"/>
          <c:order val="0"/>
          <c:tx>
            <c:v>¿Por qué razón usa ese aceite?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Hoja1!$A$72:$A$76</c:f>
              <c:strCache/>
            </c:strRef>
          </c:cat>
          <c:val>
            <c:numRef>
              <c:f>Hoja1!$C$72:$C$76</c:f>
              <c:numCache/>
            </c:numRef>
          </c:val>
        </c:ser>
        <c:overlap val="100"/>
        <c:axId val="3330611"/>
        <c:axId val="29975500"/>
      </c:bar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35475"/>
          <c:w val="0.136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13</xdr:row>
      <xdr:rowOff>123825</xdr:rowOff>
    </xdr:from>
    <xdr:to>
      <xdr:col>10</xdr:col>
      <xdr:colOff>152400</xdr:colOff>
      <xdr:row>21</xdr:row>
      <xdr:rowOff>0</xdr:rowOff>
    </xdr:to>
    <xdr:graphicFrame>
      <xdr:nvGraphicFramePr>
        <xdr:cNvPr id="1" name="3 Gráfico"/>
        <xdr:cNvGraphicFramePr/>
      </xdr:nvGraphicFramePr>
      <xdr:xfrm>
        <a:off x="6638925" y="2600325"/>
        <a:ext cx="42672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9</xdr:col>
      <xdr:colOff>352425</xdr:colOff>
      <xdr:row>12</xdr:row>
      <xdr:rowOff>152400</xdr:rowOff>
    </xdr:to>
    <xdr:graphicFrame>
      <xdr:nvGraphicFramePr>
        <xdr:cNvPr id="2" name="4 Gráfico"/>
        <xdr:cNvGraphicFramePr/>
      </xdr:nvGraphicFramePr>
      <xdr:xfrm>
        <a:off x="6791325" y="409575"/>
        <a:ext cx="35528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514350</xdr:colOff>
      <xdr:row>22</xdr:row>
      <xdr:rowOff>28575</xdr:rowOff>
    </xdr:from>
    <xdr:to>
      <xdr:col>10</xdr:col>
      <xdr:colOff>161925</xdr:colOff>
      <xdr:row>34</xdr:row>
      <xdr:rowOff>180975</xdr:rowOff>
    </xdr:to>
    <xdr:graphicFrame>
      <xdr:nvGraphicFramePr>
        <xdr:cNvPr id="3" name="5 Gráfico"/>
        <xdr:cNvGraphicFramePr/>
      </xdr:nvGraphicFramePr>
      <xdr:xfrm>
        <a:off x="6696075" y="4219575"/>
        <a:ext cx="42195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36</xdr:row>
      <xdr:rowOff>19050</xdr:rowOff>
    </xdr:from>
    <xdr:to>
      <xdr:col>10</xdr:col>
      <xdr:colOff>114300</xdr:colOff>
      <xdr:row>49</xdr:row>
      <xdr:rowOff>0</xdr:rowOff>
    </xdr:to>
    <xdr:graphicFrame>
      <xdr:nvGraphicFramePr>
        <xdr:cNvPr id="4" name="6 Gráfico"/>
        <xdr:cNvGraphicFramePr/>
      </xdr:nvGraphicFramePr>
      <xdr:xfrm>
        <a:off x="6772275" y="6877050"/>
        <a:ext cx="40957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50</xdr:row>
      <xdr:rowOff>9525</xdr:rowOff>
    </xdr:from>
    <xdr:to>
      <xdr:col>10</xdr:col>
      <xdr:colOff>600075</xdr:colOff>
      <xdr:row>64</xdr:row>
      <xdr:rowOff>85725</xdr:rowOff>
    </xdr:to>
    <xdr:graphicFrame>
      <xdr:nvGraphicFramePr>
        <xdr:cNvPr id="5" name="7 Gráfico"/>
        <xdr:cNvGraphicFramePr/>
      </xdr:nvGraphicFramePr>
      <xdr:xfrm>
        <a:off x="6781800" y="95345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581025</xdr:colOff>
      <xdr:row>65</xdr:row>
      <xdr:rowOff>85725</xdr:rowOff>
    </xdr:from>
    <xdr:to>
      <xdr:col>10</xdr:col>
      <xdr:colOff>581025</xdr:colOff>
      <xdr:row>79</xdr:row>
      <xdr:rowOff>161925</xdr:rowOff>
    </xdr:to>
    <xdr:graphicFrame>
      <xdr:nvGraphicFramePr>
        <xdr:cNvPr id="6" name="8 Gráfico"/>
        <xdr:cNvGraphicFramePr/>
      </xdr:nvGraphicFramePr>
      <xdr:xfrm>
        <a:off x="6762750" y="124682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38100</xdr:colOff>
      <xdr:row>82</xdr:row>
      <xdr:rowOff>19050</xdr:rowOff>
    </xdr:from>
    <xdr:to>
      <xdr:col>10</xdr:col>
      <xdr:colOff>495300</xdr:colOff>
      <xdr:row>95</xdr:row>
      <xdr:rowOff>0</xdr:rowOff>
    </xdr:to>
    <xdr:graphicFrame>
      <xdr:nvGraphicFramePr>
        <xdr:cNvPr id="7" name="9 Gráfico"/>
        <xdr:cNvGraphicFramePr/>
      </xdr:nvGraphicFramePr>
      <xdr:xfrm>
        <a:off x="6981825" y="15640050"/>
        <a:ext cx="4267200" cy="245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76200</xdr:colOff>
      <xdr:row>95</xdr:row>
      <xdr:rowOff>161925</xdr:rowOff>
    </xdr:from>
    <xdr:to>
      <xdr:col>11</xdr:col>
      <xdr:colOff>76200</xdr:colOff>
      <xdr:row>110</xdr:row>
      <xdr:rowOff>47625</xdr:rowOff>
    </xdr:to>
    <xdr:graphicFrame>
      <xdr:nvGraphicFramePr>
        <xdr:cNvPr id="8" name="10 Gráfico"/>
        <xdr:cNvGraphicFramePr/>
      </xdr:nvGraphicFramePr>
      <xdr:xfrm>
        <a:off x="7019925" y="182594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123825</xdr:colOff>
      <xdr:row>111</xdr:row>
      <xdr:rowOff>123825</xdr:rowOff>
    </xdr:from>
    <xdr:to>
      <xdr:col>11</xdr:col>
      <xdr:colOff>123825</xdr:colOff>
      <xdr:row>126</xdr:row>
      <xdr:rowOff>9525</xdr:rowOff>
    </xdr:to>
    <xdr:graphicFrame>
      <xdr:nvGraphicFramePr>
        <xdr:cNvPr id="9" name="11 Gráfico"/>
        <xdr:cNvGraphicFramePr/>
      </xdr:nvGraphicFramePr>
      <xdr:xfrm>
        <a:off x="7067550" y="212693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190500</xdr:colOff>
      <xdr:row>127</xdr:row>
      <xdr:rowOff>114300</xdr:rowOff>
    </xdr:from>
    <xdr:to>
      <xdr:col>11</xdr:col>
      <xdr:colOff>190500</xdr:colOff>
      <xdr:row>142</xdr:row>
      <xdr:rowOff>0</xdr:rowOff>
    </xdr:to>
    <xdr:graphicFrame>
      <xdr:nvGraphicFramePr>
        <xdr:cNvPr id="10" name="12 Gráfico"/>
        <xdr:cNvGraphicFramePr/>
      </xdr:nvGraphicFramePr>
      <xdr:xfrm>
        <a:off x="7134225" y="24307800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147</xdr:row>
      <xdr:rowOff>85725</xdr:rowOff>
    </xdr:from>
    <xdr:to>
      <xdr:col>2</xdr:col>
      <xdr:colOff>504825</xdr:colOff>
      <xdr:row>161</xdr:row>
      <xdr:rowOff>161925</xdr:rowOff>
    </xdr:to>
    <xdr:graphicFrame>
      <xdr:nvGraphicFramePr>
        <xdr:cNvPr id="11" name="13 Gráfico"/>
        <xdr:cNvGraphicFramePr/>
      </xdr:nvGraphicFramePr>
      <xdr:xfrm>
        <a:off x="485775" y="28089225"/>
        <a:ext cx="50577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504825</xdr:colOff>
      <xdr:row>147</xdr:row>
      <xdr:rowOff>152400</xdr:rowOff>
    </xdr:from>
    <xdr:to>
      <xdr:col>10</xdr:col>
      <xdr:colOff>504825</xdr:colOff>
      <xdr:row>162</xdr:row>
      <xdr:rowOff>38100</xdr:rowOff>
    </xdr:to>
    <xdr:graphicFrame>
      <xdr:nvGraphicFramePr>
        <xdr:cNvPr id="12" name="14 Gráfico"/>
        <xdr:cNvGraphicFramePr/>
      </xdr:nvGraphicFramePr>
      <xdr:xfrm>
        <a:off x="6686550" y="2815590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447675</xdr:colOff>
      <xdr:row>163</xdr:row>
      <xdr:rowOff>57150</xdr:rowOff>
    </xdr:from>
    <xdr:to>
      <xdr:col>2</xdr:col>
      <xdr:colOff>466725</xdr:colOff>
      <xdr:row>177</xdr:row>
      <xdr:rowOff>133350</xdr:rowOff>
    </xdr:to>
    <xdr:graphicFrame>
      <xdr:nvGraphicFramePr>
        <xdr:cNvPr id="13" name="15 Gráfico"/>
        <xdr:cNvGraphicFramePr/>
      </xdr:nvGraphicFramePr>
      <xdr:xfrm>
        <a:off x="447675" y="31108650"/>
        <a:ext cx="50577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581025</xdr:colOff>
      <xdr:row>163</xdr:row>
      <xdr:rowOff>57150</xdr:rowOff>
    </xdr:from>
    <xdr:to>
      <xdr:col>10</xdr:col>
      <xdr:colOff>581025</xdr:colOff>
      <xdr:row>177</xdr:row>
      <xdr:rowOff>133350</xdr:rowOff>
    </xdr:to>
    <xdr:graphicFrame>
      <xdr:nvGraphicFramePr>
        <xdr:cNvPr id="14" name="16 Gráfico"/>
        <xdr:cNvGraphicFramePr/>
      </xdr:nvGraphicFramePr>
      <xdr:xfrm>
        <a:off x="6762750" y="3110865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447675</xdr:colOff>
      <xdr:row>180</xdr:row>
      <xdr:rowOff>28575</xdr:rowOff>
    </xdr:from>
    <xdr:to>
      <xdr:col>2</xdr:col>
      <xdr:colOff>704850</xdr:colOff>
      <xdr:row>194</xdr:row>
      <xdr:rowOff>104775</xdr:rowOff>
    </xdr:to>
    <xdr:graphicFrame>
      <xdr:nvGraphicFramePr>
        <xdr:cNvPr id="15" name="17 Gráfico"/>
        <xdr:cNvGraphicFramePr/>
      </xdr:nvGraphicFramePr>
      <xdr:xfrm>
        <a:off x="447675" y="34318575"/>
        <a:ext cx="52959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466725</xdr:colOff>
      <xdr:row>180</xdr:row>
      <xdr:rowOff>28575</xdr:rowOff>
    </xdr:from>
    <xdr:to>
      <xdr:col>10</xdr:col>
      <xdr:colOff>466725</xdr:colOff>
      <xdr:row>194</xdr:row>
      <xdr:rowOff>104775</xdr:rowOff>
    </xdr:to>
    <xdr:graphicFrame>
      <xdr:nvGraphicFramePr>
        <xdr:cNvPr id="16" name="18 Gráfico"/>
        <xdr:cNvGraphicFramePr/>
      </xdr:nvGraphicFramePr>
      <xdr:xfrm>
        <a:off x="6648450" y="3431857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171450</xdr:colOff>
      <xdr:row>198</xdr:row>
      <xdr:rowOff>38100</xdr:rowOff>
    </xdr:from>
    <xdr:to>
      <xdr:col>4</xdr:col>
      <xdr:colOff>104775</xdr:colOff>
      <xdr:row>212</xdr:row>
      <xdr:rowOff>114300</xdr:rowOff>
    </xdr:to>
    <xdr:graphicFrame>
      <xdr:nvGraphicFramePr>
        <xdr:cNvPr id="17" name="19 Gráfico"/>
        <xdr:cNvGraphicFramePr/>
      </xdr:nvGraphicFramePr>
      <xdr:xfrm>
        <a:off x="171450" y="37757100"/>
        <a:ext cx="611505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542925</xdr:colOff>
      <xdr:row>198</xdr:row>
      <xdr:rowOff>19050</xdr:rowOff>
    </xdr:from>
    <xdr:to>
      <xdr:col>11</xdr:col>
      <xdr:colOff>295275</xdr:colOff>
      <xdr:row>212</xdr:row>
      <xdr:rowOff>95250</xdr:rowOff>
    </xdr:to>
    <xdr:graphicFrame>
      <xdr:nvGraphicFramePr>
        <xdr:cNvPr id="18" name="20 Gráfico"/>
        <xdr:cNvGraphicFramePr/>
      </xdr:nvGraphicFramePr>
      <xdr:xfrm>
        <a:off x="6724650" y="37738050"/>
        <a:ext cx="508635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2828925</xdr:colOff>
      <xdr:row>214</xdr:row>
      <xdr:rowOff>104775</xdr:rowOff>
    </xdr:from>
    <xdr:to>
      <xdr:col>6</xdr:col>
      <xdr:colOff>742950</xdr:colOff>
      <xdr:row>228</xdr:row>
      <xdr:rowOff>180975</xdr:rowOff>
    </xdr:to>
    <xdr:graphicFrame>
      <xdr:nvGraphicFramePr>
        <xdr:cNvPr id="19" name="21 Gráfico"/>
        <xdr:cNvGraphicFramePr/>
      </xdr:nvGraphicFramePr>
      <xdr:xfrm>
        <a:off x="2828925" y="40871775"/>
        <a:ext cx="56197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133</xdr:row>
      <xdr:rowOff>152400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33400" y="2576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485775</xdr:colOff>
      <xdr:row>141</xdr:row>
      <xdr:rowOff>19050</xdr:rowOff>
    </xdr:from>
    <xdr:to>
      <xdr:col>11</xdr:col>
      <xdr:colOff>609600</xdr:colOff>
      <xdr:row>143</xdr:row>
      <xdr:rowOff>171450</xdr:rowOff>
    </xdr:to>
    <xdr:sp>
      <xdr:nvSpPr>
        <xdr:cNvPr id="2" name="2 Abrir llave"/>
        <xdr:cNvSpPr>
          <a:spLocks/>
        </xdr:cNvSpPr>
      </xdr:nvSpPr>
      <xdr:spPr>
        <a:xfrm>
          <a:off x="11839575" y="27184350"/>
          <a:ext cx="123825" cy="542925"/>
        </a:xfrm>
        <a:prstGeom prst="leftBrace">
          <a:avLst>
            <a:gd name="adj" fmla="val -4806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1047750</xdr:colOff>
      <xdr:row>141</xdr:row>
      <xdr:rowOff>28575</xdr:rowOff>
    </xdr:from>
    <xdr:to>
      <xdr:col>12</xdr:col>
      <xdr:colOff>1047750</xdr:colOff>
      <xdr:row>143</xdr:row>
      <xdr:rowOff>171450</xdr:rowOff>
    </xdr:to>
    <xdr:sp>
      <xdr:nvSpPr>
        <xdr:cNvPr id="3" name="3 Cerrar llave"/>
        <xdr:cNvSpPr>
          <a:spLocks/>
        </xdr:cNvSpPr>
      </xdr:nvSpPr>
      <xdr:spPr>
        <a:xfrm>
          <a:off x="13058775" y="27193875"/>
          <a:ext cx="0" cy="5334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foliopersonal.com/" TargetMode="External" /><Relationship Id="rId2" Type="http://schemas.openxmlformats.org/officeDocument/2006/relationships/hyperlink" Target="http://www.bce.gov.ec/" TargetMode="External" /><Relationship Id="rId3" Type="http://schemas.openxmlformats.org/officeDocument/2006/relationships/hyperlink" Target="http://www.google.finanzas.com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50">
      <selection activeCell="C63" sqref="C63"/>
    </sheetView>
  </sheetViews>
  <sheetFormatPr defaultColWidth="11.421875" defaultRowHeight="15"/>
  <cols>
    <col min="1" max="1" width="68.28125" style="0" customWidth="1"/>
    <col min="2" max="2" width="7.28125" style="0" customWidth="1"/>
    <col min="4" max="4" width="5.7109375" style="0" customWidth="1"/>
  </cols>
  <sheetData>
    <row r="1" spans="1:15" ht="1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3" spans="1:2" ht="15">
      <c r="A3" s="1" t="s">
        <v>1</v>
      </c>
      <c r="B3" s="1"/>
    </row>
    <row r="5" spans="1:3" ht="15">
      <c r="A5" t="s">
        <v>2</v>
      </c>
      <c r="C5">
        <f>26+122</f>
        <v>148</v>
      </c>
    </row>
    <row r="6" spans="1:3" ht="15">
      <c r="A6" t="s">
        <v>88</v>
      </c>
      <c r="C6">
        <f>146+106</f>
        <v>252</v>
      </c>
    </row>
    <row r="7" ht="15">
      <c r="C7">
        <f>SUM(C5:C6)</f>
        <v>400</v>
      </c>
    </row>
    <row r="14" spans="1:2" ht="15">
      <c r="A14" s="1" t="s">
        <v>3</v>
      </c>
      <c r="B14" s="1"/>
    </row>
    <row r="16" spans="1:4" ht="15">
      <c r="A16" t="s">
        <v>4</v>
      </c>
      <c r="C16">
        <f>52+10+2</f>
        <v>64</v>
      </c>
      <c r="D16" s="2">
        <f>C16/$C$21</f>
        <v>0.1596009975062344</v>
      </c>
    </row>
    <row r="17" spans="1:4" ht="15">
      <c r="A17" t="s">
        <v>5</v>
      </c>
      <c r="C17">
        <f>78+26</f>
        <v>104</v>
      </c>
      <c r="D17" s="2">
        <f>C17/$C$21</f>
        <v>0.2593516209476309</v>
      </c>
    </row>
    <row r="18" spans="1:4" ht="15">
      <c r="A18" t="s">
        <v>6</v>
      </c>
      <c r="C18">
        <f>60+24+21</f>
        <v>105</v>
      </c>
      <c r="D18" s="2">
        <f>C18/$C$21</f>
        <v>0.26184538653366585</v>
      </c>
    </row>
    <row r="19" spans="1:4" ht="15">
      <c r="A19" t="s">
        <v>7</v>
      </c>
      <c r="C19">
        <f>37+35</f>
        <v>72</v>
      </c>
      <c r="D19" s="2">
        <f>C19/$C$21</f>
        <v>0.17955112219451372</v>
      </c>
    </row>
    <row r="20" spans="1:4" ht="15">
      <c r="A20" t="s">
        <v>8</v>
      </c>
      <c r="C20">
        <f>44+12</f>
        <v>56</v>
      </c>
      <c r="D20" s="2">
        <f>C20/$C$21</f>
        <v>0.1396508728179551</v>
      </c>
    </row>
    <row r="21" ht="15">
      <c r="C21">
        <f>SUM(C16:C20)</f>
        <v>401</v>
      </c>
    </row>
    <row r="24" spans="1:2" ht="15">
      <c r="A24" s="1" t="s">
        <v>13</v>
      </c>
      <c r="B24" s="1"/>
    </row>
    <row r="26" spans="1:3" ht="15">
      <c r="A26" t="s">
        <v>9</v>
      </c>
      <c r="C26">
        <f>68+23</f>
        <v>91</v>
      </c>
    </row>
    <row r="27" spans="1:3" ht="15">
      <c r="A27" t="s">
        <v>10</v>
      </c>
      <c r="C27">
        <f>140+65</f>
        <v>205</v>
      </c>
    </row>
    <row r="28" spans="1:3" ht="15">
      <c r="A28" t="s">
        <v>11</v>
      </c>
      <c r="C28">
        <f>31+34</f>
        <v>65</v>
      </c>
    </row>
    <row r="29" spans="1:3" ht="15">
      <c r="A29" t="s">
        <v>12</v>
      </c>
      <c r="C29">
        <f>28+8</f>
        <v>36</v>
      </c>
    </row>
    <row r="30" ht="15">
      <c r="C30">
        <f>SUM(C26:C29)</f>
        <v>397</v>
      </c>
    </row>
    <row r="31" spans="1:2" ht="15">
      <c r="A31" s="1" t="s">
        <v>14</v>
      </c>
      <c r="B31" s="1"/>
    </row>
    <row r="33" spans="1:3" ht="15">
      <c r="A33" t="s">
        <v>15</v>
      </c>
      <c r="C33">
        <v>0</v>
      </c>
    </row>
    <row r="34" spans="1:3" ht="15">
      <c r="A34" t="s">
        <v>16</v>
      </c>
      <c r="C34">
        <f>82+13</f>
        <v>95</v>
      </c>
    </row>
    <row r="35" spans="1:3" ht="15">
      <c r="A35" t="s">
        <v>17</v>
      </c>
      <c r="C35">
        <f>172+87</f>
        <v>259</v>
      </c>
    </row>
    <row r="36" spans="1:3" ht="15">
      <c r="A36" t="s">
        <v>18</v>
      </c>
      <c r="C36">
        <f>10+16+5</f>
        <v>31</v>
      </c>
    </row>
    <row r="37" spans="1:3" ht="15">
      <c r="A37" t="s">
        <v>19</v>
      </c>
      <c r="C37">
        <f>7</f>
        <v>7</v>
      </c>
    </row>
    <row r="39" spans="1:2" ht="15">
      <c r="A39" s="1" t="s">
        <v>20</v>
      </c>
      <c r="B39" s="1"/>
    </row>
    <row r="41" spans="1:3" ht="15">
      <c r="A41" t="s">
        <v>21</v>
      </c>
      <c r="C41">
        <f>46+28</f>
        <v>74</v>
      </c>
    </row>
    <row r="42" spans="1:3" ht="15">
      <c r="A42" t="s">
        <v>22</v>
      </c>
      <c r="C42">
        <f>87+71</f>
        <v>158</v>
      </c>
    </row>
    <row r="43" spans="1:3" ht="15">
      <c r="A43" t="s">
        <v>23</v>
      </c>
      <c r="C43">
        <f>54+9</f>
        <v>63</v>
      </c>
    </row>
    <row r="44" spans="1:3" ht="15">
      <c r="A44" t="s">
        <v>24</v>
      </c>
      <c r="C44">
        <f>38+7</f>
        <v>45</v>
      </c>
    </row>
    <row r="45" spans="1:3" ht="15">
      <c r="A45" t="s">
        <v>25</v>
      </c>
      <c r="C45">
        <f>1+4</f>
        <v>5</v>
      </c>
    </row>
    <row r="46" spans="1:3" ht="15">
      <c r="A46" t="s">
        <v>26</v>
      </c>
      <c r="C46">
        <f>8+17</f>
        <v>25</v>
      </c>
    </row>
    <row r="47" spans="1:3" ht="15">
      <c r="A47" t="s">
        <v>27</v>
      </c>
      <c r="C47">
        <f>21+7</f>
        <v>28</v>
      </c>
    </row>
    <row r="48" ht="15">
      <c r="C48">
        <f>SUM(C41:C47)</f>
        <v>398</v>
      </c>
    </row>
    <row r="49" spans="1:2" ht="15">
      <c r="A49" s="1" t="s">
        <v>28</v>
      </c>
      <c r="B49" s="1"/>
    </row>
    <row r="51" spans="1:3" ht="15">
      <c r="A51" t="s">
        <v>29</v>
      </c>
      <c r="C51">
        <f>102+35</f>
        <v>137</v>
      </c>
    </row>
    <row r="52" spans="1:3" ht="15">
      <c r="A52" t="s">
        <v>30</v>
      </c>
      <c r="C52">
        <f>37+26</f>
        <v>63</v>
      </c>
    </row>
    <row r="53" spans="1:3" ht="15">
      <c r="A53" t="s">
        <v>31</v>
      </c>
      <c r="C53">
        <f>26+21</f>
        <v>47</v>
      </c>
    </row>
    <row r="54" spans="1:3" ht="15">
      <c r="A54" t="s">
        <v>32</v>
      </c>
      <c r="C54">
        <f>61+25</f>
        <v>86</v>
      </c>
    </row>
    <row r="55" spans="1:3" ht="15">
      <c r="A55" t="s">
        <v>33</v>
      </c>
      <c r="C55">
        <f>7+9</f>
        <v>16</v>
      </c>
    </row>
    <row r="56" spans="1:3" ht="15">
      <c r="A56" t="s">
        <v>34</v>
      </c>
      <c r="C56">
        <f>34+12+2</f>
        <v>48</v>
      </c>
    </row>
    <row r="57" ht="15">
      <c r="C57">
        <f>SUM(C51:C56)</f>
        <v>397</v>
      </c>
    </row>
    <row r="58" spans="1:2" ht="15">
      <c r="A58" s="1" t="s">
        <v>35</v>
      </c>
      <c r="B58" s="1"/>
    </row>
    <row r="60" spans="1:4" ht="15">
      <c r="A60" t="s">
        <v>36</v>
      </c>
      <c r="C60">
        <f>131+72</f>
        <v>203</v>
      </c>
      <c r="D60" s="2">
        <f>C60/$C$62</f>
        <v>0.5126262626262627</v>
      </c>
    </row>
    <row r="61" spans="1:4" ht="15">
      <c r="A61" t="s">
        <v>37</v>
      </c>
      <c r="C61">
        <f>136+57</f>
        <v>193</v>
      </c>
      <c r="D61" s="2">
        <f>C61/$C$62</f>
        <v>0.48737373737373735</v>
      </c>
    </row>
    <row r="62" spans="3:4" ht="15">
      <c r="C62">
        <f>SUM(C60:C61)</f>
        <v>396</v>
      </c>
      <c r="D62">
        <f>C62/$C$62</f>
        <v>1</v>
      </c>
    </row>
    <row r="63" spans="1:2" ht="15">
      <c r="A63" s="1" t="s">
        <v>38</v>
      </c>
      <c r="B63" s="1"/>
    </row>
    <row r="65" spans="1:3" ht="15">
      <c r="A65" t="s">
        <v>39</v>
      </c>
      <c r="C65">
        <f>67+15</f>
        <v>82</v>
      </c>
    </row>
    <row r="66" spans="1:3" ht="15">
      <c r="A66" t="s">
        <v>40</v>
      </c>
      <c r="C66">
        <f>34+32</f>
        <v>66</v>
      </c>
    </row>
    <row r="67" spans="1:3" ht="15">
      <c r="A67" t="s">
        <v>41</v>
      </c>
      <c r="C67">
        <f>28+25</f>
        <v>53</v>
      </c>
    </row>
    <row r="68" spans="1:3" ht="15">
      <c r="A68" t="s">
        <v>42</v>
      </c>
      <c r="C68">
        <f>2</f>
        <v>2</v>
      </c>
    </row>
    <row r="70" spans="1:2" ht="15">
      <c r="A70" s="1" t="s">
        <v>43</v>
      </c>
      <c r="B70" s="1"/>
    </row>
    <row r="72" spans="1:3" ht="15">
      <c r="A72" t="s">
        <v>44</v>
      </c>
      <c r="C72">
        <f>16+10</f>
        <v>26</v>
      </c>
    </row>
    <row r="73" spans="1:3" ht="15">
      <c r="A73" t="s">
        <v>45</v>
      </c>
      <c r="C73">
        <f>17+6</f>
        <v>23</v>
      </c>
    </row>
    <row r="74" spans="1:3" ht="15">
      <c r="A74" t="s">
        <v>46</v>
      </c>
      <c r="C74">
        <f>39+38</f>
        <v>77</v>
      </c>
    </row>
    <row r="75" spans="1:3" ht="15">
      <c r="A75" t="s">
        <v>47</v>
      </c>
      <c r="C75">
        <f>53+14</f>
        <v>67</v>
      </c>
    </row>
    <row r="76" spans="1:3" ht="15">
      <c r="A76" t="s">
        <v>48</v>
      </c>
      <c r="C76">
        <f>7+2</f>
        <v>9</v>
      </c>
    </row>
    <row r="78" spans="1:2" ht="15">
      <c r="A78" s="1" t="s">
        <v>49</v>
      </c>
      <c r="B78" s="1"/>
    </row>
    <row r="80" spans="1:4" ht="15">
      <c r="A80" t="s">
        <v>50</v>
      </c>
      <c r="C80">
        <f>7+2</f>
        <v>9</v>
      </c>
      <c r="D80" s="2">
        <f>+C80/$C$82</f>
        <v>0.04433497536945813</v>
      </c>
    </row>
    <row r="81" spans="1:4" ht="15">
      <c r="A81" t="s">
        <v>37</v>
      </c>
      <c r="C81">
        <f>124+70</f>
        <v>194</v>
      </c>
      <c r="D81" s="2">
        <f>+C81/$C$82</f>
        <v>0.9556650246305419</v>
      </c>
    </row>
    <row r="82" ht="15">
      <c r="C82">
        <f>SUM(C80:C81)</f>
        <v>203</v>
      </c>
    </row>
    <row r="83" spans="1:2" ht="15">
      <c r="A83" s="1" t="s">
        <v>51</v>
      </c>
      <c r="B83" s="1"/>
    </row>
    <row r="85" spans="1:4" ht="15">
      <c r="A85" t="s">
        <v>52</v>
      </c>
      <c r="C85">
        <f>91+55</f>
        <v>146</v>
      </c>
      <c r="D85" s="2">
        <f>+C85/$C$89</f>
        <v>0.7411167512690355</v>
      </c>
    </row>
    <row r="86" spans="1:4" ht="15">
      <c r="A86" t="s">
        <v>53</v>
      </c>
      <c r="C86">
        <f>0+9</f>
        <v>9</v>
      </c>
      <c r="D86" s="5">
        <f>+C86/$C$89</f>
        <v>0.04568527918781726</v>
      </c>
    </row>
    <row r="87" spans="1:4" ht="15">
      <c r="A87" t="s">
        <v>54</v>
      </c>
      <c r="C87">
        <f>23+2</f>
        <v>25</v>
      </c>
      <c r="D87" s="5">
        <f>+C87/$C$89</f>
        <v>0.12690355329949238</v>
      </c>
    </row>
    <row r="88" spans="1:4" ht="15">
      <c r="A88" t="s">
        <v>48</v>
      </c>
      <c r="C88">
        <f>11+6</f>
        <v>17</v>
      </c>
      <c r="D88" s="2">
        <f>+C88/$C$89</f>
        <v>0.08629441624365482</v>
      </c>
    </row>
    <row r="89" spans="3:4" ht="15">
      <c r="C89">
        <f>SUM(C85:C88)</f>
        <v>197</v>
      </c>
      <c r="D89" s="2">
        <f>+C89/$C$89</f>
        <v>1</v>
      </c>
    </row>
    <row r="90" spans="1:2" ht="15">
      <c r="A90" s="1" t="s">
        <v>55</v>
      </c>
      <c r="B90" s="1"/>
    </row>
    <row r="92" spans="1:3" ht="15">
      <c r="A92" t="s">
        <v>50</v>
      </c>
      <c r="C92">
        <f>25+12</f>
        <v>37</v>
      </c>
    </row>
    <row r="93" spans="1:3" ht="15">
      <c r="A93" t="s">
        <v>37</v>
      </c>
      <c r="C93">
        <f>106+60</f>
        <v>166</v>
      </c>
    </row>
    <row r="95" spans="1:2" ht="15">
      <c r="A95" s="1" t="s">
        <v>56</v>
      </c>
      <c r="B95" s="1"/>
    </row>
    <row r="97" spans="1:4" ht="15">
      <c r="A97" t="s">
        <v>36</v>
      </c>
      <c r="C97">
        <f>110+64</f>
        <v>174</v>
      </c>
      <c r="D97" s="2">
        <f>+C97/$C$99</f>
        <v>0.8613861386138614</v>
      </c>
    </row>
    <row r="98" spans="1:4" ht="15">
      <c r="A98" t="s">
        <v>37</v>
      </c>
      <c r="C98">
        <f>21+7</f>
        <v>28</v>
      </c>
      <c r="D98" s="2">
        <f>+C98/$C$99</f>
        <v>0.13861386138613863</v>
      </c>
    </row>
    <row r="99" spans="3:4" ht="15">
      <c r="C99">
        <f>SUM(C97:C98)</f>
        <v>202</v>
      </c>
      <c r="D99" s="2"/>
    </row>
    <row r="100" spans="1:2" ht="15">
      <c r="A100" s="1" t="s">
        <v>57</v>
      </c>
      <c r="B100" s="1"/>
    </row>
    <row r="102" spans="1:5" ht="15">
      <c r="A102" t="s">
        <v>58</v>
      </c>
      <c r="B102">
        <v>52</v>
      </c>
      <c r="C102">
        <f>15+29</f>
        <v>44</v>
      </c>
      <c r="D102" s="2">
        <f>+C102/$C$106</f>
        <v>0.23529411764705882</v>
      </c>
      <c r="E102" s="4">
        <f>B102*D102</f>
        <v>12.235294117647058</v>
      </c>
    </row>
    <row r="103" spans="1:5" ht="15">
      <c r="A103" t="s">
        <v>59</v>
      </c>
      <c r="B103">
        <v>12</v>
      </c>
      <c r="C103">
        <f>29+35</f>
        <v>64</v>
      </c>
      <c r="D103" s="2">
        <f>+C103/$C$106</f>
        <v>0.3422459893048128</v>
      </c>
      <c r="E103" s="4">
        <f>B103*D103</f>
        <v>4.1069518716577535</v>
      </c>
    </row>
    <row r="104" spans="1:5" ht="15">
      <c r="A104" t="s">
        <v>60</v>
      </c>
      <c r="B104">
        <v>24</v>
      </c>
      <c r="C104">
        <f>51+11</f>
        <v>62</v>
      </c>
      <c r="D104" s="2">
        <f>+C104/$C$106</f>
        <v>0.3315508021390374</v>
      </c>
      <c r="E104" s="4">
        <f>B104*D104</f>
        <v>7.957219251336898</v>
      </c>
    </row>
    <row r="105" spans="1:5" ht="15">
      <c r="A105" t="s">
        <v>61</v>
      </c>
      <c r="B105">
        <v>36</v>
      </c>
      <c r="C105">
        <f>15+2</f>
        <v>17</v>
      </c>
      <c r="D105" s="2">
        <f>+C105/$C$106</f>
        <v>0.09090909090909091</v>
      </c>
      <c r="E105" s="4">
        <f>B105*D105</f>
        <v>3.272727272727273</v>
      </c>
    </row>
    <row r="106" spans="3:5" ht="15">
      <c r="C106">
        <f>SUM(C102:C105)</f>
        <v>187</v>
      </c>
      <c r="D106" s="2">
        <f>+C106/$C$106</f>
        <v>1</v>
      </c>
      <c r="E106" s="4">
        <f>SUM(E102:E105)</f>
        <v>27.572192513368982</v>
      </c>
    </row>
    <row r="107" spans="1:2" ht="15">
      <c r="A107" s="1" t="s">
        <v>62</v>
      </c>
      <c r="B107" s="1"/>
    </row>
    <row r="109" spans="1:4" ht="15">
      <c r="A109" t="s">
        <v>63</v>
      </c>
      <c r="C109">
        <f>14+7</f>
        <v>21</v>
      </c>
      <c r="D109" s="2">
        <f>C109/$C$114</f>
        <v>0.10880829015544041</v>
      </c>
    </row>
    <row r="110" spans="1:4" ht="15">
      <c r="A110" t="s">
        <v>64</v>
      </c>
      <c r="C110">
        <f>16+9</f>
        <v>25</v>
      </c>
      <c r="D110" s="2">
        <f>C110/$C$114</f>
        <v>0.12953367875647667</v>
      </c>
    </row>
    <row r="111" spans="1:4" ht="15">
      <c r="A111" t="s">
        <v>65</v>
      </c>
      <c r="C111">
        <f>15+24</f>
        <v>39</v>
      </c>
      <c r="D111" s="2">
        <f>C111/$C$114</f>
        <v>0.20207253886010362</v>
      </c>
    </row>
    <row r="112" spans="1:4" ht="15">
      <c r="A112" t="s">
        <v>66</v>
      </c>
      <c r="C112">
        <f>24+23</f>
        <v>47</v>
      </c>
      <c r="D112" s="2">
        <f>C112/$C$114</f>
        <v>0.24352331606217617</v>
      </c>
    </row>
    <row r="113" spans="1:4" ht="15">
      <c r="A113" t="s">
        <v>67</v>
      </c>
      <c r="C113">
        <f>41+20</f>
        <v>61</v>
      </c>
      <c r="D113" s="2">
        <f>C113/$C$114</f>
        <v>0.3160621761658031</v>
      </c>
    </row>
    <row r="114" spans="3:4" ht="15">
      <c r="C114">
        <f>SUM(C109:C113)</f>
        <v>193</v>
      </c>
      <c r="D114" s="3">
        <f>SUM(D109:D113)</f>
        <v>1</v>
      </c>
    </row>
    <row r="115" spans="1:2" ht="15">
      <c r="A115" s="1" t="s">
        <v>68</v>
      </c>
      <c r="B115" s="1"/>
    </row>
    <row r="117" spans="1:5" ht="15">
      <c r="A117" t="s">
        <v>69</v>
      </c>
      <c r="B117">
        <v>0.625</v>
      </c>
      <c r="C117">
        <f>13+6</f>
        <v>19</v>
      </c>
      <c r="D117" s="2">
        <f>C117/$C$122</f>
        <v>0.1043956043956044</v>
      </c>
      <c r="E117" s="6">
        <f>B117*$D$117</f>
        <v>0.06524725274725275</v>
      </c>
    </row>
    <row r="118" spans="1:5" ht="15">
      <c r="A118" t="s">
        <v>70</v>
      </c>
      <c r="B118">
        <v>0.88</v>
      </c>
      <c r="C118">
        <f>14+11</f>
        <v>25</v>
      </c>
      <c r="D118" s="2">
        <f>C118/$C$122</f>
        <v>0.13736263736263737</v>
      </c>
      <c r="E118" s="6">
        <f>B118*$D$117</f>
        <v>0.09186813186813188</v>
      </c>
    </row>
    <row r="119" spans="1:5" ht="15">
      <c r="A119" t="s">
        <v>71</v>
      </c>
      <c r="B119">
        <v>1.255</v>
      </c>
      <c r="C119">
        <f>36+22</f>
        <v>58</v>
      </c>
      <c r="D119" s="2">
        <f>C119/$C$122</f>
        <v>0.31868131868131866</v>
      </c>
      <c r="E119" s="6">
        <f>B119*$D$117</f>
        <v>0.1310164835164835</v>
      </c>
    </row>
    <row r="120" spans="1:5" ht="15">
      <c r="A120" t="s">
        <v>72</v>
      </c>
      <c r="B120">
        <v>1.755</v>
      </c>
      <c r="C120">
        <f>32+24</f>
        <v>56</v>
      </c>
      <c r="D120" s="2">
        <f>C120/$C$122</f>
        <v>0.3076923076923077</v>
      </c>
      <c r="E120" s="6">
        <f>B120*$D$117</f>
        <v>0.18321428571428572</v>
      </c>
    </row>
    <row r="121" spans="1:5" ht="15">
      <c r="A121" t="s">
        <v>73</v>
      </c>
      <c r="B121">
        <v>2.5</v>
      </c>
      <c r="C121">
        <f>15+9</f>
        <v>24</v>
      </c>
      <c r="D121" s="2">
        <f>C121/$C$122</f>
        <v>0.13186813186813187</v>
      </c>
      <c r="E121" s="6">
        <f>B121*$D$117</f>
        <v>0.260989010989011</v>
      </c>
    </row>
    <row r="122" spans="3:5" ht="15">
      <c r="C122">
        <f>SUM(C117:C121)</f>
        <v>182</v>
      </c>
      <c r="E122" s="6">
        <f>SUM(E117:E121)</f>
        <v>0.7323351648351648</v>
      </c>
    </row>
    <row r="123" spans="1:2" ht="15">
      <c r="A123" s="1" t="s">
        <v>74</v>
      </c>
      <c r="B123" s="1"/>
    </row>
    <row r="125" spans="1:3" ht="15">
      <c r="A125" t="s">
        <v>75</v>
      </c>
      <c r="C125">
        <f>45+34</f>
        <v>79</v>
      </c>
    </row>
    <row r="126" spans="1:3" ht="15">
      <c r="A126" t="s">
        <v>76</v>
      </c>
      <c r="C126">
        <f>19+26</f>
        <v>45</v>
      </c>
    </row>
    <row r="127" spans="1:3" ht="15">
      <c r="A127" t="s">
        <v>77</v>
      </c>
      <c r="C127">
        <f>28+15</f>
        <v>43</v>
      </c>
    </row>
    <row r="128" spans="1:3" ht="15">
      <c r="A128" t="s">
        <v>78</v>
      </c>
      <c r="C128">
        <f>18+0</f>
        <v>18</v>
      </c>
    </row>
    <row r="129" spans="1:3" ht="15">
      <c r="A129" t="s">
        <v>19</v>
      </c>
      <c r="C129">
        <v>0</v>
      </c>
    </row>
    <row r="131" spans="1:2" ht="15">
      <c r="A131" s="1" t="s">
        <v>79</v>
      </c>
      <c r="B131" s="1"/>
    </row>
    <row r="133" spans="1:3" ht="15">
      <c r="A133" t="s">
        <v>80</v>
      </c>
      <c r="C133">
        <f>11+1</f>
        <v>12</v>
      </c>
    </row>
    <row r="134" spans="1:3" ht="15">
      <c r="A134" t="s">
        <v>81</v>
      </c>
      <c r="C134">
        <f>58+47</f>
        <v>105</v>
      </c>
    </row>
    <row r="135" spans="1:3" ht="15">
      <c r="A135" t="s">
        <v>82</v>
      </c>
      <c r="C135">
        <f>6+13</f>
        <v>19</v>
      </c>
    </row>
    <row r="136" spans="1:3" ht="15">
      <c r="A136" t="s">
        <v>83</v>
      </c>
      <c r="C136">
        <f>20+8</f>
        <v>28</v>
      </c>
    </row>
    <row r="137" spans="1:3" ht="15">
      <c r="A137" t="s">
        <v>84</v>
      </c>
      <c r="C137">
        <f>15+2</f>
        <v>17</v>
      </c>
    </row>
    <row r="139" spans="1:2" ht="15">
      <c r="A139" s="1" t="s">
        <v>85</v>
      </c>
      <c r="B139" s="1"/>
    </row>
    <row r="141" spans="1:3" ht="15">
      <c r="A141" t="s">
        <v>86</v>
      </c>
      <c r="C141">
        <f>22+24</f>
        <v>46</v>
      </c>
    </row>
    <row r="142" spans="1:3" ht="15">
      <c r="A142" t="s">
        <v>42</v>
      </c>
      <c r="C142">
        <f>79+44</f>
        <v>123</v>
      </c>
    </row>
    <row r="143" spans="1:3" ht="15">
      <c r="A143" t="s">
        <v>87</v>
      </c>
      <c r="C143">
        <f>10+4</f>
        <v>14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05"/>
  <sheetViews>
    <sheetView zoomScalePageLayoutView="0" workbookViewId="0" topLeftCell="A11">
      <selection activeCell="B11" sqref="B11"/>
    </sheetView>
  </sheetViews>
  <sheetFormatPr defaultColWidth="11.421875" defaultRowHeight="15"/>
  <cols>
    <col min="1" max="1" width="11.140625" style="0" customWidth="1"/>
    <col min="2" max="2" width="19.00390625" style="0" customWidth="1"/>
    <col min="3" max="3" width="10.28125" style="0" customWidth="1"/>
    <col min="4" max="4" width="24.140625" style="0" customWidth="1"/>
    <col min="5" max="5" width="9.57421875" style="0" customWidth="1"/>
    <col min="7" max="7" width="12.8515625" style="0" customWidth="1"/>
    <col min="8" max="8" width="10.7109375" style="0" customWidth="1"/>
    <col min="9" max="9" width="10.00390625" style="0" customWidth="1"/>
    <col min="11" max="11" width="20.421875" style="0" customWidth="1"/>
    <col min="15" max="15" width="13.7109375" style="0" customWidth="1"/>
    <col min="16" max="16" width="22.421875" style="0" bestFit="1" customWidth="1"/>
  </cols>
  <sheetData>
    <row r="2" ht="15.75" thickBot="1"/>
    <row r="3" spans="1:9" ht="15">
      <c r="A3" s="20"/>
      <c r="B3" s="21"/>
      <c r="C3" s="21"/>
      <c r="D3" s="21"/>
      <c r="E3" s="21"/>
      <c r="F3" s="21"/>
      <c r="G3" s="21"/>
      <c r="H3" s="21"/>
      <c r="I3" s="22"/>
    </row>
    <row r="4" spans="1:9" ht="15">
      <c r="A4" s="7" t="s">
        <v>91</v>
      </c>
      <c r="B4" s="8" t="s">
        <v>89</v>
      </c>
      <c r="C4" s="8" t="s">
        <v>90</v>
      </c>
      <c r="D4" s="8" t="s">
        <v>92</v>
      </c>
      <c r="E4" s="8" t="s">
        <v>93</v>
      </c>
      <c r="F4" s="11" t="s">
        <v>160</v>
      </c>
      <c r="G4" s="8"/>
      <c r="H4" s="8"/>
      <c r="I4" s="23"/>
    </row>
    <row r="5" spans="1:9" ht="15">
      <c r="A5" s="7">
        <v>2336902</v>
      </c>
      <c r="B5" s="27">
        <f>Hoja1!D60</f>
        <v>0.5126262626262627</v>
      </c>
      <c r="C5" s="27">
        <f>Hoja1!D97</f>
        <v>0.8613861386138614</v>
      </c>
      <c r="D5" s="27">
        <f>Hoja1!D80</f>
        <v>0.04433497536945813</v>
      </c>
      <c r="E5" s="28">
        <f>Hoja1!D86+Hoja1!D87</f>
        <v>0.17258883248730963</v>
      </c>
      <c r="F5" s="9">
        <f>A5*B5*C5*D5*E5</f>
        <v>7895.840985621406</v>
      </c>
      <c r="G5" s="8"/>
      <c r="H5" s="8"/>
      <c r="I5" s="23">
        <f>F5*28</f>
        <v>221083.54759739936</v>
      </c>
    </row>
    <row r="6" spans="1:9" ht="15">
      <c r="A6" s="7"/>
      <c r="B6" s="8"/>
      <c r="C6" s="8"/>
      <c r="D6" s="8"/>
      <c r="E6" s="8"/>
      <c r="F6" s="8"/>
      <c r="G6" s="8"/>
      <c r="H6" s="8"/>
      <c r="I6" s="23"/>
    </row>
    <row r="7" spans="1:9" ht="15">
      <c r="A7" s="7" t="s">
        <v>94</v>
      </c>
      <c r="B7" s="8"/>
      <c r="C7" s="8">
        <f>F5*Hoja1!E122*4*Hoja1!E106</f>
        <v>637734.0056064687</v>
      </c>
      <c r="D7" s="8"/>
      <c r="E7" s="8"/>
      <c r="F7" s="8"/>
      <c r="G7" s="8"/>
      <c r="H7" s="8"/>
      <c r="I7" s="23"/>
    </row>
    <row r="8" spans="1:9" ht="15.75" thickBot="1">
      <c r="A8" s="24"/>
      <c r="B8" s="15"/>
      <c r="C8" s="15"/>
      <c r="D8" s="15"/>
      <c r="E8" s="15"/>
      <c r="F8" s="15"/>
      <c r="G8" s="15"/>
      <c r="H8" s="15"/>
      <c r="I8" s="25"/>
    </row>
    <row r="11" spans="2:4" ht="15">
      <c r="B11" t="s">
        <v>122</v>
      </c>
      <c r="D11" t="s">
        <v>121</v>
      </c>
    </row>
    <row r="12" spans="2:7" ht="15">
      <c r="B12" t="s">
        <v>116</v>
      </c>
      <c r="C12">
        <v>0.12</v>
      </c>
      <c r="G12">
        <f>6692*0.73</f>
        <v>4885.16</v>
      </c>
    </row>
    <row r="13" spans="2:8" ht="15">
      <c r="B13" t="s">
        <v>119</v>
      </c>
      <c r="C13">
        <v>0.1</v>
      </c>
      <c r="D13">
        <f>C13+C12</f>
        <v>0.22</v>
      </c>
      <c r="H13" s="26"/>
    </row>
    <row r="14" spans="2:8" ht="15">
      <c r="B14" t="s">
        <v>117</v>
      </c>
      <c r="C14">
        <v>0.1</v>
      </c>
      <c r="D14">
        <f>C14+C12</f>
        <v>0.22</v>
      </c>
      <c r="H14" s="26"/>
    </row>
    <row r="15" spans="2:4" ht="15">
      <c r="B15" t="s">
        <v>118</v>
      </c>
      <c r="C15">
        <v>0.12</v>
      </c>
      <c r="D15">
        <f>C15+C12</f>
        <v>0.24</v>
      </c>
    </row>
    <row r="16" spans="2:3" ht="15">
      <c r="B16" t="s">
        <v>120</v>
      </c>
      <c r="C16">
        <v>3.9</v>
      </c>
    </row>
    <row r="18" ht="15.75" thickBot="1"/>
    <row r="19" spans="1:18" ht="15">
      <c r="A19" s="20"/>
      <c r="B19" s="21"/>
      <c r="C19" s="21"/>
      <c r="D19" s="21"/>
      <c r="E19" s="21" t="s">
        <v>104</v>
      </c>
      <c r="F19" s="21"/>
      <c r="G19" s="21"/>
      <c r="H19" s="21"/>
      <c r="I19" s="21"/>
      <c r="J19" s="22"/>
      <c r="N19" s="32" t="s">
        <v>131</v>
      </c>
      <c r="O19" s="33"/>
      <c r="P19" s="33">
        <f>P20+P22</f>
        <v>2300</v>
      </c>
      <c r="Q19" s="8"/>
      <c r="R19" s="8"/>
    </row>
    <row r="20" spans="1:18" ht="15">
      <c r="A20" s="7"/>
      <c r="B20" s="8"/>
      <c r="C20" s="8"/>
      <c r="D20" s="8"/>
      <c r="E20" s="8"/>
      <c r="F20" s="8"/>
      <c r="G20" s="8"/>
      <c r="H20" s="8"/>
      <c r="I20" s="8"/>
      <c r="J20" s="23"/>
      <c r="N20" s="54" t="s">
        <v>132</v>
      </c>
      <c r="O20" s="32"/>
      <c r="P20" s="36">
        <v>1500</v>
      </c>
      <c r="Q20" s="8"/>
      <c r="R20" s="8"/>
    </row>
    <row r="21" spans="1:18" ht="15">
      <c r="A21" s="7"/>
      <c r="B21" s="8"/>
      <c r="C21" s="8" t="s">
        <v>95</v>
      </c>
      <c r="D21" s="8" t="s">
        <v>96</v>
      </c>
      <c r="E21" s="8" t="s">
        <v>97</v>
      </c>
      <c r="F21" s="8" t="s">
        <v>98</v>
      </c>
      <c r="G21" s="8" t="s">
        <v>99</v>
      </c>
      <c r="H21" s="8" t="s">
        <v>100</v>
      </c>
      <c r="I21" s="8" t="s">
        <v>101</v>
      </c>
      <c r="J21" s="31" t="s">
        <v>103</v>
      </c>
      <c r="N21" s="32" t="s">
        <v>133</v>
      </c>
      <c r="O21" s="33"/>
      <c r="P21" s="33"/>
      <c r="Q21" s="8"/>
      <c r="R21" s="8"/>
    </row>
    <row r="22" spans="1:18" ht="15">
      <c r="A22" s="7">
        <v>1</v>
      </c>
      <c r="B22" s="8" t="s">
        <v>308</v>
      </c>
      <c r="C22" s="8">
        <v>700</v>
      </c>
      <c r="D22" s="9">
        <f>C22/12</f>
        <v>58.333333333333336</v>
      </c>
      <c r="E22" s="9">
        <f>C22/12</f>
        <v>58.333333333333336</v>
      </c>
      <c r="F22" s="9">
        <f>C22/24</f>
        <v>29.166666666666668</v>
      </c>
      <c r="G22" s="9">
        <f>C22/12</f>
        <v>58.333333333333336</v>
      </c>
      <c r="H22" s="9">
        <f>C22*0.1115</f>
        <v>78.05</v>
      </c>
      <c r="I22" s="8">
        <f>C22*0.01</f>
        <v>7</v>
      </c>
      <c r="J22" s="29">
        <f>C22+E22+F22+G22+H22+I22</f>
        <v>930.8833333333333</v>
      </c>
      <c r="N22" s="54" t="s">
        <v>134</v>
      </c>
      <c r="O22" s="32"/>
      <c r="P22" s="36">
        <f>O23+O24+O25+O26</f>
        <v>800</v>
      </c>
      <c r="Q22" s="8"/>
      <c r="R22" s="8"/>
    </row>
    <row r="23" spans="1:18" ht="15">
      <c r="A23" s="7">
        <v>1</v>
      </c>
      <c r="B23" s="8" t="s">
        <v>310</v>
      </c>
      <c r="C23" s="8">
        <v>450</v>
      </c>
      <c r="D23" s="9">
        <f>C23/12</f>
        <v>37.5</v>
      </c>
      <c r="E23" s="9">
        <f>C23/12</f>
        <v>37.5</v>
      </c>
      <c r="F23" s="9">
        <f>C23/24</f>
        <v>18.75</v>
      </c>
      <c r="G23" s="9">
        <f>C23/12</f>
        <v>37.5</v>
      </c>
      <c r="H23" s="9">
        <f>C23*0.1115</f>
        <v>50.175000000000004</v>
      </c>
      <c r="I23" s="9">
        <f>C23*0.01</f>
        <v>4.5</v>
      </c>
      <c r="J23" s="29">
        <f>C23+E23+F23+G23+H23+I23</f>
        <v>598.425</v>
      </c>
      <c r="N23" s="32" t="s">
        <v>135</v>
      </c>
      <c r="O23" s="34">
        <v>120</v>
      </c>
      <c r="P23" s="33"/>
      <c r="Q23" s="33"/>
      <c r="R23" s="8"/>
    </row>
    <row r="24" spans="1:18" ht="15">
      <c r="A24" s="10">
        <v>1</v>
      </c>
      <c r="B24" s="11" t="s">
        <v>309</v>
      </c>
      <c r="C24" s="8">
        <v>400</v>
      </c>
      <c r="D24" s="9">
        <f>C24/12</f>
        <v>33.333333333333336</v>
      </c>
      <c r="E24" s="9">
        <f>C24/12</f>
        <v>33.333333333333336</v>
      </c>
      <c r="F24" s="9">
        <f>C24/24</f>
        <v>16.666666666666668</v>
      </c>
      <c r="G24" s="9">
        <f>C24/12</f>
        <v>33.333333333333336</v>
      </c>
      <c r="H24" s="9">
        <f>C24*0.1115</f>
        <v>44.6</v>
      </c>
      <c r="I24" s="9">
        <f>C24*0.01</f>
        <v>4</v>
      </c>
      <c r="J24" s="29">
        <f>C24+E24+F24+G24+H24+I24</f>
        <v>531.9333333333333</v>
      </c>
      <c r="N24" s="32" t="s">
        <v>136</v>
      </c>
      <c r="O24" s="34">
        <v>250</v>
      </c>
      <c r="P24" s="33"/>
      <c r="Q24" s="33"/>
      <c r="R24" s="8"/>
    </row>
    <row r="25" spans="1:18" ht="15">
      <c r="A25" s="7">
        <v>1</v>
      </c>
      <c r="B25" s="11" t="s">
        <v>147</v>
      </c>
      <c r="C25" s="11">
        <v>450</v>
      </c>
      <c r="D25" s="9">
        <f>C25/12</f>
        <v>37.5</v>
      </c>
      <c r="E25" s="9">
        <f>C25/12</f>
        <v>37.5</v>
      </c>
      <c r="F25" s="9">
        <f>C25/24</f>
        <v>18.75</v>
      </c>
      <c r="G25" s="9">
        <f>C25/12</f>
        <v>37.5</v>
      </c>
      <c r="H25" s="9">
        <f>C25*0.1115</f>
        <v>50.175000000000004</v>
      </c>
      <c r="I25" s="9">
        <f>C25*0.01</f>
        <v>4.5</v>
      </c>
      <c r="J25" s="29">
        <f>C25+E25+F25+G25+H25+I25</f>
        <v>598.425</v>
      </c>
      <c r="N25" s="32" t="s">
        <v>137</v>
      </c>
      <c r="O25" s="34">
        <v>310</v>
      </c>
      <c r="P25" s="33"/>
      <c r="Q25" s="33"/>
      <c r="R25" s="8"/>
    </row>
    <row r="26" spans="1:18" ht="15">
      <c r="A26" s="10">
        <v>1</v>
      </c>
      <c r="B26" s="11" t="s">
        <v>307</v>
      </c>
      <c r="C26" s="11">
        <v>450</v>
      </c>
      <c r="D26" s="9">
        <f>C26/12</f>
        <v>37.5</v>
      </c>
      <c r="E26" s="9">
        <f>C26/12</f>
        <v>37.5</v>
      </c>
      <c r="F26" s="9">
        <f>C26/24</f>
        <v>18.75</v>
      </c>
      <c r="G26" s="9">
        <f>C26/12</f>
        <v>37.5</v>
      </c>
      <c r="H26" s="9">
        <f>C26*0.1115</f>
        <v>50.175000000000004</v>
      </c>
      <c r="I26" s="9">
        <f>C26*0.01</f>
        <v>4.5</v>
      </c>
      <c r="J26" s="29">
        <f>C26+E26+F26+G26+H26+I26</f>
        <v>598.425</v>
      </c>
      <c r="N26" s="32" t="s">
        <v>138</v>
      </c>
      <c r="O26" s="34">
        <v>120</v>
      </c>
      <c r="P26" s="33"/>
      <c r="Q26" s="33"/>
      <c r="R26" s="8"/>
    </row>
    <row r="27" spans="1:10" ht="15">
      <c r="A27" s="10">
        <v>1</v>
      </c>
      <c r="B27" s="11" t="s">
        <v>153</v>
      </c>
      <c r="C27" s="11">
        <v>450</v>
      </c>
      <c r="D27" s="9">
        <f>C27/12</f>
        <v>37.5</v>
      </c>
      <c r="E27" s="9">
        <f>C27/12</f>
        <v>37.5</v>
      </c>
      <c r="F27" s="9">
        <f>C27/24</f>
        <v>18.75</v>
      </c>
      <c r="G27" s="9">
        <f>C27/12</f>
        <v>37.5</v>
      </c>
      <c r="H27" s="9">
        <f>C27*0.1115</f>
        <v>50.175000000000004</v>
      </c>
      <c r="I27" s="9">
        <f>C27*0.01</f>
        <v>4.5</v>
      </c>
      <c r="J27" s="29">
        <f>C27+E27+F27+G27+H27+I27</f>
        <v>598.425</v>
      </c>
    </row>
    <row r="28" spans="1:10" ht="15">
      <c r="A28" s="10">
        <v>5</v>
      </c>
      <c r="B28" s="11" t="s">
        <v>148</v>
      </c>
      <c r="C28" s="11">
        <v>300</v>
      </c>
      <c r="D28" s="12">
        <f>C28/12</f>
        <v>25</v>
      </c>
      <c r="E28" s="12">
        <f>C28/12</f>
        <v>25</v>
      </c>
      <c r="F28" s="12">
        <f>C28/24</f>
        <v>12.5</v>
      </c>
      <c r="G28" s="12">
        <f>C28/12</f>
        <v>25</v>
      </c>
      <c r="H28" s="12">
        <f>C28*0.1115</f>
        <v>33.45</v>
      </c>
      <c r="I28" s="12">
        <f>C28*0.01</f>
        <v>3</v>
      </c>
      <c r="J28" s="191">
        <f>C28+E28+F28+G28+H28+I28</f>
        <v>398.95</v>
      </c>
    </row>
    <row r="29" spans="1:13" ht="15">
      <c r="A29" s="10">
        <v>2</v>
      </c>
      <c r="B29" s="11" t="s">
        <v>311</v>
      </c>
      <c r="C29" s="11">
        <v>350</v>
      </c>
      <c r="D29" s="9">
        <f>C29/12</f>
        <v>29.166666666666668</v>
      </c>
      <c r="E29" s="9">
        <f>C29/12</f>
        <v>29.166666666666668</v>
      </c>
      <c r="F29" s="13">
        <f>C29/24</f>
        <v>14.583333333333334</v>
      </c>
      <c r="G29" s="9">
        <f>C29/12</f>
        <v>29.166666666666668</v>
      </c>
      <c r="H29" s="12">
        <f>C29*0.1115</f>
        <v>39.025</v>
      </c>
      <c r="I29" s="12">
        <f>C29*0.01</f>
        <v>3.5</v>
      </c>
      <c r="J29" s="29">
        <f>C29+E29+F29+G29+H29+I29</f>
        <v>465.44166666666666</v>
      </c>
      <c r="M29" s="42" t="s">
        <v>322</v>
      </c>
    </row>
    <row r="30" spans="1:13" ht="15">
      <c r="A30" s="10">
        <v>2</v>
      </c>
      <c r="B30" s="11" t="s">
        <v>355</v>
      </c>
      <c r="C30" s="11">
        <v>240</v>
      </c>
      <c r="D30" s="9">
        <f>C30/12</f>
        <v>20</v>
      </c>
      <c r="E30" s="9">
        <f>C30/12</f>
        <v>20</v>
      </c>
      <c r="F30" s="9">
        <f>C30/24</f>
        <v>10</v>
      </c>
      <c r="G30" s="9">
        <f>C30/12</f>
        <v>20</v>
      </c>
      <c r="H30" s="9">
        <f>C30*0.1115</f>
        <v>26.76</v>
      </c>
      <c r="I30" s="9">
        <f>C30*0.01</f>
        <v>2.4</v>
      </c>
      <c r="J30" s="29">
        <f>C30+E30+F30+G30+H30+I30</f>
        <v>319.15999999999997</v>
      </c>
      <c r="L30">
        <v>1</v>
      </c>
      <c r="M30" t="s">
        <v>313</v>
      </c>
    </row>
    <row r="31" spans="1:13" ht="15.75" thickBot="1">
      <c r="A31" s="14"/>
      <c r="B31" s="18"/>
      <c r="C31" s="15"/>
      <c r="D31" s="16"/>
      <c r="E31" s="17"/>
      <c r="F31" s="17"/>
      <c r="G31" s="17"/>
      <c r="H31" s="16"/>
      <c r="I31" s="16"/>
      <c r="J31" s="25"/>
      <c r="L31">
        <v>2</v>
      </c>
      <c r="M31" t="s">
        <v>314</v>
      </c>
    </row>
    <row r="32" spans="1:13" ht="15">
      <c r="A32" s="11"/>
      <c r="B32" s="11"/>
      <c r="C32" s="8"/>
      <c r="D32" s="12"/>
      <c r="E32" s="9"/>
      <c r="F32" s="9"/>
      <c r="G32" s="9"/>
      <c r="H32" s="12"/>
      <c r="I32" s="12"/>
      <c r="J32" s="8"/>
      <c r="L32">
        <v>3</v>
      </c>
      <c r="M32" t="s">
        <v>315</v>
      </c>
    </row>
    <row r="33" spans="1:13" ht="15">
      <c r="A33" s="11">
        <v>1</v>
      </c>
      <c r="B33" s="11" t="s">
        <v>320</v>
      </c>
      <c r="C33" s="8">
        <v>300</v>
      </c>
      <c r="D33" s="12">
        <f>C33/12</f>
        <v>25</v>
      </c>
      <c r="E33" s="9">
        <f>C33/12</f>
        <v>25</v>
      </c>
      <c r="F33" s="9">
        <f>C33/24</f>
        <v>12.5</v>
      </c>
      <c r="G33" s="9">
        <f>C33/12</f>
        <v>25</v>
      </c>
      <c r="H33" s="12">
        <f>C33*0.1115</f>
        <v>33.45</v>
      </c>
      <c r="I33" s="12">
        <f>C33*0.01</f>
        <v>3</v>
      </c>
      <c r="J33" s="9">
        <f>C33+E33+F33+G33+H33+I33</f>
        <v>398.95</v>
      </c>
      <c r="L33">
        <v>4</v>
      </c>
      <c r="M33" t="s">
        <v>317</v>
      </c>
    </row>
    <row r="34" spans="1:13" ht="15">
      <c r="A34" s="11">
        <v>1</v>
      </c>
      <c r="B34" s="11" t="s">
        <v>321</v>
      </c>
      <c r="C34" s="8">
        <v>300</v>
      </c>
      <c r="D34" s="12">
        <f>C34/12</f>
        <v>25</v>
      </c>
      <c r="E34" s="9">
        <f>C34/12</f>
        <v>25</v>
      </c>
      <c r="F34" s="9">
        <f>C34/24</f>
        <v>12.5</v>
      </c>
      <c r="G34" s="9">
        <f>C34/12</f>
        <v>25</v>
      </c>
      <c r="H34" s="12">
        <f>C34*0.1115</f>
        <v>33.45</v>
      </c>
      <c r="I34" s="12">
        <f>C34*0.01</f>
        <v>3</v>
      </c>
      <c r="J34" s="9">
        <f>C34+E34+F34+G34+H34+I34</f>
        <v>398.95</v>
      </c>
      <c r="L34">
        <v>5</v>
      </c>
      <c r="M34" t="s">
        <v>316</v>
      </c>
    </row>
    <row r="35" spans="1:13" ht="15">
      <c r="A35" s="11">
        <v>4</v>
      </c>
      <c r="B35" s="11" t="s">
        <v>319</v>
      </c>
      <c r="C35" s="8">
        <v>240</v>
      </c>
      <c r="D35" s="12">
        <f>C35/12</f>
        <v>20</v>
      </c>
      <c r="E35" s="9">
        <f>C35/12</f>
        <v>20</v>
      </c>
      <c r="F35" s="9">
        <f>C35/24</f>
        <v>10</v>
      </c>
      <c r="G35" s="9">
        <f>C35/12</f>
        <v>20</v>
      </c>
      <c r="H35" s="12">
        <f>C35*0.1115</f>
        <v>26.76</v>
      </c>
      <c r="I35" s="12">
        <f>C35*0.01</f>
        <v>2.4</v>
      </c>
      <c r="J35" s="9">
        <f>C35+E35+F35+G35+H35+I35</f>
        <v>319.15999999999997</v>
      </c>
      <c r="L35">
        <v>6</v>
      </c>
      <c r="M35" t="s">
        <v>318</v>
      </c>
    </row>
    <row r="36" spans="1:12" ht="15">
      <c r="A36" s="11"/>
      <c r="B36" s="11"/>
      <c r="C36" s="8"/>
      <c r="D36" s="12"/>
      <c r="E36" s="9"/>
      <c r="F36" s="9"/>
      <c r="G36" s="9"/>
      <c r="H36" s="12"/>
      <c r="I36" s="12"/>
      <c r="J36" s="8"/>
      <c r="L36">
        <v>7</v>
      </c>
    </row>
    <row r="37" spans="1:10" ht="15">
      <c r="A37" s="11"/>
      <c r="B37" s="11"/>
      <c r="C37" s="8"/>
      <c r="D37" s="12"/>
      <c r="E37" s="9"/>
      <c r="F37" s="9"/>
      <c r="G37" s="9"/>
      <c r="H37" s="12"/>
      <c r="I37" s="12"/>
      <c r="J37" s="8"/>
    </row>
    <row r="38" spans="1:10" ht="15">
      <c r="A38" s="11"/>
      <c r="B38" s="11"/>
      <c r="C38" s="8"/>
      <c r="D38" s="12"/>
      <c r="E38" s="9"/>
      <c r="F38" s="9"/>
      <c r="G38" s="9"/>
      <c r="H38" s="12"/>
      <c r="I38" s="12"/>
      <c r="J38" s="8"/>
    </row>
    <row r="39" spans="1:10" ht="15.75" thickBot="1">
      <c r="A39" s="11"/>
      <c r="B39" s="11"/>
      <c r="C39" s="8"/>
      <c r="D39" s="12"/>
      <c r="E39" s="9"/>
      <c r="F39" s="9"/>
      <c r="G39" s="9"/>
      <c r="H39" s="12"/>
      <c r="I39" s="12"/>
      <c r="J39" s="8"/>
    </row>
    <row r="40" spans="1:14" ht="15">
      <c r="A40" s="11"/>
      <c r="B40" s="11"/>
      <c r="C40" s="8"/>
      <c r="D40" s="12"/>
      <c r="E40" s="9"/>
      <c r="F40" s="9"/>
      <c r="G40" s="9"/>
      <c r="H40" s="12"/>
      <c r="I40" s="12"/>
      <c r="J40" s="8"/>
      <c r="K40" s="217" t="s">
        <v>330</v>
      </c>
      <c r="L40" s="218"/>
      <c r="M40" s="218"/>
      <c r="N40" s="219"/>
    </row>
    <row r="41" spans="1:14" ht="26.25">
      <c r="A41" s="11"/>
      <c r="B41" s="11"/>
      <c r="C41" s="8"/>
      <c r="D41" s="12"/>
      <c r="E41" s="9"/>
      <c r="F41" s="9"/>
      <c r="G41" s="9"/>
      <c r="H41" s="12"/>
      <c r="I41" s="12"/>
      <c r="J41" s="8"/>
      <c r="K41" s="220" t="s">
        <v>37</v>
      </c>
      <c r="L41" s="215" t="s">
        <v>142</v>
      </c>
      <c r="M41" s="216" t="s">
        <v>143</v>
      </c>
      <c r="N41" s="221" t="s">
        <v>144</v>
      </c>
    </row>
    <row r="42" spans="5:14" ht="15">
      <c r="E42" s="9"/>
      <c r="F42" s="9"/>
      <c r="G42" s="42" t="s">
        <v>325</v>
      </c>
      <c r="J42" s="8"/>
      <c r="K42" s="220"/>
      <c r="L42" s="215"/>
      <c r="M42" s="216"/>
      <c r="N42" s="221"/>
    </row>
    <row r="43" spans="1:14" ht="15">
      <c r="A43" s="54" t="s">
        <v>139</v>
      </c>
      <c r="B43" s="32"/>
      <c r="C43" s="32"/>
      <c r="D43" s="32"/>
      <c r="G43">
        <f>170*3</f>
        <v>510</v>
      </c>
      <c r="H43" t="s">
        <v>350</v>
      </c>
      <c r="K43" s="193">
        <v>1</v>
      </c>
      <c r="L43" s="57" t="s">
        <v>324</v>
      </c>
      <c r="M43" s="58" t="s">
        <v>145</v>
      </c>
      <c r="N43" s="194">
        <f>'Hoja 3'!G48</f>
        <v>39510</v>
      </c>
    </row>
    <row r="44" spans="1:14" ht="15">
      <c r="A44" s="35" t="s">
        <v>140</v>
      </c>
      <c r="B44" s="34">
        <v>9</v>
      </c>
      <c r="C44" s="34">
        <v>350</v>
      </c>
      <c r="D44" s="34">
        <f>B44*C44</f>
        <v>3150</v>
      </c>
      <c r="E44" s="12"/>
      <c r="F44" s="9"/>
      <c r="G44">
        <v>15000</v>
      </c>
      <c r="H44" t="s">
        <v>326</v>
      </c>
      <c r="J44" s="12"/>
      <c r="K44" s="193">
        <v>2</v>
      </c>
      <c r="L44" s="57" t="s">
        <v>125</v>
      </c>
      <c r="M44" s="58" t="s">
        <v>145</v>
      </c>
      <c r="N44" s="194">
        <f>Hoja2!B12</f>
        <v>4775</v>
      </c>
    </row>
    <row r="45" spans="1:17" ht="15">
      <c r="A45" s="188" t="s">
        <v>302</v>
      </c>
      <c r="B45" s="34">
        <v>2</v>
      </c>
      <c r="C45" s="34">
        <v>290</v>
      </c>
      <c r="D45" s="34">
        <f>B45*C45</f>
        <v>580</v>
      </c>
      <c r="E45" s="4"/>
      <c r="G45">
        <v>6000</v>
      </c>
      <c r="H45" t="s">
        <v>327</v>
      </c>
      <c r="K45" s="193">
        <v>3</v>
      </c>
      <c r="L45" s="57" t="s">
        <v>306</v>
      </c>
      <c r="M45" s="56" t="s">
        <v>145</v>
      </c>
      <c r="N45" s="195">
        <f>Hoja2!B13</f>
        <v>7438</v>
      </c>
      <c r="O45" s="33"/>
      <c r="P45" s="33"/>
      <c r="Q45" s="36"/>
    </row>
    <row r="46" spans="1:14" ht="15">
      <c r="A46" s="35" t="s">
        <v>165</v>
      </c>
      <c r="B46" s="34">
        <v>11</v>
      </c>
      <c r="C46" s="34">
        <v>95</v>
      </c>
      <c r="D46" s="34">
        <f>B46*C46</f>
        <v>1045</v>
      </c>
      <c r="G46">
        <v>12000</v>
      </c>
      <c r="H46" t="s">
        <v>328</v>
      </c>
      <c r="K46" s="196">
        <v>4</v>
      </c>
      <c r="L46" s="62" t="s">
        <v>167</v>
      </c>
      <c r="M46" s="197" t="s">
        <v>145</v>
      </c>
      <c r="N46" s="29">
        <f>Hoja2!B14</f>
        <v>1606.25</v>
      </c>
    </row>
    <row r="47" spans="1:14" ht="15">
      <c r="A47" s="35"/>
      <c r="B47" s="34"/>
      <c r="C47" s="34"/>
      <c r="D47">
        <f>SUM(D44:D46)</f>
        <v>4775</v>
      </c>
      <c r="G47">
        <v>6000</v>
      </c>
      <c r="H47" t="s">
        <v>329</v>
      </c>
      <c r="K47" s="198">
        <v>5</v>
      </c>
      <c r="L47" s="57" t="s">
        <v>298</v>
      </c>
      <c r="M47" s="56" t="s">
        <v>145</v>
      </c>
      <c r="N47" s="199">
        <f>Hoja2!B15</f>
        <v>18500</v>
      </c>
    </row>
    <row r="48" spans="1:14" ht="15">
      <c r="A48" s="10"/>
      <c r="B48" s="11"/>
      <c r="G48">
        <f>SUM(G43:G47)</f>
        <v>39510</v>
      </c>
      <c r="J48" s="8"/>
      <c r="K48" s="196">
        <v>6</v>
      </c>
      <c r="L48" s="62" t="s">
        <v>146</v>
      </c>
      <c r="M48" s="8"/>
      <c r="N48" s="29">
        <v>1200</v>
      </c>
    </row>
    <row r="49" spans="1:14" ht="15.75" thickBot="1">
      <c r="A49" s="10"/>
      <c r="B49" s="11"/>
      <c r="K49" s="24"/>
      <c r="L49" s="15"/>
      <c r="M49" s="15"/>
      <c r="N49" s="25">
        <f>SUM(N43:N48)</f>
        <v>73029.25</v>
      </c>
    </row>
    <row r="50" spans="1:13" ht="15" customHeight="1">
      <c r="A50" s="10"/>
      <c r="B50" s="11"/>
      <c r="J50" s="213"/>
      <c r="K50" s="213"/>
      <c r="L50" s="213"/>
      <c r="M50" s="213"/>
    </row>
    <row r="51" spans="1:13" ht="15">
      <c r="A51" s="11"/>
      <c r="B51" s="11"/>
      <c r="J51" s="213"/>
      <c r="K51" s="213"/>
      <c r="L51" s="213"/>
      <c r="M51" s="213"/>
    </row>
    <row r="52" spans="10:13" ht="15">
      <c r="J52" s="214"/>
      <c r="K52" s="215"/>
      <c r="L52" s="216"/>
      <c r="M52" s="215"/>
    </row>
    <row r="53" spans="10:13" ht="15">
      <c r="J53" s="214"/>
      <c r="K53" s="215"/>
      <c r="L53" s="216"/>
      <c r="M53" s="215"/>
    </row>
    <row r="54" spans="10:13" ht="15.75" thickBot="1">
      <c r="J54" s="56"/>
      <c r="K54" s="57"/>
      <c r="L54" s="58"/>
      <c r="M54" s="189"/>
    </row>
    <row r="55" spans="1:13" ht="15">
      <c r="A55" s="20" t="s">
        <v>105</v>
      </c>
      <c r="B55" s="21"/>
      <c r="C55" s="21">
        <v>50000</v>
      </c>
      <c r="D55" s="22"/>
      <c r="J55" s="56"/>
      <c r="K55" s="57"/>
      <c r="L55" s="58"/>
      <c r="M55" s="56"/>
    </row>
    <row r="56" spans="1:13" ht="15">
      <c r="A56" s="7" t="s">
        <v>155</v>
      </c>
      <c r="B56" s="8">
        <f>C55*70%</f>
        <v>35000</v>
      </c>
      <c r="C56" s="8"/>
      <c r="D56" s="23"/>
      <c r="J56" s="56"/>
      <c r="K56" s="57"/>
      <c r="L56" s="56"/>
      <c r="M56" s="56"/>
    </row>
    <row r="57" spans="1:13" ht="15">
      <c r="A57" s="7" t="s">
        <v>110</v>
      </c>
      <c r="B57" s="8">
        <f>C55*30%</f>
        <v>15000</v>
      </c>
      <c r="C57" s="8"/>
      <c r="D57" s="23"/>
      <c r="J57" s="61"/>
      <c r="K57" s="62"/>
      <c r="L57" s="63"/>
      <c r="M57" s="4"/>
    </row>
    <row r="58" spans="1:13" ht="15.75" thickBot="1">
      <c r="A58" s="24"/>
      <c r="B58" s="15"/>
      <c r="C58" s="15"/>
      <c r="D58" s="25"/>
      <c r="J58" s="61"/>
      <c r="K58" s="62"/>
      <c r="M58" s="1"/>
    </row>
    <row r="59" spans="10:17" ht="15">
      <c r="J59" s="59"/>
      <c r="K59" s="57"/>
      <c r="L59" s="56"/>
      <c r="M59" s="59"/>
      <c r="N59" s="60"/>
      <c r="O59" s="57"/>
      <c r="P59" s="60"/>
      <c r="Q59" s="59"/>
    </row>
    <row r="60" spans="10:13" ht="15">
      <c r="J60" s="8"/>
      <c r="K60" s="8"/>
      <c r="L60" s="8"/>
      <c r="M60" s="9"/>
    </row>
    <row r="61" ht="15">
      <c r="A61" s="64" t="s">
        <v>161</v>
      </c>
    </row>
    <row r="62" spans="1:4" ht="15">
      <c r="A62" t="s">
        <v>162</v>
      </c>
      <c r="B62">
        <v>10</v>
      </c>
      <c r="C62" s="4">
        <v>89.99</v>
      </c>
      <c r="D62" s="4">
        <f>B62*C62</f>
        <v>899.9</v>
      </c>
    </row>
    <row r="63" spans="1:4" ht="15">
      <c r="A63" t="s">
        <v>163</v>
      </c>
      <c r="B63">
        <v>10</v>
      </c>
      <c r="C63" s="4">
        <v>25</v>
      </c>
      <c r="D63" s="4">
        <f>B63*C63</f>
        <v>250</v>
      </c>
    </row>
    <row r="64" spans="1:9" ht="15">
      <c r="A64" t="s">
        <v>164</v>
      </c>
      <c r="B64">
        <v>5</v>
      </c>
      <c r="C64" s="4">
        <v>16.99</v>
      </c>
      <c r="D64" s="4">
        <f>B64*C64</f>
        <v>84.94999999999999</v>
      </c>
      <c r="I64" t="s">
        <v>370</v>
      </c>
    </row>
    <row r="65" spans="1:9" ht="15">
      <c r="A65" t="s">
        <v>141</v>
      </c>
      <c r="B65">
        <v>6</v>
      </c>
      <c r="C65" s="4">
        <v>61.9</v>
      </c>
      <c r="D65" s="4">
        <f>B65*C65</f>
        <v>371.4</v>
      </c>
      <c r="I65" t="s">
        <v>371</v>
      </c>
    </row>
    <row r="66" spans="4:9" ht="15">
      <c r="D66" s="4">
        <f>SUM(D62:D65)</f>
        <v>1606.25</v>
      </c>
      <c r="F66" s="35"/>
      <c r="G66" s="34"/>
      <c r="H66" s="34"/>
      <c r="I66" t="s">
        <v>336</v>
      </c>
    </row>
    <row r="67" spans="6:9" ht="15">
      <c r="F67" s="35"/>
      <c r="G67" s="34"/>
      <c r="H67" s="34"/>
      <c r="I67" s="34" t="s">
        <v>337</v>
      </c>
    </row>
    <row r="68" spans="6:9" ht="15">
      <c r="F68" s="35"/>
      <c r="G68" s="34"/>
      <c r="H68" s="34"/>
      <c r="I68" t="s">
        <v>338</v>
      </c>
    </row>
    <row r="69" ht="15.75" thickBot="1"/>
    <row r="70" spans="1:3" ht="15">
      <c r="A70" s="20" t="s">
        <v>107</v>
      </c>
      <c r="B70" s="21"/>
      <c r="C70" s="22">
        <f>C71+C72+C73</f>
        <v>40320</v>
      </c>
    </row>
    <row r="71" spans="1:3" ht="15">
      <c r="A71" s="7" t="s">
        <v>108</v>
      </c>
      <c r="B71" s="8">
        <v>550</v>
      </c>
      <c r="C71" s="23">
        <f>B71*12</f>
        <v>6600</v>
      </c>
    </row>
    <row r="72" spans="1:3" ht="15">
      <c r="A72" s="7" t="s">
        <v>109</v>
      </c>
      <c r="B72" s="8">
        <v>2500</v>
      </c>
      <c r="C72" s="23">
        <f>B72*12</f>
        <v>30000</v>
      </c>
    </row>
    <row r="73" spans="1:3" ht="15.75" thickBot="1">
      <c r="A73" s="24" t="s">
        <v>115</v>
      </c>
      <c r="B73" s="15">
        <v>310</v>
      </c>
      <c r="C73" s="23">
        <f>B73*12</f>
        <v>3720</v>
      </c>
    </row>
    <row r="74" spans="6:13" ht="15.75" thickBot="1">
      <c r="F74" t="s">
        <v>299</v>
      </c>
      <c r="K74" s="20"/>
      <c r="L74" s="226" t="s">
        <v>220</v>
      </c>
      <c r="M74" s="22"/>
    </row>
    <row r="75" spans="1:13" ht="15">
      <c r="A75" s="20" t="s">
        <v>111</v>
      </c>
      <c r="B75" s="21"/>
      <c r="C75" s="22">
        <f>B76*12</f>
        <v>10800</v>
      </c>
      <c r="D75" s="33"/>
      <c r="E75" s="33"/>
      <c r="F75" s="33" t="s">
        <v>300</v>
      </c>
      <c r="G75">
        <v>7</v>
      </c>
      <c r="H75">
        <v>890</v>
      </c>
      <c r="I75">
        <f>G75*H75</f>
        <v>6230</v>
      </c>
      <c r="K75" s="7">
        <v>9000</v>
      </c>
      <c r="L75" s="8" t="s">
        <v>358</v>
      </c>
      <c r="M75" s="23"/>
    </row>
    <row r="76" spans="1:13" ht="15.75" thickBot="1">
      <c r="A76" s="24" t="s">
        <v>112</v>
      </c>
      <c r="B76" s="15">
        <v>900</v>
      </c>
      <c r="C76" s="25"/>
      <c r="D76" s="34"/>
      <c r="E76" s="34"/>
      <c r="F76" s="186" t="s">
        <v>301</v>
      </c>
      <c r="G76">
        <v>2</v>
      </c>
      <c r="H76">
        <v>235</v>
      </c>
      <c r="I76">
        <f>G76*H76</f>
        <v>470</v>
      </c>
      <c r="K76" s="7">
        <v>6000</v>
      </c>
      <c r="L76" s="8" t="s">
        <v>359</v>
      </c>
      <c r="M76" s="23"/>
    </row>
    <row r="77" spans="3:13" ht="15">
      <c r="C77" s="35"/>
      <c r="D77" s="33"/>
      <c r="E77" s="33"/>
      <c r="F77" s="187" t="s">
        <v>303</v>
      </c>
      <c r="G77">
        <v>1</v>
      </c>
      <c r="H77">
        <v>280</v>
      </c>
      <c r="I77">
        <f>G77*H77</f>
        <v>280</v>
      </c>
      <c r="K77" s="7">
        <v>3500</v>
      </c>
      <c r="L77" s="8" t="s">
        <v>360</v>
      </c>
      <c r="M77" s="23"/>
    </row>
    <row r="78" spans="3:13" ht="15.75" thickBot="1">
      <c r="C78" s="35"/>
      <c r="D78" s="34"/>
      <c r="E78" s="34"/>
      <c r="F78" s="34" t="s">
        <v>304</v>
      </c>
      <c r="G78">
        <v>11</v>
      </c>
      <c r="H78">
        <v>18</v>
      </c>
      <c r="I78">
        <f>G78*H78</f>
        <v>198</v>
      </c>
      <c r="K78" s="24">
        <f>SUM(K75:K77)</f>
        <v>18500</v>
      </c>
      <c r="L78" s="15"/>
      <c r="M78" s="25"/>
    </row>
    <row r="79" spans="1:9" ht="15">
      <c r="A79" s="8" t="s">
        <v>113</v>
      </c>
      <c r="B79" s="8"/>
      <c r="C79" s="8">
        <f>C80+B81</f>
        <v>590</v>
      </c>
      <c r="D79" s="34"/>
      <c r="E79" s="34"/>
      <c r="F79" s="187" t="s">
        <v>305</v>
      </c>
      <c r="G79">
        <v>4</v>
      </c>
      <c r="H79">
        <v>65</v>
      </c>
      <c r="I79">
        <f>G79*H79</f>
        <v>260</v>
      </c>
    </row>
    <row r="80" spans="1:9" ht="15">
      <c r="A80" s="8" t="s">
        <v>166</v>
      </c>
      <c r="B80" s="8">
        <v>45</v>
      </c>
      <c r="C80" s="8">
        <f>B80*12</f>
        <v>540</v>
      </c>
      <c r="D80" s="34"/>
      <c r="E80" s="34"/>
      <c r="F80" s="34"/>
      <c r="I80">
        <f>SUM(I75:I79)</f>
        <v>7438</v>
      </c>
    </row>
    <row r="81" spans="1:3" ht="15">
      <c r="A81" s="8" t="s">
        <v>114</v>
      </c>
      <c r="B81" s="8">
        <v>50</v>
      </c>
      <c r="C81" s="8"/>
    </row>
    <row r="85" ht="15.75" thickBot="1"/>
    <row r="86" spans="4:9" ht="15.75" thickBot="1">
      <c r="D86" s="233" t="s">
        <v>124</v>
      </c>
      <c r="E86" s="234">
        <v>1</v>
      </c>
      <c r="F86" s="234">
        <v>2</v>
      </c>
      <c r="G86" s="234">
        <v>3</v>
      </c>
      <c r="H86" s="234">
        <v>4</v>
      </c>
      <c r="I86" s="234">
        <v>5</v>
      </c>
    </row>
    <row r="87" spans="4:9" ht="15.75" thickBot="1">
      <c r="D87" s="235" t="s">
        <v>174</v>
      </c>
      <c r="E87" s="236">
        <v>1914939</v>
      </c>
      <c r="F87" s="236">
        <v>1934088</v>
      </c>
      <c r="G87" s="236">
        <v>1963100</v>
      </c>
      <c r="H87" s="236">
        <v>1992546</v>
      </c>
      <c r="I87" s="236">
        <v>2032397</v>
      </c>
    </row>
    <row r="88" spans="4:9" ht="15.75" thickBot="1">
      <c r="D88" s="235" t="s">
        <v>341</v>
      </c>
      <c r="E88" s="237">
        <v>1621019</v>
      </c>
      <c r="F88" s="237">
        <v>1637229</v>
      </c>
      <c r="G88" s="237">
        <v>1661787</v>
      </c>
      <c r="H88" s="237">
        <v>1686714</v>
      </c>
      <c r="I88" s="237">
        <v>1720448</v>
      </c>
    </row>
    <row r="89" spans="4:9" ht="15.75" thickBot="1">
      <c r="D89" s="235" t="s">
        <v>339</v>
      </c>
      <c r="E89" s="236">
        <v>1595782</v>
      </c>
      <c r="F89" s="236">
        <v>1611740</v>
      </c>
      <c r="G89" s="236">
        <v>1635916</v>
      </c>
      <c r="H89" s="236">
        <v>1660455</v>
      </c>
      <c r="I89" s="236">
        <v>1693664</v>
      </c>
    </row>
    <row r="90" spans="4:9" ht="15.75" thickBot="1">
      <c r="D90" s="235" t="s">
        <v>336</v>
      </c>
      <c r="E90" s="236">
        <v>4787</v>
      </c>
      <c r="F90" s="236">
        <v>4835</v>
      </c>
      <c r="G90" s="236">
        <v>4908</v>
      </c>
      <c r="H90" s="236">
        <v>4981</v>
      </c>
      <c r="I90" s="236">
        <v>5081</v>
      </c>
    </row>
    <row r="91" spans="4:9" ht="15.75" thickBot="1">
      <c r="D91" s="235" t="s">
        <v>337</v>
      </c>
      <c r="E91" s="236">
        <v>4787</v>
      </c>
      <c r="F91" s="236">
        <v>4835</v>
      </c>
      <c r="G91" s="236">
        <v>4908</v>
      </c>
      <c r="H91" s="236">
        <v>4981</v>
      </c>
      <c r="I91" s="236">
        <v>5081</v>
      </c>
    </row>
    <row r="92" spans="4:9" ht="15.75" thickBot="1">
      <c r="D92" s="235" t="s">
        <v>338</v>
      </c>
      <c r="E92" s="236">
        <v>7660</v>
      </c>
      <c r="F92" s="236">
        <v>7736</v>
      </c>
      <c r="G92" s="236">
        <v>7852</v>
      </c>
      <c r="H92" s="236">
        <v>7970</v>
      </c>
      <c r="I92" s="236">
        <v>8130</v>
      </c>
    </row>
    <row r="93" spans="4:9" ht="15.75" thickBot="1">
      <c r="D93" s="235" t="s">
        <v>343</v>
      </c>
      <c r="E93" s="236">
        <v>8002</v>
      </c>
      <c r="F93" s="236">
        <v>8082</v>
      </c>
      <c r="G93" s="236">
        <v>8203</v>
      </c>
      <c r="H93" s="236">
        <v>8326</v>
      </c>
      <c r="I93" s="236">
        <v>8492</v>
      </c>
    </row>
    <row r="94" spans="4:9" ht="15.75" thickBot="1">
      <c r="D94" s="238" t="s">
        <v>340</v>
      </c>
      <c r="E94" s="236">
        <v>293920</v>
      </c>
      <c r="F94" s="236">
        <v>296859</v>
      </c>
      <c r="G94" s="236">
        <v>301312</v>
      </c>
      <c r="H94" s="236">
        <v>305832</v>
      </c>
      <c r="I94" s="236">
        <v>311949</v>
      </c>
    </row>
    <row r="95" spans="4:9" ht="15.75" thickBot="1">
      <c r="D95" s="238" t="s">
        <v>177</v>
      </c>
      <c r="E95" s="239"/>
      <c r="F95" s="239"/>
      <c r="G95" s="239"/>
      <c r="H95" s="239"/>
      <c r="I95" s="239"/>
    </row>
    <row r="96" spans="4:9" ht="15.75" thickBot="1">
      <c r="D96" s="235" t="s">
        <v>178</v>
      </c>
      <c r="E96" s="236">
        <v>122129</v>
      </c>
      <c r="F96" s="236">
        <v>122129</v>
      </c>
      <c r="G96" s="236">
        <v>122129</v>
      </c>
      <c r="H96" s="236">
        <v>122129</v>
      </c>
      <c r="I96" s="236">
        <v>122129</v>
      </c>
    </row>
    <row r="97" spans="4:9" ht="15.75" thickBot="1">
      <c r="D97" s="235" t="s">
        <v>179</v>
      </c>
      <c r="E97" s="236">
        <v>92767</v>
      </c>
      <c r="F97" s="236">
        <v>92767</v>
      </c>
      <c r="G97" s="236">
        <v>92767</v>
      </c>
      <c r="H97" s="236">
        <v>92767</v>
      </c>
      <c r="I97" s="236">
        <v>92767</v>
      </c>
    </row>
    <row r="98" spans="4:9" ht="15.75" thickBot="1">
      <c r="D98" s="235" t="s">
        <v>157</v>
      </c>
      <c r="E98" s="236">
        <v>3751</v>
      </c>
      <c r="F98" s="236">
        <v>3751</v>
      </c>
      <c r="G98" s="236">
        <v>3751</v>
      </c>
      <c r="H98" s="236">
        <v>3751</v>
      </c>
      <c r="I98" s="236">
        <v>3751</v>
      </c>
    </row>
    <row r="99" spans="4:9" ht="15.75" thickBot="1">
      <c r="D99" s="235" t="s">
        <v>180</v>
      </c>
      <c r="E99" s="236">
        <v>13410</v>
      </c>
      <c r="F99" s="236">
        <v>13410</v>
      </c>
      <c r="G99" s="236">
        <v>13410</v>
      </c>
      <c r="H99" s="236">
        <v>240</v>
      </c>
      <c r="I99" s="236">
        <v>240</v>
      </c>
    </row>
    <row r="100" spans="4:9" ht="15.75" thickBot="1">
      <c r="D100" s="238" t="s">
        <v>181</v>
      </c>
      <c r="E100" s="240">
        <v>232058</v>
      </c>
      <c r="F100" s="240">
        <v>232058</v>
      </c>
      <c r="G100" s="240">
        <v>232058</v>
      </c>
      <c r="H100" s="240">
        <v>218888</v>
      </c>
      <c r="I100" s="240">
        <v>218888</v>
      </c>
    </row>
    <row r="101" spans="4:9" ht="15.75" thickBot="1">
      <c r="D101" s="238" t="s">
        <v>182</v>
      </c>
      <c r="E101" s="241">
        <v>61863</v>
      </c>
      <c r="F101" s="241">
        <v>64802</v>
      </c>
      <c r="G101" s="241">
        <v>69255</v>
      </c>
      <c r="H101" s="241">
        <v>86944</v>
      </c>
      <c r="I101" s="241">
        <v>93061</v>
      </c>
    </row>
    <row r="102" spans="4:9" ht="15.75" thickBot="1">
      <c r="D102" s="235" t="s">
        <v>183</v>
      </c>
      <c r="E102" s="236">
        <v>9279</v>
      </c>
      <c r="F102" s="236">
        <v>9720</v>
      </c>
      <c r="G102" s="236">
        <v>10388</v>
      </c>
      <c r="H102" s="236">
        <v>13042</v>
      </c>
      <c r="I102" s="236">
        <v>13959</v>
      </c>
    </row>
    <row r="103" spans="4:9" ht="15.75" thickBot="1">
      <c r="D103" s="238" t="s">
        <v>184</v>
      </c>
      <c r="E103" s="241">
        <v>52583</v>
      </c>
      <c r="F103" s="241">
        <v>55081</v>
      </c>
      <c r="G103" s="241">
        <v>58866</v>
      </c>
      <c r="H103" s="241">
        <v>73903</v>
      </c>
      <c r="I103" s="241">
        <v>79102</v>
      </c>
    </row>
    <row r="104" spans="4:9" ht="15.75" thickBot="1">
      <c r="D104" s="235" t="s">
        <v>185</v>
      </c>
      <c r="E104" s="236">
        <v>13146</v>
      </c>
      <c r="F104" s="236">
        <v>13770</v>
      </c>
      <c r="G104" s="236">
        <v>14717</v>
      </c>
      <c r="H104" s="236">
        <v>18476</v>
      </c>
      <c r="I104" s="236">
        <v>19775</v>
      </c>
    </row>
    <row r="105" spans="4:9" ht="15.75" thickBot="1">
      <c r="D105" s="238" t="s">
        <v>186</v>
      </c>
      <c r="E105" s="241">
        <v>39437</v>
      </c>
      <c r="F105" s="241">
        <v>41311</v>
      </c>
      <c r="G105" s="241">
        <v>44150</v>
      </c>
      <c r="H105" s="241">
        <v>55427</v>
      </c>
      <c r="I105" s="241">
        <v>59326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22.00390625" style="0" customWidth="1"/>
    <col min="2" max="2" width="13.57421875" style="0" customWidth="1"/>
    <col min="3" max="3" width="10.140625" style="0" customWidth="1"/>
    <col min="4" max="4" width="11.8515625" style="0" bestFit="1" customWidth="1"/>
    <col min="6" max="6" width="11.8515625" style="0" bestFit="1" customWidth="1"/>
    <col min="9" max="9" width="22.421875" style="0" customWidth="1"/>
    <col min="10" max="10" width="29.7109375" style="0" customWidth="1"/>
    <col min="11" max="11" width="14.421875" style="0" customWidth="1"/>
    <col min="12" max="12" width="9.8515625" style="0" customWidth="1"/>
    <col min="13" max="13" width="15.7109375" style="0" customWidth="1"/>
    <col min="14" max="14" width="10.421875" style="0" customWidth="1"/>
    <col min="15" max="15" width="10.140625" style="0" customWidth="1"/>
    <col min="16" max="16" width="9.7109375" style="0" customWidth="1"/>
    <col min="17" max="17" width="8.00390625" style="0" bestFit="1" customWidth="1"/>
  </cols>
  <sheetData>
    <row r="1" spans="1:7" ht="15">
      <c r="A1" s="20" t="s">
        <v>91</v>
      </c>
      <c r="B1" s="21" t="s">
        <v>89</v>
      </c>
      <c r="C1" s="21" t="s">
        <v>90</v>
      </c>
      <c r="D1" s="21" t="s">
        <v>92</v>
      </c>
      <c r="E1" s="21" t="s">
        <v>93</v>
      </c>
      <c r="F1" s="222" t="s">
        <v>160</v>
      </c>
      <c r="G1" s="22"/>
    </row>
    <row r="2" spans="1:7" ht="15">
      <c r="A2" s="7">
        <f>'Hoja 3'!A5</f>
        <v>2336902</v>
      </c>
      <c r="B2" s="27">
        <f>'Hoja 3'!B5</f>
        <v>0.5126262626262627</v>
      </c>
      <c r="C2" s="27">
        <f>'Hoja 3'!C5</f>
        <v>0.8613861386138614</v>
      </c>
      <c r="D2" s="27">
        <f>'Hoja 3'!D5</f>
        <v>0.04433497536945813</v>
      </c>
      <c r="E2" s="223">
        <f>'Hoja 3'!E5</f>
        <v>0.17258883248730963</v>
      </c>
      <c r="F2" s="9">
        <f>'Hoja 3'!F5</f>
        <v>7895.840985621406</v>
      </c>
      <c r="G2" s="23"/>
    </row>
    <row r="3" spans="1:7" ht="15">
      <c r="A3" s="7"/>
      <c r="B3" s="8"/>
      <c r="C3" s="8"/>
      <c r="D3" s="8"/>
      <c r="E3" s="8"/>
      <c r="F3" s="8"/>
      <c r="G3" s="23"/>
    </row>
    <row r="4" spans="1:7" ht="15">
      <c r="A4" s="224" t="s">
        <v>357</v>
      </c>
      <c r="B4" s="27"/>
      <c r="C4" s="9">
        <f>Hoja1!E106</f>
        <v>27.572192513368982</v>
      </c>
      <c r="D4" s="27"/>
      <c r="E4" s="27"/>
      <c r="F4" s="8"/>
      <c r="G4" s="23"/>
    </row>
    <row r="5" spans="1:7" ht="15">
      <c r="A5" s="7" t="s">
        <v>356</v>
      </c>
      <c r="B5" s="8"/>
      <c r="C5" s="8">
        <f>'Hoja 3'!C7</f>
        <v>637734.0056064687</v>
      </c>
      <c r="D5" s="8"/>
      <c r="E5" s="8"/>
      <c r="F5" s="8"/>
      <c r="G5" s="23"/>
    </row>
    <row r="6" spans="1:7" ht="15.75" thickBot="1">
      <c r="A6" s="24"/>
      <c r="B6" s="15"/>
      <c r="C6" s="15"/>
      <c r="D6" s="15"/>
      <c r="E6" s="15"/>
      <c r="F6" s="15"/>
      <c r="G6" s="25"/>
    </row>
    <row r="9" ht="15" customHeight="1"/>
    <row r="10" spans="2:9" ht="15.75" thickBot="1">
      <c r="B10" s="192" t="s">
        <v>123</v>
      </c>
      <c r="C10" s="184"/>
      <c r="D10" s="184"/>
      <c r="E10" s="184"/>
      <c r="F10" s="184"/>
      <c r="G10" s="184"/>
      <c r="H10" s="184"/>
      <c r="I10" s="184"/>
    </row>
    <row r="11" spans="1:9" ht="15.75" thickBot="1">
      <c r="A11" s="43" t="s">
        <v>124</v>
      </c>
      <c r="C11" s="39" t="s">
        <v>323</v>
      </c>
      <c r="D11" s="43" t="s">
        <v>126</v>
      </c>
      <c r="E11" s="44"/>
      <c r="F11" s="47" t="s">
        <v>127</v>
      </c>
      <c r="G11" s="48"/>
      <c r="H11" s="39" t="s">
        <v>128</v>
      </c>
      <c r="I11" s="44"/>
    </row>
    <row r="12" spans="1:10" ht="15">
      <c r="A12" s="7" t="s">
        <v>125</v>
      </c>
      <c r="B12" s="8">
        <f>'Hoja 3'!D47</f>
        <v>4775</v>
      </c>
      <c r="C12">
        <v>4</v>
      </c>
      <c r="D12" s="45">
        <v>0.2</v>
      </c>
      <c r="E12" s="29">
        <f>(B12-(B12*D12))/C12</f>
        <v>955</v>
      </c>
      <c r="F12" s="49">
        <v>0.05</v>
      </c>
      <c r="G12" s="50">
        <f>B12*F12</f>
        <v>238.75</v>
      </c>
      <c r="H12" s="27">
        <v>0.02</v>
      </c>
      <c r="I12" s="29">
        <f>B12*H12</f>
        <v>95.5</v>
      </c>
      <c r="J12" s="4"/>
    </row>
    <row r="13" spans="1:9" ht="15">
      <c r="A13" s="7" t="s">
        <v>306</v>
      </c>
      <c r="B13" s="9">
        <f>'Hoja 3'!I80</f>
        <v>7438</v>
      </c>
      <c r="C13">
        <v>10</v>
      </c>
      <c r="D13" s="45">
        <v>0.1</v>
      </c>
      <c r="E13" s="29">
        <f>(B13-(B13*D13))/C13</f>
        <v>669.42</v>
      </c>
      <c r="F13" s="49">
        <v>0.05</v>
      </c>
      <c r="G13" s="50">
        <f>B13*F13</f>
        <v>371.90000000000003</v>
      </c>
      <c r="H13" s="27">
        <v>0.02</v>
      </c>
      <c r="I13" s="29">
        <f>B13*H13</f>
        <v>148.76</v>
      </c>
    </row>
    <row r="14" spans="1:9" ht="15">
      <c r="A14" s="7" t="s">
        <v>167</v>
      </c>
      <c r="B14" s="9">
        <f>'Hoja 3'!D66</f>
        <v>1606.25</v>
      </c>
      <c r="C14">
        <v>10</v>
      </c>
      <c r="D14" s="45">
        <v>0.1</v>
      </c>
      <c r="E14" s="29">
        <f>(B14-(B14*D14))/C14</f>
        <v>144.5625</v>
      </c>
      <c r="F14" s="49">
        <v>0.05</v>
      </c>
      <c r="G14" s="50">
        <f>B14*F14</f>
        <v>80.3125</v>
      </c>
      <c r="H14" s="27">
        <v>0.02</v>
      </c>
      <c r="I14" s="29">
        <f>B14*H14</f>
        <v>32.125</v>
      </c>
    </row>
    <row r="15" spans="1:9" ht="15">
      <c r="A15" s="7" t="s">
        <v>298</v>
      </c>
      <c r="B15" s="8">
        <f>'Hoja 3'!K78</f>
        <v>18500</v>
      </c>
      <c r="C15">
        <v>7</v>
      </c>
      <c r="D15" s="45">
        <v>0.25</v>
      </c>
      <c r="E15" s="29">
        <f>(B15-(B15*D15))/C15</f>
        <v>1982.142857142857</v>
      </c>
      <c r="F15" s="49">
        <v>0.1</v>
      </c>
      <c r="G15" s="50">
        <f>B15*F15</f>
        <v>1850</v>
      </c>
      <c r="H15" s="27">
        <v>0.05</v>
      </c>
      <c r="I15" s="23">
        <f>B15*H15</f>
        <v>925</v>
      </c>
    </row>
    <row r="16" spans="1:9" ht="15.75" thickBot="1">
      <c r="A16" s="24" t="s">
        <v>156</v>
      </c>
      <c r="B16" s="17">
        <f>SUM(B12:B15)</f>
        <v>32319.25</v>
      </c>
      <c r="D16" s="46"/>
      <c r="E16" s="30">
        <f>SUM(E12:E15)</f>
        <v>3751.125357142857</v>
      </c>
      <c r="F16" s="51"/>
      <c r="G16" s="52">
        <f>SUM(G12:G15)</f>
        <v>2540.9625</v>
      </c>
      <c r="H16" s="15"/>
      <c r="I16" s="190">
        <f>I12+I13+I14+I15</f>
        <v>1201.385</v>
      </c>
    </row>
    <row r="20" spans="5:7" ht="15.75" thickBot="1">
      <c r="E20" s="3"/>
      <c r="F20" s="3"/>
      <c r="G20" s="3"/>
    </row>
    <row r="21" spans="1:8" ht="15">
      <c r="A21" s="201" t="s">
        <v>149</v>
      </c>
      <c r="B21" s="21"/>
      <c r="C21" s="182"/>
      <c r="D21" s="182"/>
      <c r="E21" s="182"/>
      <c r="F21" s="182"/>
      <c r="G21" s="182"/>
      <c r="H21" s="22"/>
    </row>
    <row r="22" spans="1:8" ht="15">
      <c r="A22" s="7" t="s">
        <v>124</v>
      </c>
      <c r="B22" s="8"/>
      <c r="C22" s="8"/>
      <c r="D22" s="8">
        <v>1</v>
      </c>
      <c r="E22" s="8">
        <v>2</v>
      </c>
      <c r="F22" s="8">
        <v>3</v>
      </c>
      <c r="G22" s="8">
        <v>4</v>
      </c>
      <c r="H22" s="23">
        <v>5</v>
      </c>
    </row>
    <row r="23" spans="1:12" ht="15">
      <c r="A23" s="7" t="s">
        <v>308</v>
      </c>
      <c r="B23" s="8">
        <v>1</v>
      </c>
      <c r="C23" s="9">
        <f>'Hoja 3'!J22</f>
        <v>930.8833333333333</v>
      </c>
      <c r="D23" s="9">
        <f>B23*C23*12</f>
        <v>11170.6</v>
      </c>
      <c r="E23" s="9">
        <f>B23*C23*12</f>
        <v>11170.6</v>
      </c>
      <c r="F23" s="9">
        <f>B23*C23*12</f>
        <v>11170.6</v>
      </c>
      <c r="G23" s="9">
        <f>B23*C23*12</f>
        <v>11170.6</v>
      </c>
      <c r="H23" s="29">
        <f>B23*C23*12</f>
        <v>11170.6</v>
      </c>
      <c r="K23" s="4"/>
      <c r="L23" s="4"/>
    </row>
    <row r="24" spans="1:12" ht="15">
      <c r="A24" s="7" t="s">
        <v>147</v>
      </c>
      <c r="B24" s="8">
        <v>1</v>
      </c>
      <c r="C24" s="9">
        <f>'Hoja 3'!J25</f>
        <v>598.425</v>
      </c>
      <c r="D24" s="8">
        <f>B24*C24*12</f>
        <v>7181.099999999999</v>
      </c>
      <c r="E24" s="8">
        <f>B24*C24*12</f>
        <v>7181.099999999999</v>
      </c>
      <c r="F24" s="9">
        <f>B24*C24*12</f>
        <v>7181.099999999999</v>
      </c>
      <c r="G24" s="9">
        <f>B24*C24*12</f>
        <v>7181.099999999999</v>
      </c>
      <c r="H24" s="29">
        <f>B24*C24*12</f>
        <v>7181.099999999999</v>
      </c>
      <c r="K24" s="4"/>
      <c r="L24" s="4"/>
    </row>
    <row r="25" spans="1:12" ht="15">
      <c r="A25" s="7" t="s">
        <v>331</v>
      </c>
      <c r="B25" s="8">
        <v>1</v>
      </c>
      <c r="C25" s="9">
        <f>'Hoja 3'!J23</f>
        <v>598.425</v>
      </c>
      <c r="D25" s="8">
        <f>B25*C25*12</f>
        <v>7181.099999999999</v>
      </c>
      <c r="E25" s="8">
        <f>B25*C25*12</f>
        <v>7181.099999999999</v>
      </c>
      <c r="F25" s="9">
        <f>B25*C25*12</f>
        <v>7181.099999999999</v>
      </c>
      <c r="G25" s="9">
        <f>B25*C25*12</f>
        <v>7181.099999999999</v>
      </c>
      <c r="H25" s="29">
        <f>B25*C25*12</f>
        <v>7181.099999999999</v>
      </c>
      <c r="K25" s="4"/>
      <c r="L25" s="4"/>
    </row>
    <row r="26" spans="1:12" ht="15">
      <c r="A26" s="7" t="s">
        <v>309</v>
      </c>
      <c r="B26" s="8">
        <v>1</v>
      </c>
      <c r="C26" s="9">
        <f>'Hoja 3'!J24</f>
        <v>531.9333333333333</v>
      </c>
      <c r="D26" s="8">
        <f>B26*C26*12</f>
        <v>6383.199999999999</v>
      </c>
      <c r="E26" s="8">
        <f>B26*C26*12</f>
        <v>6383.199999999999</v>
      </c>
      <c r="F26" s="9">
        <f>B26*C26*12</f>
        <v>6383.199999999999</v>
      </c>
      <c r="G26" s="9">
        <f>B26*C26*12</f>
        <v>6383.199999999999</v>
      </c>
      <c r="H26" s="29">
        <f>B26*C26*12</f>
        <v>6383.199999999999</v>
      </c>
      <c r="I26" s="42"/>
      <c r="J26" s="42"/>
      <c r="K26" s="37"/>
      <c r="L26" s="37"/>
    </row>
    <row r="27" spans="1:12" ht="15">
      <c r="A27" s="7" t="s">
        <v>148</v>
      </c>
      <c r="B27" s="8">
        <v>3</v>
      </c>
      <c r="C27" s="9">
        <f>'Hoja 3'!J28</f>
        <v>398.95</v>
      </c>
      <c r="D27" s="8">
        <f>B27*C27*12</f>
        <v>14362.199999999999</v>
      </c>
      <c r="E27" s="8">
        <f>B27*C27*12</f>
        <v>14362.199999999999</v>
      </c>
      <c r="F27" s="9">
        <f>B27*C27*12</f>
        <v>14362.199999999999</v>
      </c>
      <c r="G27" s="9">
        <f>B27*C27*12</f>
        <v>14362.199999999999</v>
      </c>
      <c r="H27" s="29">
        <f>B27*C27*12</f>
        <v>14362.199999999999</v>
      </c>
      <c r="I27" s="42"/>
      <c r="J27" s="42"/>
      <c r="K27" s="37"/>
      <c r="L27" s="37"/>
    </row>
    <row r="28" spans="1:12" ht="15">
      <c r="A28" s="7" t="s">
        <v>151</v>
      </c>
      <c r="B28" s="8"/>
      <c r="C28" s="8"/>
      <c r="D28" s="8">
        <f>SUM(D23:D27)</f>
        <v>46278.2</v>
      </c>
      <c r="E28" s="8">
        <f>SUM(E23:E27)</f>
        <v>46278.2</v>
      </c>
      <c r="F28" s="8">
        <f>SUM(F23:F27)</f>
        <v>46278.2</v>
      </c>
      <c r="G28" s="8">
        <f>SUM(G23:G27)</f>
        <v>46278.2</v>
      </c>
      <c r="H28" s="23">
        <f>SUM(H23:H27)</f>
        <v>46278.2</v>
      </c>
      <c r="I28" s="42"/>
      <c r="J28" s="42"/>
      <c r="K28" s="37"/>
      <c r="L28" s="37"/>
    </row>
    <row r="29" spans="1:12" ht="15">
      <c r="A29" s="202" t="s">
        <v>113</v>
      </c>
      <c r="B29" s="8"/>
      <c r="C29" s="8">
        <f>(B30*12)+B31</f>
        <v>590</v>
      </c>
      <c r="D29" s="8">
        <f>C29</f>
        <v>590</v>
      </c>
      <c r="E29" s="8">
        <f>D29</f>
        <v>590</v>
      </c>
      <c r="F29" s="9">
        <f>E29</f>
        <v>590</v>
      </c>
      <c r="G29" s="9">
        <f>F29</f>
        <v>590</v>
      </c>
      <c r="H29" s="29">
        <f>G29</f>
        <v>590</v>
      </c>
      <c r="K29" s="4"/>
      <c r="L29" s="4"/>
    </row>
    <row r="30" spans="1:12" ht="15">
      <c r="A30" s="7" t="s">
        <v>158</v>
      </c>
      <c r="B30" s="8">
        <v>45</v>
      </c>
      <c r="C30" s="8"/>
      <c r="D30" s="8"/>
      <c r="E30" s="8"/>
      <c r="F30" s="8"/>
      <c r="G30" s="8"/>
      <c r="H30" s="23"/>
      <c r="I30" s="42"/>
      <c r="J30" s="42"/>
      <c r="K30" s="42"/>
      <c r="L30" s="42"/>
    </row>
    <row r="31" spans="1:12" ht="15">
      <c r="A31" s="7" t="s">
        <v>159</v>
      </c>
      <c r="B31" s="8">
        <v>50</v>
      </c>
      <c r="C31" s="8"/>
      <c r="D31" s="8"/>
      <c r="E31" s="8"/>
      <c r="F31" s="8"/>
      <c r="G31" s="8"/>
      <c r="H31" s="23"/>
      <c r="I31" s="42"/>
      <c r="J31" s="42"/>
      <c r="K31" s="42"/>
      <c r="L31" s="42"/>
    </row>
    <row r="32" spans="1:12" ht="15">
      <c r="A32" s="202" t="s">
        <v>106</v>
      </c>
      <c r="B32" s="8">
        <v>1500</v>
      </c>
      <c r="C32" s="8"/>
      <c r="D32" s="8">
        <f>B32*12</f>
        <v>18000</v>
      </c>
      <c r="E32" s="203">
        <f>D32</f>
        <v>18000</v>
      </c>
      <c r="F32" s="8">
        <f>E32</f>
        <v>18000</v>
      </c>
      <c r="G32" s="8">
        <f>F32</f>
        <v>18000</v>
      </c>
      <c r="H32" s="23">
        <f>G32</f>
        <v>18000</v>
      </c>
      <c r="I32" s="42"/>
      <c r="J32" s="42"/>
      <c r="K32" s="42"/>
      <c r="L32" s="42"/>
    </row>
    <row r="33" spans="1:12" ht="15">
      <c r="A33" s="202" t="s">
        <v>150</v>
      </c>
      <c r="B33" s="8"/>
      <c r="C33" s="8"/>
      <c r="D33" s="8">
        <f>'Hoja 3'!C70</f>
        <v>40320</v>
      </c>
      <c r="E33" s="8">
        <f>D33</f>
        <v>40320</v>
      </c>
      <c r="F33" s="8">
        <f>E33</f>
        <v>40320</v>
      </c>
      <c r="G33" s="8">
        <f>F33</f>
        <v>40320</v>
      </c>
      <c r="H33" s="23">
        <f>G33</f>
        <v>40320</v>
      </c>
      <c r="I33" s="42"/>
      <c r="J33" s="42"/>
      <c r="K33" s="42"/>
      <c r="L33" s="42"/>
    </row>
    <row r="34" spans="1:8" ht="15">
      <c r="A34" s="7" t="s">
        <v>108</v>
      </c>
      <c r="B34" s="8">
        <v>750</v>
      </c>
      <c r="C34" s="8">
        <f>B34*12</f>
        <v>9000</v>
      </c>
      <c r="D34" s="8"/>
      <c r="E34" s="8"/>
      <c r="F34" s="8"/>
      <c r="G34" s="8"/>
      <c r="H34" s="23"/>
    </row>
    <row r="35" spans="1:12" ht="15">
      <c r="A35" s="7" t="s">
        <v>353</v>
      </c>
      <c r="B35" s="8">
        <v>2500</v>
      </c>
      <c r="C35" s="8">
        <f>B35*12</f>
        <v>30000</v>
      </c>
      <c r="D35" s="8"/>
      <c r="E35" s="27"/>
      <c r="F35" s="8"/>
      <c r="G35" s="8"/>
      <c r="H35" s="23"/>
      <c r="I35" s="37"/>
      <c r="J35" s="37"/>
      <c r="K35" s="37"/>
      <c r="L35" s="37"/>
    </row>
    <row r="36" spans="1:12" ht="15">
      <c r="A36" s="7" t="s">
        <v>354</v>
      </c>
      <c r="B36" s="8">
        <v>460</v>
      </c>
      <c r="C36" s="8">
        <f>B36*12</f>
        <v>5520</v>
      </c>
      <c r="D36" s="8"/>
      <c r="E36" s="8"/>
      <c r="F36" s="8"/>
      <c r="G36" s="8"/>
      <c r="H36" s="23"/>
      <c r="I36" s="37"/>
      <c r="J36" s="37"/>
      <c r="K36" s="37"/>
      <c r="L36" s="37"/>
    </row>
    <row r="37" spans="1:12" ht="15">
      <c r="A37" s="202" t="s">
        <v>332</v>
      </c>
      <c r="B37" s="8"/>
      <c r="C37" s="8"/>
      <c r="D37" s="9">
        <f>G16</f>
        <v>2540.9625</v>
      </c>
      <c r="E37" s="9">
        <f aca="true" t="shared" si="0" ref="E37:H38">D37</f>
        <v>2540.9625</v>
      </c>
      <c r="F37" s="9">
        <f t="shared" si="0"/>
        <v>2540.9625</v>
      </c>
      <c r="G37" s="9">
        <f t="shared" si="0"/>
        <v>2540.9625</v>
      </c>
      <c r="H37" s="29">
        <f t="shared" si="0"/>
        <v>2540.9625</v>
      </c>
      <c r="I37" s="42"/>
      <c r="J37" s="42"/>
      <c r="K37" s="42"/>
      <c r="L37" s="42"/>
    </row>
    <row r="38" spans="1:12" ht="15.75" thickBot="1">
      <c r="A38" s="202" t="s">
        <v>333</v>
      </c>
      <c r="B38" s="8"/>
      <c r="C38" s="8"/>
      <c r="D38" s="9">
        <f>I16*12</f>
        <v>14416.619999999999</v>
      </c>
      <c r="E38" s="9">
        <f t="shared" si="0"/>
        <v>14416.619999999999</v>
      </c>
      <c r="F38" s="9">
        <f t="shared" si="0"/>
        <v>14416.619999999999</v>
      </c>
      <c r="G38" s="9">
        <f t="shared" si="0"/>
        <v>14416.619999999999</v>
      </c>
      <c r="H38" s="29">
        <f t="shared" si="0"/>
        <v>14416.619999999999</v>
      </c>
      <c r="I38" s="42"/>
      <c r="J38" s="42"/>
      <c r="K38" s="42"/>
      <c r="L38" s="42"/>
    </row>
    <row r="39" spans="1:12" ht="15.75" thickBot="1">
      <c r="A39" s="200" t="s">
        <v>151</v>
      </c>
      <c r="B39" s="39"/>
      <c r="C39" s="39"/>
      <c r="D39" s="40">
        <f>D28+D29+D32+D33+D37+D38</f>
        <v>122145.78249999999</v>
      </c>
      <c r="E39" s="40">
        <f>E28+E29+E32+E33+E37+E38</f>
        <v>122145.78249999999</v>
      </c>
      <c r="F39" s="40">
        <f>F28+F29+F32+F33+F37+F38</f>
        <v>122145.78249999999</v>
      </c>
      <c r="G39" s="40">
        <f>G28+G29+G32+G33+G37+G38</f>
        <v>122145.78249999999</v>
      </c>
      <c r="H39" s="41">
        <f>H28+H29+H32+H33+H37+H38</f>
        <v>122145.78249999999</v>
      </c>
      <c r="I39" s="42"/>
      <c r="J39" s="42"/>
      <c r="K39" s="42"/>
      <c r="L39" s="42"/>
    </row>
    <row r="40" spans="1:12" ht="15">
      <c r="A40" s="204" t="s">
        <v>152</v>
      </c>
      <c r="B40" s="8"/>
      <c r="C40" s="8"/>
      <c r="D40" s="9"/>
      <c r="E40" s="27"/>
      <c r="F40" s="8"/>
      <c r="G40" s="8"/>
      <c r="H40" s="23"/>
      <c r="I40" s="37"/>
      <c r="J40" s="37"/>
      <c r="K40" s="37"/>
      <c r="L40" s="37"/>
    </row>
    <row r="41" spans="1:12" ht="15">
      <c r="A41" s="205" t="s">
        <v>307</v>
      </c>
      <c r="B41" s="8">
        <v>1</v>
      </c>
      <c r="C41" s="9">
        <f>'Hoja 3'!J26</f>
        <v>598.425</v>
      </c>
      <c r="D41" s="9">
        <f>B41*C41*12</f>
        <v>7181.099999999999</v>
      </c>
      <c r="E41" s="8">
        <f>B41*C41*12</f>
        <v>7181.099999999999</v>
      </c>
      <c r="F41" s="8">
        <f>B41*C41*12</f>
        <v>7181.099999999999</v>
      </c>
      <c r="G41" s="8">
        <f>B41*C41*12</f>
        <v>7181.099999999999</v>
      </c>
      <c r="H41" s="23">
        <f>B41*C41*12</f>
        <v>7181.099999999999</v>
      </c>
      <c r="I41" s="42"/>
      <c r="J41" s="37"/>
      <c r="K41" s="37"/>
      <c r="L41" s="37"/>
    </row>
    <row r="42" spans="1:12" ht="15">
      <c r="A42" s="205" t="s">
        <v>153</v>
      </c>
      <c r="B42" s="8">
        <v>1</v>
      </c>
      <c r="C42" s="9">
        <f>'Hoja 3'!J27</f>
        <v>598.425</v>
      </c>
      <c r="D42" s="9">
        <f>B42*C42*12</f>
        <v>7181.099999999999</v>
      </c>
      <c r="E42" s="8">
        <f>B42*C42*12</f>
        <v>7181.099999999999</v>
      </c>
      <c r="F42" s="8">
        <f>B42*C42*12</f>
        <v>7181.099999999999</v>
      </c>
      <c r="G42" s="8">
        <f>B42*C42*12</f>
        <v>7181.099999999999</v>
      </c>
      <c r="H42" s="23">
        <f>B42*C42*12</f>
        <v>7181.099999999999</v>
      </c>
      <c r="I42" s="8"/>
      <c r="J42" s="9"/>
      <c r="K42" s="9"/>
      <c r="L42" s="9"/>
    </row>
    <row r="43" spans="1:12" ht="15">
      <c r="A43" s="205" t="s">
        <v>312</v>
      </c>
      <c r="B43" s="8">
        <v>2</v>
      </c>
      <c r="C43" s="9">
        <f>'Hoja 3'!J28</f>
        <v>398.95</v>
      </c>
      <c r="D43" s="9">
        <f>B43*C43*12</f>
        <v>9574.8</v>
      </c>
      <c r="E43" s="8">
        <f>B43*C43*12</f>
        <v>9574.8</v>
      </c>
      <c r="F43" s="8">
        <f>B43*C43*12</f>
        <v>9574.8</v>
      </c>
      <c r="G43" s="8">
        <f>B43*C43*12</f>
        <v>9574.8</v>
      </c>
      <c r="H43" s="23">
        <f>B43*C43*12</f>
        <v>9574.8</v>
      </c>
      <c r="I43" s="9"/>
      <c r="J43" s="9"/>
      <c r="K43" s="9"/>
      <c r="L43" s="9"/>
    </row>
    <row r="44" spans="1:12" ht="15">
      <c r="A44" s="206" t="s">
        <v>311</v>
      </c>
      <c r="B44" s="11">
        <v>2</v>
      </c>
      <c r="C44" s="9">
        <f>'Hoja 3'!J29</f>
        <v>465.44166666666666</v>
      </c>
      <c r="D44" s="9">
        <f>B44*C44*12</f>
        <v>11170.6</v>
      </c>
      <c r="E44" s="8">
        <f>B44*C44*12</f>
        <v>11170.6</v>
      </c>
      <c r="F44" s="8">
        <f>B44*C44*12</f>
        <v>11170.6</v>
      </c>
      <c r="G44" s="8">
        <f>B44*C44*12</f>
        <v>11170.6</v>
      </c>
      <c r="H44" s="23">
        <f>B44*C44*12</f>
        <v>11170.6</v>
      </c>
      <c r="J44" s="4"/>
      <c r="K44" s="4"/>
      <c r="L44" s="4"/>
    </row>
    <row r="45" spans="1:12" ht="15">
      <c r="A45" s="206" t="s">
        <v>102</v>
      </c>
      <c r="B45" s="11">
        <v>2</v>
      </c>
      <c r="C45" s="9">
        <f>'Hoja 3'!J30</f>
        <v>319.15999999999997</v>
      </c>
      <c r="D45" s="9">
        <f>B45*C45*12</f>
        <v>7659.839999999999</v>
      </c>
      <c r="E45" s="8">
        <f>B45*C45*12</f>
        <v>7659.839999999999</v>
      </c>
      <c r="F45" s="8">
        <f>B45*C45*12</f>
        <v>7659.839999999999</v>
      </c>
      <c r="G45" s="8">
        <f>B45*C45*12</f>
        <v>7659.839999999999</v>
      </c>
      <c r="H45" s="23">
        <f>B45*C45*12</f>
        <v>7659.839999999999</v>
      </c>
      <c r="J45" s="4"/>
      <c r="K45" s="4"/>
      <c r="L45" s="4"/>
    </row>
    <row r="46" spans="1:12" ht="15">
      <c r="A46" s="206" t="s">
        <v>154</v>
      </c>
      <c r="B46" s="8"/>
      <c r="C46" s="8"/>
      <c r="D46" s="9">
        <f>SUM(D41:D45)</f>
        <v>42767.439999999995</v>
      </c>
      <c r="E46" s="8">
        <f>SUM(E41:E45)</f>
        <v>42767.439999999995</v>
      </c>
      <c r="F46" s="9">
        <f>SUM(F41:F45)</f>
        <v>42767.439999999995</v>
      </c>
      <c r="G46" s="9">
        <f>SUM(G41:G45)</f>
        <v>42767.439999999995</v>
      </c>
      <c r="H46" s="29">
        <f>SUM(H41:H45)</f>
        <v>42767.439999999995</v>
      </c>
      <c r="J46" s="4"/>
      <c r="K46" s="4"/>
      <c r="L46" s="4"/>
    </row>
    <row r="47" spans="1:12" ht="15">
      <c r="A47" s="206" t="s">
        <v>105</v>
      </c>
      <c r="B47" s="8"/>
      <c r="C47" s="8">
        <f>B48+B49</f>
        <v>50000</v>
      </c>
      <c r="D47" s="9">
        <f>C47</f>
        <v>50000</v>
      </c>
      <c r="E47" s="9">
        <f>D47</f>
        <v>50000</v>
      </c>
      <c r="F47" s="9">
        <f>E47</f>
        <v>50000</v>
      </c>
      <c r="G47" s="9">
        <f>F47</f>
        <v>50000</v>
      </c>
      <c r="H47" s="29">
        <f>G47</f>
        <v>50000</v>
      </c>
      <c r="J47" s="4"/>
      <c r="K47" s="4"/>
      <c r="L47" s="4"/>
    </row>
    <row r="48" spans="1:12" ht="15">
      <c r="A48" s="206" t="s">
        <v>155</v>
      </c>
      <c r="B48" s="8">
        <v>35000</v>
      </c>
      <c r="C48" s="8"/>
      <c r="D48" s="8"/>
      <c r="E48" s="8"/>
      <c r="F48" s="9"/>
      <c r="G48" s="9"/>
      <c r="H48" s="23"/>
      <c r="J48" s="4"/>
      <c r="K48" s="4"/>
      <c r="L48" s="4"/>
    </row>
    <row r="49" spans="1:12" ht="15.75" thickBot="1">
      <c r="A49" s="202" t="s">
        <v>110</v>
      </c>
      <c r="B49" s="8">
        <v>15000</v>
      </c>
      <c r="C49" s="8"/>
      <c r="D49" s="8"/>
      <c r="E49" s="8"/>
      <c r="F49" s="8"/>
      <c r="G49" s="8"/>
      <c r="H49" s="71"/>
      <c r="I49" s="42"/>
      <c r="J49" s="37"/>
      <c r="K49" s="37"/>
      <c r="L49" s="37"/>
    </row>
    <row r="50" spans="1:12" ht="15.75" thickBot="1">
      <c r="A50" s="200" t="s">
        <v>154</v>
      </c>
      <c r="B50" s="39"/>
      <c r="C50" s="39"/>
      <c r="D50" s="40">
        <f>D46+D47</f>
        <v>92767.44</v>
      </c>
      <c r="E50" s="40">
        <f>E46+E47</f>
        <v>92767.44</v>
      </c>
      <c r="F50" s="40">
        <f>F46+F47</f>
        <v>92767.44</v>
      </c>
      <c r="G50" s="40">
        <f>G46+G47</f>
        <v>92767.44</v>
      </c>
      <c r="H50" s="41">
        <f>H46+H47</f>
        <v>92767.44</v>
      </c>
      <c r="I50" s="42"/>
      <c r="J50" s="37"/>
      <c r="K50" s="37"/>
      <c r="L50" s="37"/>
    </row>
    <row r="51" spans="1:12" ht="15">
      <c r="A51" s="7"/>
      <c r="B51" s="8"/>
      <c r="C51" s="203"/>
      <c r="D51" s="8"/>
      <c r="E51" s="8"/>
      <c r="F51" s="8"/>
      <c r="G51" s="8"/>
      <c r="H51" s="71"/>
      <c r="I51" s="42"/>
      <c r="J51" s="37"/>
      <c r="K51" s="37"/>
      <c r="L51" s="37"/>
    </row>
    <row r="52" spans="1:12" ht="15">
      <c r="A52" s="7" t="s">
        <v>129</v>
      </c>
      <c r="B52" s="8"/>
      <c r="C52" s="203"/>
      <c r="D52" s="8">
        <f>C53+C54</f>
        <v>13410</v>
      </c>
      <c r="E52" s="8">
        <f>C53+C54</f>
        <v>13410</v>
      </c>
      <c r="F52" s="8">
        <f>C53+C54</f>
        <v>13410</v>
      </c>
      <c r="G52" s="8">
        <f>C54</f>
        <v>240</v>
      </c>
      <c r="H52" s="23">
        <f>C54</f>
        <v>240</v>
      </c>
      <c r="J52" s="4"/>
      <c r="K52" s="4"/>
      <c r="L52" s="4"/>
    </row>
    <row r="53" spans="1:8" ht="15">
      <c r="A53" s="7" t="s">
        <v>325</v>
      </c>
      <c r="B53" s="8">
        <f>'Hoja 3'!G48</f>
        <v>39510</v>
      </c>
      <c r="C53" s="203">
        <f>B53/3</f>
        <v>13170</v>
      </c>
      <c r="D53" s="8"/>
      <c r="E53" s="8"/>
      <c r="F53" s="8"/>
      <c r="G53" s="8"/>
      <c r="H53" s="23"/>
    </row>
    <row r="54" spans="1:12" ht="15.75" thickBot="1">
      <c r="A54" s="24" t="s">
        <v>130</v>
      </c>
      <c r="B54" s="17">
        <f>'Hoja 3'!N48</f>
        <v>1200</v>
      </c>
      <c r="C54" s="15">
        <f>B54/5</f>
        <v>240</v>
      </c>
      <c r="D54" s="15"/>
      <c r="E54" s="15"/>
      <c r="F54" s="15"/>
      <c r="G54" s="15"/>
      <c r="H54" s="25"/>
      <c r="I54" s="8"/>
      <c r="J54" s="9"/>
      <c r="K54" s="9"/>
      <c r="L54" s="9"/>
    </row>
    <row r="55" ht="15">
      <c r="A55" s="38"/>
    </row>
    <row r="56" ht="15">
      <c r="A56" s="38"/>
    </row>
    <row r="57" ht="15.75" thickBot="1"/>
    <row r="58" spans="10:12" ht="15.75" thickBot="1">
      <c r="J58" s="43" t="s">
        <v>342</v>
      </c>
      <c r="K58" s="39">
        <v>200</v>
      </c>
      <c r="L58" s="44">
        <f>K58*3*4*12</f>
        <v>28800</v>
      </c>
    </row>
    <row r="60" spans="1:11" ht="15">
      <c r="A60" s="38" t="s">
        <v>361</v>
      </c>
      <c r="B60">
        <v>16.67</v>
      </c>
      <c r="J60" t="s">
        <v>348</v>
      </c>
      <c r="K60">
        <v>16.67</v>
      </c>
    </row>
    <row r="61" ht="15">
      <c r="A61" s="38"/>
    </row>
    <row r="62" spans="1:5" ht="15">
      <c r="A62" t="s">
        <v>295</v>
      </c>
      <c r="B62" s="4">
        <f>'Hoja 3'!F5</f>
        <v>7895.840985621406</v>
      </c>
      <c r="D62" t="s">
        <v>296</v>
      </c>
      <c r="E62" s="4">
        <f>Hoja1!E106</f>
        <v>27.572192513368982</v>
      </c>
    </row>
    <row r="63" spans="1:2" ht="15">
      <c r="A63" t="s">
        <v>344</v>
      </c>
      <c r="B63">
        <f>B62*E62*4</f>
        <v>870822.59084201</v>
      </c>
    </row>
    <row r="64" spans="1:2" ht="15">
      <c r="A64" t="s">
        <v>347</v>
      </c>
      <c r="B64" s="4">
        <f>B63/12/22</f>
        <v>3298.5704198560984</v>
      </c>
    </row>
    <row r="65" spans="1:2" ht="15">
      <c r="A65" t="s">
        <v>346</v>
      </c>
      <c r="B65" s="4">
        <f>B64/8</f>
        <v>412.3213024820123</v>
      </c>
    </row>
    <row r="66" spans="1:2" ht="15">
      <c r="A66" t="s">
        <v>345</v>
      </c>
      <c r="B66" s="4">
        <f>B64/24</f>
        <v>137.44043416067078</v>
      </c>
    </row>
    <row r="67" spans="1:12" ht="15">
      <c r="A67" s="42" t="s">
        <v>352</v>
      </c>
      <c r="B67">
        <v>0.25</v>
      </c>
      <c r="H67" s="4"/>
      <c r="I67" s="4"/>
      <c r="J67" s="4"/>
      <c r="K67" s="4"/>
      <c r="L67" s="4"/>
    </row>
    <row r="68" spans="1:12" ht="15">
      <c r="A68" s="42"/>
      <c r="H68" s="4"/>
      <c r="I68" s="4"/>
      <c r="J68" s="4"/>
      <c r="K68" s="4"/>
      <c r="L68" s="4"/>
    </row>
    <row r="69" spans="1:12" ht="15">
      <c r="A69" s="42"/>
      <c r="H69" s="4"/>
      <c r="I69" s="4"/>
      <c r="J69" s="4"/>
      <c r="K69" s="4"/>
      <c r="L69" s="4"/>
    </row>
    <row r="70" spans="1:12" ht="15.75" thickBot="1">
      <c r="A70" s="42"/>
      <c r="H70" s="4"/>
      <c r="I70" s="4"/>
      <c r="J70" s="4"/>
      <c r="K70" s="4"/>
      <c r="L70" s="4"/>
    </row>
    <row r="71" spans="1:13" ht="15">
      <c r="A71" s="42"/>
      <c r="C71" s="183"/>
      <c r="D71" s="258" t="s">
        <v>122</v>
      </c>
      <c r="E71" s="259"/>
      <c r="F71" s="259"/>
      <c r="G71" s="259"/>
      <c r="H71" s="259"/>
      <c r="I71" s="173"/>
      <c r="J71" s="208"/>
      <c r="K71" s="208"/>
      <c r="L71" s="208"/>
      <c r="M71" s="22"/>
    </row>
    <row r="72" spans="3:17" ht="15.75" thickBot="1">
      <c r="C72" s="183"/>
      <c r="D72" s="256" t="s">
        <v>335</v>
      </c>
      <c r="E72" s="257"/>
      <c r="F72" s="257"/>
      <c r="G72" s="257"/>
      <c r="H72" s="257"/>
      <c r="I72" s="7"/>
      <c r="J72" s="8"/>
      <c r="K72" s="8"/>
      <c r="L72" s="8"/>
      <c r="M72" s="209"/>
      <c r="N72" s="183"/>
      <c r="O72" s="183"/>
      <c r="P72" s="183"/>
      <c r="Q72" s="183"/>
    </row>
    <row r="73" spans="3:17" ht="15">
      <c r="C73" s="8"/>
      <c r="D73" s="27"/>
      <c r="E73" s="27">
        <v>0.01</v>
      </c>
      <c r="F73" s="28">
        <v>0.015</v>
      </c>
      <c r="G73" s="28">
        <v>0.015</v>
      </c>
      <c r="H73" s="3">
        <v>0.02</v>
      </c>
      <c r="I73" s="7"/>
      <c r="J73" s="8"/>
      <c r="K73" s="8"/>
      <c r="L73" s="8"/>
      <c r="M73" s="23"/>
      <c r="N73" s="8"/>
      <c r="O73" s="8"/>
      <c r="P73" s="8"/>
      <c r="Q73" s="8"/>
    </row>
    <row r="74" spans="3:17" ht="15.75" thickBot="1">
      <c r="C74" s="8"/>
      <c r="D74" s="8">
        <v>1</v>
      </c>
      <c r="E74" s="8">
        <v>2</v>
      </c>
      <c r="F74" s="8">
        <v>3</v>
      </c>
      <c r="G74" s="8">
        <v>4</v>
      </c>
      <c r="H74" s="11">
        <v>5</v>
      </c>
      <c r="I74" s="10">
        <v>1</v>
      </c>
      <c r="J74" s="11">
        <v>2</v>
      </c>
      <c r="K74" s="11">
        <v>3</v>
      </c>
      <c r="L74" s="11">
        <v>4</v>
      </c>
      <c r="M74" s="31">
        <v>5</v>
      </c>
      <c r="N74" s="8"/>
      <c r="O74" s="8"/>
      <c r="P74" s="8"/>
      <c r="Q74" s="8"/>
    </row>
    <row r="75" spans="1:17" ht="15">
      <c r="A75" t="s">
        <v>124</v>
      </c>
      <c r="B75" t="s">
        <v>172</v>
      </c>
      <c r="C75" s="259" t="s">
        <v>170</v>
      </c>
      <c r="D75" s="259"/>
      <c r="E75" s="259"/>
      <c r="F75" s="259"/>
      <c r="G75" s="259"/>
      <c r="I75" s="7"/>
      <c r="J75" s="8"/>
      <c r="K75" s="8"/>
      <c r="L75" s="8"/>
      <c r="M75" s="23"/>
      <c r="N75" s="8"/>
      <c r="O75" s="8"/>
      <c r="P75" s="8"/>
      <c r="Q75" s="8"/>
    </row>
    <row r="76" spans="1:17" ht="15">
      <c r="A76" t="s">
        <v>334</v>
      </c>
      <c r="B76">
        <f>(B77+B78+B79)</f>
        <v>7.33</v>
      </c>
      <c r="C76" s="9">
        <f>B62*E62</f>
        <v>217705.6477105025</v>
      </c>
      <c r="D76" s="9">
        <f>C76</f>
        <v>217705.6477105025</v>
      </c>
      <c r="E76" s="9">
        <f>(D76*(1+E73))</f>
        <v>219882.70418760754</v>
      </c>
      <c r="F76" s="9">
        <f>(E76*(1+F73))</f>
        <v>223180.94475042162</v>
      </c>
      <c r="G76" s="9">
        <f>(F76*(1+G73))</f>
        <v>226528.65892167794</v>
      </c>
      <c r="H76" s="9">
        <f>(G76*(1+H73))</f>
        <v>231059.2321001115</v>
      </c>
      <c r="I76" s="177">
        <f>(B76*D76)</f>
        <v>1595782.3977179832</v>
      </c>
      <c r="J76" s="12">
        <f>B76*E76</f>
        <v>1611740.2216951633</v>
      </c>
      <c r="K76" s="8">
        <f>B76*F76</f>
        <v>1635916.3250205906</v>
      </c>
      <c r="L76" s="8">
        <f>B76*G76</f>
        <v>1660455.0698958994</v>
      </c>
      <c r="M76" s="29">
        <f>B76*H76</f>
        <v>1693664.1712938172</v>
      </c>
      <c r="N76" s="9"/>
      <c r="O76" s="9"/>
      <c r="P76" s="9"/>
      <c r="Q76" s="9"/>
    </row>
    <row r="77" spans="1:17" ht="15">
      <c r="A77" t="s">
        <v>169</v>
      </c>
      <c r="B77">
        <f>3.5*2</f>
        <v>7</v>
      </c>
      <c r="C77" s="8"/>
      <c r="D77" s="9"/>
      <c r="E77" s="9"/>
      <c r="F77" s="9"/>
      <c r="G77" s="9"/>
      <c r="I77" s="7"/>
      <c r="J77" s="8"/>
      <c r="K77" s="8"/>
      <c r="L77" s="8"/>
      <c r="M77" s="29"/>
      <c r="N77" s="9"/>
      <c r="O77" s="9"/>
      <c r="P77" s="9"/>
      <c r="Q77" s="9"/>
    </row>
    <row r="78" spans="1:17" ht="15">
      <c r="A78" t="s">
        <v>171</v>
      </c>
      <c r="B78">
        <v>0.18</v>
      </c>
      <c r="C78" s="207"/>
      <c r="D78" s="181"/>
      <c r="E78" s="181"/>
      <c r="F78" s="181"/>
      <c r="G78" s="181"/>
      <c r="I78" s="7"/>
      <c r="J78" s="8"/>
      <c r="K78" s="8"/>
      <c r="L78" s="8"/>
      <c r="M78" s="29"/>
      <c r="N78" s="9"/>
      <c r="O78" s="9"/>
      <c r="P78" s="9"/>
      <c r="Q78" s="9"/>
    </row>
    <row r="79" spans="1:17" ht="15">
      <c r="A79" t="s">
        <v>116</v>
      </c>
      <c r="B79">
        <v>0.15</v>
      </c>
      <c r="C79" s="8"/>
      <c r="D79" s="9"/>
      <c r="E79" s="9"/>
      <c r="F79" s="9"/>
      <c r="G79" s="9"/>
      <c r="I79" s="175"/>
      <c r="J79" s="8"/>
      <c r="K79" s="8"/>
      <c r="L79" s="8"/>
      <c r="M79" s="29"/>
      <c r="N79" s="9"/>
      <c r="O79" s="9"/>
      <c r="P79" s="9"/>
      <c r="Q79" s="9"/>
    </row>
    <row r="80" spans="1:13" ht="15">
      <c r="A80" t="s">
        <v>351</v>
      </c>
      <c r="B80" s="211">
        <f>B67</f>
        <v>0.25</v>
      </c>
      <c r="C80" s="9">
        <f>B80*B66</f>
        <v>34.360108540167694</v>
      </c>
      <c r="D80" s="8"/>
      <c r="E80" s="8"/>
      <c r="F80" s="8"/>
      <c r="G80" s="8"/>
      <c r="H80" s="8"/>
      <c r="I80" s="7"/>
      <c r="J80" s="8"/>
      <c r="K80" s="8"/>
      <c r="L80" s="8"/>
      <c r="M80" s="23"/>
    </row>
    <row r="81" spans="3:17" ht="15">
      <c r="C81" s="8" t="s">
        <v>168</v>
      </c>
      <c r="D81" s="8"/>
      <c r="E81" s="8"/>
      <c r="F81" s="8"/>
      <c r="G81" s="8"/>
      <c r="I81" s="7"/>
      <c r="J81" s="8"/>
      <c r="K81" s="8"/>
      <c r="L81" s="8"/>
      <c r="M81" s="23"/>
      <c r="N81" s="8"/>
      <c r="O81" s="8"/>
      <c r="P81" s="8"/>
      <c r="Q81" s="8"/>
    </row>
    <row r="82" spans="3:17" ht="15">
      <c r="C82" s="8"/>
      <c r="D82" s="8"/>
      <c r="E82" s="8"/>
      <c r="F82" s="8"/>
      <c r="G82" s="8"/>
      <c r="I82" s="7"/>
      <c r="J82" s="8"/>
      <c r="K82" s="8"/>
      <c r="L82" s="8"/>
      <c r="M82" s="23"/>
      <c r="N82" s="8"/>
      <c r="O82" s="8"/>
      <c r="P82" s="8"/>
      <c r="Q82" s="8"/>
    </row>
    <row r="83" spans="1:17" ht="15">
      <c r="A83" t="s">
        <v>349</v>
      </c>
      <c r="B83" s="26">
        <f>B76*(1+0.2)</f>
        <v>8.796</v>
      </c>
      <c r="C83" s="9">
        <f>B62*E62</f>
        <v>217705.6477105025</v>
      </c>
      <c r="D83" s="9">
        <f>C83</f>
        <v>217705.6477105025</v>
      </c>
      <c r="E83" s="9">
        <f>(D83*(1+E73))</f>
        <v>219882.70418760754</v>
      </c>
      <c r="F83" s="9">
        <f>(E83*(1+F73))</f>
        <v>223180.94475042162</v>
      </c>
      <c r="G83" s="9">
        <f>(F83*(1+G73))</f>
        <v>226528.65892167794</v>
      </c>
      <c r="H83" s="9">
        <f>(G83*(1+H73))</f>
        <v>231059.2321001115</v>
      </c>
      <c r="I83" s="177">
        <f>B83*D83</f>
        <v>1914938.8772615797</v>
      </c>
      <c r="J83" s="12">
        <f>B83*E83</f>
        <v>1934088.2660341957</v>
      </c>
      <c r="K83" s="12">
        <f>B83*F83</f>
        <v>1963099.5900247085</v>
      </c>
      <c r="L83" s="12">
        <f>B83*G83</f>
        <v>1992546.083875079</v>
      </c>
      <c r="M83" s="191">
        <f>B83*H83</f>
        <v>2032397.0055525806</v>
      </c>
      <c r="N83" s="9"/>
      <c r="O83" s="9"/>
      <c r="P83" s="9"/>
      <c r="Q83" s="9"/>
    </row>
    <row r="84" spans="3:17" ht="15.75" thickBot="1">
      <c r="C84" s="8"/>
      <c r="D84" s="9"/>
      <c r="E84" s="9"/>
      <c r="F84" s="9"/>
      <c r="G84" s="9"/>
      <c r="H84" s="9"/>
      <c r="I84" s="178"/>
      <c r="J84" s="16"/>
      <c r="K84" s="16"/>
      <c r="L84" s="16"/>
      <c r="M84" s="210"/>
      <c r="N84" s="9"/>
      <c r="O84" s="9"/>
      <c r="P84" s="9"/>
      <c r="Q84" s="9"/>
    </row>
    <row r="85" spans="3:17" ht="15">
      <c r="C85" s="8"/>
      <c r="D85" s="8"/>
      <c r="E85" s="8"/>
      <c r="F85" s="8"/>
      <c r="G85" s="8"/>
      <c r="H85" s="9"/>
      <c r="I85" s="12"/>
      <c r="J85" s="12"/>
      <c r="K85" s="12"/>
      <c r="L85" s="12"/>
      <c r="M85" s="12"/>
      <c r="N85" s="9"/>
      <c r="O85" s="9"/>
      <c r="P85" s="9"/>
      <c r="Q85" s="9"/>
    </row>
    <row r="86" spans="1:17" ht="15.75" thickBot="1">
      <c r="A86" s="11" t="s">
        <v>320</v>
      </c>
      <c r="B86">
        <v>1</v>
      </c>
      <c r="C86" s="9">
        <v>399</v>
      </c>
      <c r="D86" s="4">
        <f>B86*C86*12</f>
        <v>4788</v>
      </c>
      <c r="E86" s="4">
        <f>D86*(1+E73)</f>
        <v>4835.88</v>
      </c>
      <c r="F86" s="4">
        <f>E86*(1+F73)</f>
        <v>4908.4182</v>
      </c>
      <c r="G86" s="4">
        <f>F86*(1+G73)</f>
        <v>4982.044473</v>
      </c>
      <c r="H86" s="4">
        <f>G86*(1+H73)</f>
        <v>5081.68536246</v>
      </c>
      <c r="I86" s="12"/>
      <c r="J86" s="12"/>
      <c r="K86" s="12"/>
      <c r="L86" s="12"/>
      <c r="M86" s="12"/>
      <c r="N86" s="9"/>
      <c r="O86" s="9"/>
      <c r="P86" s="9"/>
      <c r="Q86" s="9"/>
    </row>
    <row r="87" spans="1:17" ht="15.75" thickBot="1">
      <c r="A87" s="11" t="s">
        <v>321</v>
      </c>
      <c r="B87">
        <v>1</v>
      </c>
      <c r="C87" s="9">
        <v>399</v>
      </c>
      <c r="D87">
        <f>B87*C87*12</f>
        <v>4788</v>
      </c>
      <c r="E87" s="4">
        <f>D87*(1+E73)</f>
        <v>4835.88</v>
      </c>
      <c r="F87" s="4">
        <f>E87*(1+F73)</f>
        <v>4908.4182</v>
      </c>
      <c r="G87" s="4">
        <f>F87*(1+G73)</f>
        <v>4982.044473</v>
      </c>
      <c r="H87" s="4">
        <f>G87*(1+H73)</f>
        <v>5081.68536246</v>
      </c>
      <c r="I87" s="12"/>
      <c r="J87" s="262" t="s">
        <v>372</v>
      </c>
      <c r="K87" s="263"/>
      <c r="L87" s="12"/>
      <c r="M87" s="12"/>
      <c r="N87" s="9"/>
      <c r="O87" s="9"/>
      <c r="P87" s="9"/>
      <c r="Q87" s="9"/>
    </row>
    <row r="88" spans="1:17" ht="15">
      <c r="A88" s="11" t="s">
        <v>319</v>
      </c>
      <c r="B88">
        <v>2</v>
      </c>
      <c r="C88" s="9">
        <f>'Hoja 3'!J35</f>
        <v>319.15999999999997</v>
      </c>
      <c r="D88" s="4">
        <f>B88*C88*12</f>
        <v>7659.839999999999</v>
      </c>
      <c r="E88" s="4">
        <f>D88*(1+E73)</f>
        <v>7736.438399999999</v>
      </c>
      <c r="F88" s="4">
        <f>E88*(1+F73)</f>
        <v>7852.484975999998</v>
      </c>
      <c r="G88" s="4">
        <f>F88*(1+G73)</f>
        <v>7970.272250639997</v>
      </c>
      <c r="H88" s="4">
        <f>G88*(1+H73)</f>
        <v>8129.6776956527965</v>
      </c>
      <c r="I88" s="12"/>
      <c r="J88" s="7" t="s">
        <v>339</v>
      </c>
      <c r="K88" s="228">
        <v>1595782</v>
      </c>
      <c r="L88" s="12"/>
      <c r="M88" s="12"/>
      <c r="N88" s="9"/>
      <c r="O88" s="9"/>
      <c r="P88" s="9"/>
      <c r="Q88" s="9"/>
    </row>
    <row r="89" spans="3:17" ht="15">
      <c r="C89" s="9"/>
      <c r="F89" s="8"/>
      <c r="I89" s="12"/>
      <c r="J89" s="7" t="s">
        <v>336</v>
      </c>
      <c r="K89" s="103">
        <v>4788</v>
      </c>
      <c r="P89" s="9"/>
      <c r="Q89" s="9"/>
    </row>
    <row r="90" spans="8:17" ht="15" customHeight="1">
      <c r="H90" s="9"/>
      <c r="I90" s="12"/>
      <c r="J90" s="7" t="s">
        <v>337</v>
      </c>
      <c r="K90" s="103">
        <v>4788</v>
      </c>
      <c r="P90" s="9"/>
      <c r="Q90" s="9"/>
    </row>
    <row r="91" spans="3:17" ht="15">
      <c r="C91" s="8"/>
      <c r="D91" s="9"/>
      <c r="E91" s="9"/>
      <c r="F91" s="9"/>
      <c r="G91" s="9"/>
      <c r="H91" s="9"/>
      <c r="I91" s="12"/>
      <c r="J91" s="7" t="s">
        <v>338</v>
      </c>
      <c r="K91" s="229">
        <v>7660</v>
      </c>
      <c r="P91" s="9"/>
      <c r="Q91" s="9"/>
    </row>
    <row r="92" spans="3:17" ht="15.75" thickBot="1">
      <c r="C92" s="8"/>
      <c r="D92" s="9"/>
      <c r="E92" s="9"/>
      <c r="F92" s="9"/>
      <c r="G92" s="9"/>
      <c r="H92" s="9"/>
      <c r="I92" s="12"/>
      <c r="J92" s="24" t="s">
        <v>343</v>
      </c>
      <c r="K92" s="230">
        <v>8002</v>
      </c>
      <c r="P92" s="9"/>
      <c r="Q92" s="9"/>
    </row>
    <row r="93" spans="1:17" ht="15">
      <c r="A93" s="261" t="s">
        <v>173</v>
      </c>
      <c r="B93" s="261"/>
      <c r="C93" s="261"/>
      <c r="D93" s="261"/>
      <c r="E93" s="261"/>
      <c r="F93" s="261"/>
      <c r="G93" s="8"/>
      <c r="H93" s="8"/>
      <c r="I93" s="225"/>
      <c r="P93" s="8"/>
      <c r="Q93" s="8"/>
    </row>
    <row r="94" spans="7:8" ht="15">
      <c r="G94" s="8"/>
      <c r="H94" s="8"/>
    </row>
    <row r="95" spans="7:8" ht="15.75" thickBot="1">
      <c r="G95" s="8"/>
      <c r="H95" s="8"/>
    </row>
    <row r="96" spans="1:9" ht="15.75" thickBot="1">
      <c r="A96" s="250"/>
      <c r="B96" s="21"/>
      <c r="C96" s="21"/>
      <c r="D96" s="21"/>
      <c r="E96" s="21"/>
      <c r="F96" s="22"/>
      <c r="I96" t="s">
        <v>297</v>
      </c>
    </row>
    <row r="97" spans="1:10" ht="15">
      <c r="A97" s="103"/>
      <c r="B97" s="8"/>
      <c r="C97" s="8"/>
      <c r="D97" s="8"/>
      <c r="E97" s="8"/>
      <c r="F97" s="23"/>
      <c r="I97" s="124" t="s">
        <v>219</v>
      </c>
      <c r="J97" s="125"/>
    </row>
    <row r="98" spans="1:10" ht="15.75" thickBot="1">
      <c r="A98" s="251" t="s">
        <v>124</v>
      </c>
      <c r="B98" s="248">
        <v>1</v>
      </c>
      <c r="C98" s="248">
        <v>2</v>
      </c>
      <c r="D98" s="248">
        <v>3</v>
      </c>
      <c r="E98" s="248">
        <v>4</v>
      </c>
      <c r="F98" s="249">
        <v>5</v>
      </c>
      <c r="I98" s="126" t="s">
        <v>139</v>
      </c>
      <c r="J98" s="127">
        <f>'Hoja 3'!N44</f>
        <v>4775</v>
      </c>
    </row>
    <row r="99" spans="1:10" ht="15">
      <c r="A99" s="103" t="s">
        <v>174</v>
      </c>
      <c r="B99" s="9">
        <f>I83</f>
        <v>1914938.8772615797</v>
      </c>
      <c r="C99" s="9">
        <f>J83</f>
        <v>1934088.2660341957</v>
      </c>
      <c r="D99" s="9">
        <f>K83</f>
        <v>1963099.5900247085</v>
      </c>
      <c r="E99" s="9">
        <f>L83</f>
        <v>1992546.083875079</v>
      </c>
      <c r="F99" s="29">
        <f>M83</f>
        <v>2032397.0055525806</v>
      </c>
      <c r="I99" s="126" t="s">
        <v>161</v>
      </c>
      <c r="J99" s="98">
        <f>'Hoja 3'!N46</f>
        <v>1606.25</v>
      </c>
    </row>
    <row r="100" spans="1:10" ht="15">
      <c r="A100" s="103" t="s">
        <v>341</v>
      </c>
      <c r="B100" s="181">
        <f>B101+B102+B103+B104+B105</f>
        <v>1621019.8377179834</v>
      </c>
      <c r="C100" s="181">
        <f>C101+C102+C103+C104+C105</f>
        <v>1637230.036095163</v>
      </c>
      <c r="D100" s="181">
        <f>D101+D102+D103+D104+D105</f>
        <v>1661788.4866365904</v>
      </c>
      <c r="E100" s="181">
        <f>E101+E102+E103+E104+E105</f>
        <v>1686715.3139361395</v>
      </c>
      <c r="F100" s="243">
        <f>F101+F102+F103+F104+F105</f>
        <v>1720449.620214862</v>
      </c>
      <c r="I100" s="126" t="s">
        <v>220</v>
      </c>
      <c r="J100" s="127">
        <f>'Hoja 3'!N47</f>
        <v>18500</v>
      </c>
    </row>
    <row r="101" spans="1:10" ht="15">
      <c r="A101" s="103" t="s">
        <v>339</v>
      </c>
      <c r="B101" s="9">
        <f>I76</f>
        <v>1595782.3977179832</v>
      </c>
      <c r="C101" s="9">
        <f>J76</f>
        <v>1611740.2216951633</v>
      </c>
      <c r="D101" s="9">
        <f>K76</f>
        <v>1635916.3250205906</v>
      </c>
      <c r="E101" s="9">
        <f>L76</f>
        <v>1660455.0698958994</v>
      </c>
      <c r="F101" s="29">
        <f>M76</f>
        <v>1693664.1712938172</v>
      </c>
      <c r="I101" s="126" t="s">
        <v>221</v>
      </c>
      <c r="J101" s="98">
        <f>J98+J99+J100</f>
        <v>24881.25</v>
      </c>
    </row>
    <row r="102" spans="1:10" ht="15">
      <c r="A102" s="103" t="s">
        <v>336</v>
      </c>
      <c r="B102" s="8">
        <f aca="true" t="shared" si="1" ref="B102:F104">D86</f>
        <v>4788</v>
      </c>
      <c r="C102" s="9">
        <f t="shared" si="1"/>
        <v>4835.88</v>
      </c>
      <c r="D102" s="9">
        <f t="shared" si="1"/>
        <v>4908.4182</v>
      </c>
      <c r="E102" s="9">
        <f t="shared" si="1"/>
        <v>4982.044473</v>
      </c>
      <c r="F102" s="29">
        <f t="shared" si="1"/>
        <v>5081.68536246</v>
      </c>
      <c r="I102" s="126" t="s">
        <v>222</v>
      </c>
      <c r="J102" s="98">
        <f>J101*5%</f>
        <v>1244.0625</v>
      </c>
    </row>
    <row r="103" spans="1:10" ht="15">
      <c r="A103" s="103" t="s">
        <v>337</v>
      </c>
      <c r="B103" s="8">
        <f t="shared" si="1"/>
        <v>4788</v>
      </c>
      <c r="C103" s="9">
        <f t="shared" si="1"/>
        <v>4835.88</v>
      </c>
      <c r="D103" s="9">
        <f t="shared" si="1"/>
        <v>4908.4182</v>
      </c>
      <c r="E103" s="9">
        <f t="shared" si="1"/>
        <v>4982.044473</v>
      </c>
      <c r="F103" s="29">
        <f t="shared" si="1"/>
        <v>5081.68536246</v>
      </c>
      <c r="I103" s="126" t="s">
        <v>156</v>
      </c>
      <c r="J103" s="128">
        <f>SUM(J101:J102)</f>
        <v>26125.3125</v>
      </c>
    </row>
    <row r="104" spans="1:10" ht="15">
      <c r="A104" s="103" t="s">
        <v>338</v>
      </c>
      <c r="B104" s="9">
        <f>D88</f>
        <v>7659.839999999999</v>
      </c>
      <c r="C104" s="9">
        <f>E88</f>
        <v>7736.438399999999</v>
      </c>
      <c r="D104" s="9">
        <f t="shared" si="1"/>
        <v>7852.484975999998</v>
      </c>
      <c r="E104" s="9">
        <f t="shared" si="1"/>
        <v>7970.272250639997</v>
      </c>
      <c r="F104" s="29">
        <f t="shared" si="1"/>
        <v>8129.6776956527965</v>
      </c>
      <c r="I104" s="129" t="s">
        <v>223</v>
      </c>
      <c r="J104" s="112"/>
    </row>
    <row r="105" spans="1:10" ht="15">
      <c r="A105" s="103" t="s">
        <v>343</v>
      </c>
      <c r="B105" s="9">
        <f>B60*40*12</f>
        <v>8001.6</v>
      </c>
      <c r="C105" s="9">
        <f>B105*(1+E73)</f>
        <v>8081.616</v>
      </c>
      <c r="D105" s="9">
        <f>C105*(1+F73)</f>
        <v>8202.84024</v>
      </c>
      <c r="E105" s="9">
        <f>D105*(1+G73)</f>
        <v>8325.882843599999</v>
      </c>
      <c r="F105" s="29">
        <f>E105*(1+H73)</f>
        <v>8492.400500471998</v>
      </c>
      <c r="I105" s="129"/>
      <c r="J105" s="112"/>
    </row>
    <row r="106" spans="1:10" ht="15">
      <c r="A106" s="103" t="s">
        <v>340</v>
      </c>
      <c r="B106" s="9">
        <f>B99-B100</f>
        <v>293919.03954359633</v>
      </c>
      <c r="C106" s="9">
        <f>C99-C100</f>
        <v>296858.2299390326</v>
      </c>
      <c r="D106" s="9">
        <f>D99-D100</f>
        <v>301311.1033881181</v>
      </c>
      <c r="E106" s="9">
        <f>E99-E100</f>
        <v>305830.7699389395</v>
      </c>
      <c r="F106" s="29">
        <f>F99-F100</f>
        <v>311947.38533771853</v>
      </c>
      <c r="I106" s="126" t="s">
        <v>224</v>
      </c>
      <c r="J106" s="98">
        <f>'Hoja 3'!N48</f>
        <v>1200</v>
      </c>
    </row>
    <row r="107" spans="1:10" ht="15">
      <c r="A107" s="252" t="s">
        <v>177</v>
      </c>
      <c r="B107" s="70"/>
      <c r="C107" s="70"/>
      <c r="D107" s="70"/>
      <c r="E107" s="70"/>
      <c r="F107" s="71"/>
      <c r="I107" s="126" t="s">
        <v>234</v>
      </c>
      <c r="J107" s="127">
        <f>'Hoja 3'!N43</f>
        <v>39510</v>
      </c>
    </row>
    <row r="108" spans="1:10" ht="15.75" thickBot="1">
      <c r="A108" s="253" t="s">
        <v>178</v>
      </c>
      <c r="B108" s="9">
        <f>D39</f>
        <v>122145.78249999999</v>
      </c>
      <c r="C108" s="9">
        <f>E39</f>
        <v>122145.78249999999</v>
      </c>
      <c r="D108" s="9">
        <f>F39</f>
        <v>122145.78249999999</v>
      </c>
      <c r="E108" s="9">
        <f>G39</f>
        <v>122145.78249999999</v>
      </c>
      <c r="F108" s="29">
        <f>H39</f>
        <v>122145.78249999999</v>
      </c>
      <c r="I108" s="126" t="s">
        <v>225</v>
      </c>
      <c r="J108" s="128">
        <f>SUM(J106:J107)</f>
        <v>40710</v>
      </c>
    </row>
    <row r="109" spans="1:10" ht="15.75" thickBot="1">
      <c r="A109" s="253" t="s">
        <v>179</v>
      </c>
      <c r="B109" s="9">
        <f>D50</f>
        <v>92767.44</v>
      </c>
      <c r="C109" s="9">
        <f>E50</f>
        <v>92767.44</v>
      </c>
      <c r="D109" s="9">
        <f>F50</f>
        <v>92767.44</v>
      </c>
      <c r="E109" s="9">
        <f>G50</f>
        <v>92767.44</v>
      </c>
      <c r="F109" s="29">
        <f>H50</f>
        <v>92767.44</v>
      </c>
      <c r="I109" s="129" t="s">
        <v>226</v>
      </c>
      <c r="J109" s="131">
        <f>J103+J108</f>
        <v>66835.3125</v>
      </c>
    </row>
    <row r="110" spans="1:12" ht="15">
      <c r="A110" s="253" t="s">
        <v>157</v>
      </c>
      <c r="B110" s="9">
        <f>E16</f>
        <v>3751.125357142857</v>
      </c>
      <c r="C110" s="9">
        <f>B110</f>
        <v>3751.125357142857</v>
      </c>
      <c r="D110" s="9">
        <f>C110</f>
        <v>3751.125357142857</v>
      </c>
      <c r="E110" s="9">
        <f>D110</f>
        <v>3751.125357142857</v>
      </c>
      <c r="F110" s="29">
        <f>E110</f>
        <v>3751.125357142857</v>
      </c>
      <c r="I110" s="129" t="s">
        <v>227</v>
      </c>
      <c r="J110" s="112"/>
      <c r="L110">
        <v>103709</v>
      </c>
    </row>
    <row r="111" spans="1:12" ht="15">
      <c r="A111" s="253" t="s">
        <v>180</v>
      </c>
      <c r="B111" s="9">
        <f>D52</f>
        <v>13410</v>
      </c>
      <c r="C111" s="9">
        <f>E52</f>
        <v>13410</v>
      </c>
      <c r="D111" s="9">
        <f>F52</f>
        <v>13410</v>
      </c>
      <c r="E111" s="9">
        <f>G52</f>
        <v>240</v>
      </c>
      <c r="F111" s="29">
        <f>H52</f>
        <v>240</v>
      </c>
      <c r="I111" s="126" t="s">
        <v>228</v>
      </c>
      <c r="J111" s="98">
        <f>-B133</f>
        <v>36873.83354979566</v>
      </c>
      <c r="L111">
        <f>L110*0.4</f>
        <v>41483.600000000006</v>
      </c>
    </row>
    <row r="112" spans="1:12" ht="15.75" thickBot="1">
      <c r="A112" s="252" t="s">
        <v>181</v>
      </c>
      <c r="B112" s="231">
        <f>SUM(B108:B111)</f>
        <v>232074.34785714283</v>
      </c>
      <c r="C112" s="231">
        <f>SUM(C108:C111)</f>
        <v>232074.34785714283</v>
      </c>
      <c r="D112" s="231">
        <f>SUM(D108:D111)</f>
        <v>232074.34785714283</v>
      </c>
      <c r="E112" s="231">
        <f>SUM(E108:E111)</f>
        <v>218904.34785714283</v>
      </c>
      <c r="F112" s="244">
        <f>SUM(F108:F111)</f>
        <v>218904.34785714283</v>
      </c>
      <c r="I112" s="129" t="s">
        <v>229</v>
      </c>
      <c r="J112" s="130">
        <f>J109+J111</f>
        <v>103709.14604979566</v>
      </c>
      <c r="L112">
        <f>L110*0.6</f>
        <v>62225.399999999994</v>
      </c>
    </row>
    <row r="113" spans="1:10" ht="15">
      <c r="A113" s="252" t="s">
        <v>182</v>
      </c>
      <c r="B113" s="13">
        <f>B106-B112</f>
        <v>61844.6916864535</v>
      </c>
      <c r="C113" s="13">
        <f>C106-C112</f>
        <v>64783.88208188975</v>
      </c>
      <c r="D113" s="13">
        <f>D106-D112</f>
        <v>69236.75553097526</v>
      </c>
      <c r="E113" s="13">
        <f>E106-E112</f>
        <v>86926.42208179666</v>
      </c>
      <c r="F113" s="245">
        <f>F106-F112</f>
        <v>93043.0374805757</v>
      </c>
      <c r="I113" s="129" t="s">
        <v>230</v>
      </c>
      <c r="J113" s="112"/>
    </row>
    <row r="114" spans="1:10" ht="15">
      <c r="A114" s="253" t="s">
        <v>183</v>
      </c>
      <c r="B114" s="232">
        <f>B113*0.15</f>
        <v>9276.703752968026</v>
      </c>
      <c r="C114" s="232">
        <f>C113*0.15</f>
        <v>9717.582312283463</v>
      </c>
      <c r="D114" s="232">
        <f>D113*0.15</f>
        <v>10385.51332964629</v>
      </c>
      <c r="E114" s="232">
        <f>E113*0.15</f>
        <v>13038.963312269498</v>
      </c>
      <c r="F114" s="50">
        <f>F113*0.15</f>
        <v>13956.455622086354</v>
      </c>
      <c r="I114" s="129" t="s">
        <v>231</v>
      </c>
      <c r="J114" s="98">
        <f>J112*0.6</f>
        <v>62225.48762987739</v>
      </c>
    </row>
    <row r="115" spans="1:10" ht="15">
      <c r="A115" s="252" t="s">
        <v>184</v>
      </c>
      <c r="B115" s="13">
        <f>B113-B114</f>
        <v>52567.98793348548</v>
      </c>
      <c r="C115" s="13">
        <f>C113-C114</f>
        <v>55066.29976960629</v>
      </c>
      <c r="D115" s="13">
        <f>D113-D114</f>
        <v>58851.242201328976</v>
      </c>
      <c r="E115" s="13">
        <f>E113-E114</f>
        <v>73887.45876952716</v>
      </c>
      <c r="F115" s="245">
        <f>F113-F114</f>
        <v>79086.58185848934</v>
      </c>
      <c r="I115" s="129" t="s">
        <v>232</v>
      </c>
      <c r="J115" s="98">
        <f>J112*0.4</f>
        <v>41483.65841991827</v>
      </c>
    </row>
    <row r="116" spans="1:10" ht="15.75" thickBot="1">
      <c r="A116" s="253" t="s">
        <v>185</v>
      </c>
      <c r="B116" s="9">
        <f>B115*25%</f>
        <v>13141.99698337137</v>
      </c>
      <c r="C116" s="9">
        <f>C115*25%</f>
        <v>13766.574942401572</v>
      </c>
      <c r="D116" s="9">
        <f>D115*25%</f>
        <v>14712.810550332244</v>
      </c>
      <c r="E116" s="9">
        <f>E115*25%</f>
        <v>18471.86469238179</v>
      </c>
      <c r="F116" s="29">
        <f>F115*25%</f>
        <v>19771.645464622336</v>
      </c>
      <c r="I116" s="132" t="s">
        <v>233</v>
      </c>
      <c r="J116" s="130">
        <f>J114+J115</f>
        <v>103709.14604979566</v>
      </c>
    </row>
    <row r="117" spans="1:6" ht="15.75" thickBot="1">
      <c r="A117" s="251" t="s">
        <v>186</v>
      </c>
      <c r="B117" s="246">
        <f>B115-B116</f>
        <v>39425.99095011411</v>
      </c>
      <c r="C117" s="246">
        <f>C115-C116</f>
        <v>41299.724827204715</v>
      </c>
      <c r="D117" s="246">
        <f>D115-D116</f>
        <v>44138.43165099673</v>
      </c>
      <c r="E117" s="246">
        <f>E115-E116</f>
        <v>55415.594077145375</v>
      </c>
      <c r="F117" s="247">
        <f>F115-F116</f>
        <v>59314.93639386701</v>
      </c>
    </row>
    <row r="123" spans="1:14" ht="15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</row>
    <row r="124" spans="6:9" ht="15">
      <c r="F124" s="42"/>
      <c r="G124" s="42"/>
      <c r="H124" s="42"/>
      <c r="I124" s="42"/>
    </row>
    <row r="125" spans="1:14" ht="15">
      <c r="A125" t="s">
        <v>168</v>
      </c>
      <c r="C125" s="4">
        <f>B99</f>
        <v>1914938.8772615797</v>
      </c>
      <c r="D125" s="19"/>
      <c r="F125" s="42" t="s">
        <v>187</v>
      </c>
      <c r="G125" s="42"/>
      <c r="H125" s="42"/>
      <c r="J125" s="19"/>
      <c r="K125" s="19"/>
      <c r="L125" s="19"/>
      <c r="M125" s="19"/>
      <c r="N125" s="75"/>
    </row>
    <row r="126" spans="1:14" ht="15">
      <c r="A126" t="s">
        <v>188</v>
      </c>
      <c r="C126" s="4">
        <f>B100</f>
        <v>1621019.8377179834</v>
      </c>
      <c r="D126" s="19"/>
      <c r="E126" s="42" t="s">
        <v>189</v>
      </c>
      <c r="F126" s="42"/>
      <c r="G126" s="42"/>
      <c r="H126" s="42"/>
      <c r="J126" s="19"/>
      <c r="K126" s="19"/>
      <c r="L126" s="19"/>
      <c r="M126" s="19"/>
      <c r="N126" s="75"/>
    </row>
    <row r="127" spans="1:14" ht="15">
      <c r="A127" t="s">
        <v>190</v>
      </c>
      <c r="B127" s="76">
        <v>0.07</v>
      </c>
      <c r="C127" s="3">
        <v>0.05</v>
      </c>
      <c r="D127" s="3">
        <v>0.06</v>
      </c>
      <c r="E127" s="3">
        <v>0.09</v>
      </c>
      <c r="F127" s="76">
        <v>0.1</v>
      </c>
      <c r="G127" s="3">
        <v>0.06</v>
      </c>
      <c r="H127" s="3">
        <v>0.11</v>
      </c>
      <c r="I127" s="3">
        <v>0.09</v>
      </c>
      <c r="J127" s="3">
        <v>0.1</v>
      </c>
      <c r="K127" s="3">
        <v>0.07</v>
      </c>
      <c r="L127" s="76">
        <v>0.1</v>
      </c>
      <c r="M127" s="3">
        <v>0.1</v>
      </c>
      <c r="N127" s="3">
        <f>SUM(B127:M127)</f>
        <v>1</v>
      </c>
    </row>
    <row r="128" spans="1:14" ht="15.75" thickBot="1">
      <c r="A128" t="s">
        <v>168</v>
      </c>
      <c r="B128" s="3">
        <v>0.04</v>
      </c>
      <c r="C128" s="3">
        <v>0.1</v>
      </c>
      <c r="D128" s="3">
        <v>0.05</v>
      </c>
      <c r="E128" s="3">
        <v>0.07</v>
      </c>
      <c r="F128" s="3">
        <v>0.12</v>
      </c>
      <c r="G128" s="3">
        <v>0.05</v>
      </c>
      <c r="H128" s="3">
        <v>0.12</v>
      </c>
      <c r="I128" s="3">
        <v>0.05</v>
      </c>
      <c r="J128" s="3">
        <v>0.06</v>
      </c>
      <c r="K128" s="3">
        <v>0.1</v>
      </c>
      <c r="L128" s="3">
        <v>0.12</v>
      </c>
      <c r="M128" s="3">
        <v>0.12</v>
      </c>
      <c r="N128" s="3">
        <f>SUM(B128:M128)</f>
        <v>1</v>
      </c>
    </row>
    <row r="129" spans="1:13" ht="15">
      <c r="A129" s="77" t="s">
        <v>191</v>
      </c>
      <c r="B129" s="78" t="s">
        <v>192</v>
      </c>
      <c r="C129" s="66" t="s">
        <v>193</v>
      </c>
      <c r="D129" s="78" t="s">
        <v>194</v>
      </c>
      <c r="E129" s="78" t="s">
        <v>195</v>
      </c>
      <c r="F129" s="66" t="s">
        <v>196</v>
      </c>
      <c r="G129" s="78" t="s">
        <v>197</v>
      </c>
      <c r="H129" s="66" t="s">
        <v>198</v>
      </c>
      <c r="I129" s="78" t="s">
        <v>199</v>
      </c>
      <c r="J129" s="78" t="s">
        <v>200</v>
      </c>
      <c r="K129" s="66" t="s">
        <v>201</v>
      </c>
      <c r="L129" s="66" t="s">
        <v>202</v>
      </c>
      <c r="M129" s="65" t="s">
        <v>203</v>
      </c>
    </row>
    <row r="130" spans="1:14" ht="15">
      <c r="A130" s="79" t="s">
        <v>168</v>
      </c>
      <c r="B130" s="68">
        <f>C125*B128</f>
        <v>76597.5550904632</v>
      </c>
      <c r="C130" s="68">
        <f>C125*C128</f>
        <v>191493.887726158</v>
      </c>
      <c r="D130" s="68">
        <f>C125*D128</f>
        <v>95746.943863079</v>
      </c>
      <c r="E130" s="68">
        <f>C125*E128</f>
        <v>134045.7214083106</v>
      </c>
      <c r="F130" s="68">
        <f>C125*F128</f>
        <v>229792.66527138956</v>
      </c>
      <c r="G130" s="68">
        <f>C125*G128</f>
        <v>95746.943863079</v>
      </c>
      <c r="H130" s="68">
        <f>C125*H128</f>
        <v>229792.66527138956</v>
      </c>
      <c r="I130" s="68">
        <f>C125*I128</f>
        <v>95746.943863079</v>
      </c>
      <c r="J130" s="68">
        <f>C125*J128</f>
        <v>114896.33263569478</v>
      </c>
      <c r="K130" s="68">
        <f>C125*K128</f>
        <v>191493.887726158</v>
      </c>
      <c r="L130" s="68">
        <f>C125*L128</f>
        <v>229792.66527138956</v>
      </c>
      <c r="M130" s="69">
        <f>C125*M128</f>
        <v>229792.66527138956</v>
      </c>
      <c r="N130" s="4">
        <f>SUM(B130:M130)</f>
        <v>1914938.8772615797</v>
      </c>
    </row>
    <row r="131" spans="1:14" ht="15">
      <c r="A131" s="79" t="s">
        <v>190</v>
      </c>
      <c r="B131" s="68">
        <f>C126*B127</f>
        <v>113471.38864025885</v>
      </c>
      <c r="C131" s="68">
        <f>C126*C127</f>
        <v>81050.99188589917</v>
      </c>
      <c r="D131" s="68">
        <f>C126*D127</f>
        <v>97261.190263079</v>
      </c>
      <c r="E131" s="68">
        <f>C126*E127</f>
        <v>145891.7853946185</v>
      </c>
      <c r="F131" s="68">
        <f>C126*F127</f>
        <v>162101.98377179835</v>
      </c>
      <c r="G131" s="68">
        <f>C126*G127</f>
        <v>97261.190263079</v>
      </c>
      <c r="H131" s="68">
        <f>C126*H127</f>
        <v>178312.18214897817</v>
      </c>
      <c r="I131" s="68">
        <f>C126*I127</f>
        <v>145891.7853946185</v>
      </c>
      <c r="J131" s="68">
        <f>C126*J127</f>
        <v>162101.98377179835</v>
      </c>
      <c r="K131" s="68">
        <f>C126*K127</f>
        <v>113471.38864025885</v>
      </c>
      <c r="L131" s="68">
        <f>C126*L127</f>
        <v>162101.98377179835</v>
      </c>
      <c r="M131" s="69">
        <f>C126*M127</f>
        <v>162101.98377179835</v>
      </c>
      <c r="N131" s="80">
        <f>SUM(B131:M131)</f>
        <v>1621019.8377179839</v>
      </c>
    </row>
    <row r="132" spans="1:14" ht="15">
      <c r="A132" s="79" t="s">
        <v>204</v>
      </c>
      <c r="B132" s="81">
        <f>B130-B131</f>
        <v>-36873.83354979566</v>
      </c>
      <c r="C132" s="81">
        <f aca="true" t="shared" si="2" ref="C132:M132">C130-C131</f>
        <v>110442.89584025882</v>
      </c>
      <c r="D132" s="81">
        <f t="shared" si="2"/>
        <v>-1514.2464000000036</v>
      </c>
      <c r="E132" s="81">
        <f t="shared" si="2"/>
        <v>-11846.063986307883</v>
      </c>
      <c r="F132" s="81">
        <f t="shared" si="2"/>
        <v>67690.68149959121</v>
      </c>
      <c r="G132" s="81">
        <f t="shared" si="2"/>
        <v>-1514.2464000000036</v>
      </c>
      <c r="H132" s="81">
        <f t="shared" si="2"/>
        <v>51480.48312241139</v>
      </c>
      <c r="I132" s="81">
        <f t="shared" si="2"/>
        <v>-50144.841531539496</v>
      </c>
      <c r="J132" s="81">
        <f t="shared" si="2"/>
        <v>-47205.65113610357</v>
      </c>
      <c r="K132" s="81">
        <f t="shared" si="2"/>
        <v>78022.49908589914</v>
      </c>
      <c r="L132" s="81">
        <f t="shared" si="2"/>
        <v>67690.68149959121</v>
      </c>
      <c r="M132" s="82">
        <f t="shared" si="2"/>
        <v>67690.68149959121</v>
      </c>
      <c r="N132" s="4">
        <f>SUM(B132:M132)</f>
        <v>293919.0395435964</v>
      </c>
    </row>
    <row r="133" spans="1:13" ht="15.75" thickBot="1">
      <c r="A133" s="83" t="s">
        <v>205</v>
      </c>
      <c r="B133" s="74">
        <f>B132</f>
        <v>-36873.83354979566</v>
      </c>
      <c r="C133" s="84">
        <f>B133+C132</f>
        <v>73569.06229046316</v>
      </c>
      <c r="D133" s="85">
        <f>C133+D132</f>
        <v>72054.81589046316</v>
      </c>
      <c r="E133" s="86">
        <f aca="true" t="shared" si="3" ref="E133:M133">D133+E132</f>
        <v>60208.75190415527</v>
      </c>
      <c r="F133" s="84">
        <f t="shared" si="3"/>
        <v>127899.43340374649</v>
      </c>
      <c r="G133" s="84">
        <f t="shared" si="3"/>
        <v>126385.18700374648</v>
      </c>
      <c r="H133" s="84">
        <f t="shared" si="3"/>
        <v>177865.67012615787</v>
      </c>
      <c r="I133" s="84">
        <f t="shared" si="3"/>
        <v>127720.82859461838</v>
      </c>
      <c r="J133" s="84">
        <f t="shared" si="3"/>
        <v>80515.17745851481</v>
      </c>
      <c r="K133" s="84">
        <f t="shared" si="3"/>
        <v>158537.67654441396</v>
      </c>
      <c r="L133" s="84">
        <f t="shared" si="3"/>
        <v>226228.35804400517</v>
      </c>
      <c r="M133" s="87">
        <f t="shared" si="3"/>
        <v>293919.0395435964</v>
      </c>
    </row>
    <row r="134" ht="15.75" thickBot="1"/>
    <row r="135" spans="1:10" ht="15.75" thickBot="1">
      <c r="A135" s="266" t="s">
        <v>235</v>
      </c>
      <c r="B135" s="269"/>
      <c r="C135" s="269"/>
      <c r="D135" s="269"/>
      <c r="E135" s="269"/>
      <c r="F135" s="269"/>
      <c r="G135" s="270"/>
      <c r="J135" t="s">
        <v>273</v>
      </c>
    </row>
    <row r="136" spans="1:11" ht="15.75" thickBot="1">
      <c r="A136" s="88" t="s">
        <v>124</v>
      </c>
      <c r="B136" s="133">
        <v>0</v>
      </c>
      <c r="C136" s="88">
        <v>1</v>
      </c>
      <c r="D136" s="88">
        <v>2</v>
      </c>
      <c r="E136" s="88">
        <v>3</v>
      </c>
      <c r="F136" s="88">
        <v>4</v>
      </c>
      <c r="G136" s="88">
        <v>5</v>
      </c>
      <c r="J136" s="167" t="s">
        <v>238</v>
      </c>
      <c r="K136" s="4">
        <f>J115</f>
        <v>41483.65841991827</v>
      </c>
    </row>
    <row r="137" spans="1:11" ht="15">
      <c r="A137" s="134" t="s">
        <v>207</v>
      </c>
      <c r="B137" s="135" t="s">
        <v>208</v>
      </c>
      <c r="C137" s="136">
        <f>B99</f>
        <v>1914938.8772615797</v>
      </c>
      <c r="D137" s="136">
        <f>C99</f>
        <v>1934088.2660341957</v>
      </c>
      <c r="E137" s="136">
        <f>D99</f>
        <v>1963099.5900247085</v>
      </c>
      <c r="F137" s="136">
        <f>E99</f>
        <v>1992546.083875079</v>
      </c>
      <c r="G137" s="136">
        <f>F99</f>
        <v>2032397.0055525806</v>
      </c>
      <c r="J137" s="167" t="s">
        <v>274</v>
      </c>
      <c r="K137" s="168">
        <v>0.0933</v>
      </c>
    </row>
    <row r="138" spans="1:7" ht="15">
      <c r="A138" s="110" t="s">
        <v>175</v>
      </c>
      <c r="B138" s="137" t="s">
        <v>208</v>
      </c>
      <c r="C138" s="98">
        <f>-B100</f>
        <v>-1621019.8377179834</v>
      </c>
      <c r="D138" s="98">
        <f>-C100</f>
        <v>-1637230.036095163</v>
      </c>
      <c r="E138" s="98">
        <f>-D100</f>
        <v>-1661788.4866365904</v>
      </c>
      <c r="F138" s="98">
        <f>-E100</f>
        <v>-1686715.3139361395</v>
      </c>
      <c r="G138" s="98">
        <f>-F100</f>
        <v>-1720449.620214862</v>
      </c>
    </row>
    <row r="139" spans="1:11" ht="15">
      <c r="A139" s="110" t="s">
        <v>209</v>
      </c>
      <c r="B139" s="137" t="s">
        <v>208</v>
      </c>
      <c r="C139" s="98">
        <f aca="true" t="shared" si="4" ref="C139:G140">-C167</f>
        <v>-122145.78249999999</v>
      </c>
      <c r="D139" s="98">
        <f t="shared" si="4"/>
        <v>-122145.78249999999</v>
      </c>
      <c r="E139" s="98">
        <f t="shared" si="4"/>
        <v>-122145.78249999999</v>
      </c>
      <c r="F139" s="98">
        <f t="shared" si="4"/>
        <v>-122145.78249999999</v>
      </c>
      <c r="G139" s="98">
        <f t="shared" si="4"/>
        <v>-122145.78249999999</v>
      </c>
      <c r="J139" t="s">
        <v>259</v>
      </c>
      <c r="K139" s="4">
        <f>K142*((K137/(1-(1+K137)^-5)))</f>
        <v>10756.610753748091</v>
      </c>
    </row>
    <row r="140" spans="1:7" ht="15">
      <c r="A140" s="110" t="s">
        <v>152</v>
      </c>
      <c r="B140" s="137" t="s">
        <v>208</v>
      </c>
      <c r="C140" s="98">
        <f t="shared" si="4"/>
        <v>-92767.44</v>
      </c>
      <c r="D140" s="98">
        <f t="shared" si="4"/>
        <v>-92767.44</v>
      </c>
      <c r="E140" s="98">
        <f t="shared" si="4"/>
        <v>-92767.44</v>
      </c>
      <c r="F140" s="98">
        <f t="shared" si="4"/>
        <v>-92767.44</v>
      </c>
      <c r="G140" s="98">
        <f t="shared" si="4"/>
        <v>-92767.44</v>
      </c>
    </row>
    <row r="141" spans="1:7" ht="15">
      <c r="A141" s="110" t="s">
        <v>236</v>
      </c>
      <c r="B141" s="138" t="s">
        <v>208</v>
      </c>
      <c r="C141" s="101">
        <f>-L153</f>
        <v>-3870.425330578374</v>
      </c>
      <c r="D141" s="101">
        <f>-L154</f>
        <v>-3227.94423059664</v>
      </c>
      <c r="E141" s="101">
        <f>-L155</f>
        <v>-2525.51964398661</v>
      </c>
      <c r="F141" s="101">
        <f>-L156</f>
        <v>-1757.5588434458637</v>
      </c>
      <c r="G141" s="101">
        <f>-L157</f>
        <v>-917.9473002146659</v>
      </c>
    </row>
    <row r="142" spans="1:13" ht="15">
      <c r="A142" s="110" t="s">
        <v>157</v>
      </c>
      <c r="B142" s="137" t="s">
        <v>208</v>
      </c>
      <c r="C142" s="98">
        <f>-B110</f>
        <v>-3751.125357142857</v>
      </c>
      <c r="D142" s="98">
        <f>-C110</f>
        <v>-3751.125357142857</v>
      </c>
      <c r="E142" s="98">
        <f>-D110</f>
        <v>-3751.125357142857</v>
      </c>
      <c r="F142" s="98">
        <f>-E110</f>
        <v>-3751.125357142857</v>
      </c>
      <c r="G142" s="98">
        <f>-F110</f>
        <v>-3751.125357142857</v>
      </c>
      <c r="J142" t="s">
        <v>260</v>
      </c>
      <c r="K142" s="4">
        <f>J115</f>
        <v>41483.65841991827</v>
      </c>
      <c r="L142" t="s">
        <v>261</v>
      </c>
      <c r="M142" s="155">
        <v>0.0925</v>
      </c>
    </row>
    <row r="143" spans="1:13" ht="15.75" thickBot="1">
      <c r="A143" s="110" t="s">
        <v>210</v>
      </c>
      <c r="B143" s="137" t="s">
        <v>208</v>
      </c>
      <c r="C143" s="98">
        <f>-C179</f>
        <v>-13410</v>
      </c>
      <c r="D143" s="98">
        <f>-D179</f>
        <v>-13410</v>
      </c>
      <c r="E143" s="98">
        <f>-E179</f>
        <v>-13410</v>
      </c>
      <c r="F143" s="98">
        <f>-F179</f>
        <v>-240</v>
      </c>
      <c r="G143" s="98">
        <f>-G179</f>
        <v>-240</v>
      </c>
      <c r="M143" s="55" t="s">
        <v>289</v>
      </c>
    </row>
    <row r="144" spans="1:7" ht="15.75" thickBot="1">
      <c r="A144" s="88" t="s">
        <v>237</v>
      </c>
      <c r="B144" s="139" t="s">
        <v>208</v>
      </c>
      <c r="C144" s="140">
        <f>C137+C138+C139+C140+C141+C142+C143</f>
        <v>57974.26635587512</v>
      </c>
      <c r="D144" s="140">
        <f>D137+D138+D139+D140+D141+D142+D143</f>
        <v>61555.937851293114</v>
      </c>
      <c r="E144" s="140">
        <f>E137+E138+E139+E140+E141+E142+E143</f>
        <v>66711.23588698865</v>
      </c>
      <c r="F144" s="140">
        <f>F137+F138+F139+F140+F141+F142+F143</f>
        <v>85168.8632383508</v>
      </c>
      <c r="G144" s="140">
        <f>G137+G138+G139+G140+G141+G142+G143</f>
        <v>92125.09018036103</v>
      </c>
    </row>
    <row r="145" spans="1:7" ht="15">
      <c r="A145" s="134" t="s">
        <v>211</v>
      </c>
      <c r="B145" s="141" t="s">
        <v>208</v>
      </c>
      <c r="C145" s="142">
        <f>-B116</f>
        <v>-13141.99698337137</v>
      </c>
      <c r="D145" s="142">
        <f>-C116</f>
        <v>-13766.574942401572</v>
      </c>
      <c r="E145" s="142">
        <f>-D116</f>
        <v>-14712.810550332244</v>
      </c>
      <c r="F145" s="142">
        <f>-E116</f>
        <v>-18471.86469238179</v>
      </c>
      <c r="G145" s="142">
        <f>-F116</f>
        <v>-19771.645464622336</v>
      </c>
    </row>
    <row r="146" spans="1:12" ht="15">
      <c r="A146" s="95" t="s">
        <v>186</v>
      </c>
      <c r="B146" s="143" t="s">
        <v>208</v>
      </c>
      <c r="C146" s="98">
        <f>C144+C145</f>
        <v>44832.26937250375</v>
      </c>
      <c r="D146" s="98">
        <f>D144+D145</f>
        <v>47789.36290889154</v>
      </c>
      <c r="E146" s="98">
        <f>E144+E145</f>
        <v>51998.42533665641</v>
      </c>
      <c r="F146" s="98">
        <f>F144+F145</f>
        <v>66696.998545969</v>
      </c>
      <c r="G146" s="98">
        <f>G144+G145</f>
        <v>72353.4447157387</v>
      </c>
      <c r="J146" t="s">
        <v>260</v>
      </c>
      <c r="L146" s="4">
        <f>K139</f>
        <v>10756.610753748091</v>
      </c>
    </row>
    <row r="147" spans="1:7" ht="15">
      <c r="A147" s="95" t="s">
        <v>157</v>
      </c>
      <c r="B147" s="143" t="s">
        <v>208</v>
      </c>
      <c r="C147" s="98">
        <f aca="true" t="shared" si="5" ref="C147:G148">B110</f>
        <v>3751.125357142857</v>
      </c>
      <c r="D147" s="98">
        <f t="shared" si="5"/>
        <v>3751.125357142857</v>
      </c>
      <c r="E147" s="98">
        <f t="shared" si="5"/>
        <v>3751.125357142857</v>
      </c>
      <c r="F147" s="98">
        <f t="shared" si="5"/>
        <v>3751.125357142857</v>
      </c>
      <c r="G147" s="98">
        <f t="shared" si="5"/>
        <v>3751.125357142857</v>
      </c>
    </row>
    <row r="148" spans="1:7" ht="15">
      <c r="A148" s="95" t="s">
        <v>210</v>
      </c>
      <c r="B148" s="143" t="s">
        <v>208</v>
      </c>
      <c r="C148" s="98">
        <f>B111</f>
        <v>13410</v>
      </c>
      <c r="D148" s="98">
        <f t="shared" si="5"/>
        <v>13410</v>
      </c>
      <c r="E148" s="98">
        <f t="shared" si="5"/>
        <v>13410</v>
      </c>
      <c r="F148" s="98">
        <f t="shared" si="5"/>
        <v>240</v>
      </c>
      <c r="G148" s="98">
        <f t="shared" si="5"/>
        <v>240</v>
      </c>
    </row>
    <row r="149" spans="1:13" ht="15">
      <c r="A149" s="95" t="s">
        <v>212</v>
      </c>
      <c r="B149" s="97">
        <f>-J109</f>
        <v>-66835.3125</v>
      </c>
      <c r="C149" s="112"/>
      <c r="D149" s="112"/>
      <c r="E149" s="112"/>
      <c r="F149" s="112"/>
      <c r="G149" s="112"/>
      <c r="K149" s="53"/>
      <c r="L149" s="156" t="s">
        <v>238</v>
      </c>
      <c r="M149" s="53"/>
    </row>
    <row r="150" spans="1:13" ht="15.75" thickBot="1">
      <c r="A150" s="95" t="s">
        <v>213</v>
      </c>
      <c r="B150" s="97">
        <f>-J111</f>
        <v>-36873.83354979566</v>
      </c>
      <c r="C150" s="112"/>
      <c r="D150" s="112"/>
      <c r="E150" s="112"/>
      <c r="F150" s="112"/>
      <c r="G150" s="112"/>
      <c r="K150" s="53"/>
      <c r="L150" s="156" t="s">
        <v>262</v>
      </c>
      <c r="M150" s="53"/>
    </row>
    <row r="151" spans="1:14" ht="15.75" thickBot="1">
      <c r="A151" s="95" t="s">
        <v>238</v>
      </c>
      <c r="B151" s="100">
        <f>J115</f>
        <v>41483.65841991827</v>
      </c>
      <c r="C151" s="103"/>
      <c r="D151" s="103"/>
      <c r="E151" s="103"/>
      <c r="F151" s="103"/>
      <c r="G151" s="103"/>
      <c r="J151" s="157" t="s">
        <v>263</v>
      </c>
      <c r="K151" s="157" t="s">
        <v>264</v>
      </c>
      <c r="L151" s="158" t="s">
        <v>265</v>
      </c>
      <c r="M151" s="157" t="s">
        <v>180</v>
      </c>
      <c r="N151" s="159" t="s">
        <v>204</v>
      </c>
    </row>
    <row r="152" spans="1:14" ht="15">
      <c r="A152" s="95" t="s">
        <v>239</v>
      </c>
      <c r="B152" s="8"/>
      <c r="C152" s="101">
        <f>-M153</f>
        <v>-6886.185423169717</v>
      </c>
      <c r="D152" s="101">
        <f>-M154</f>
        <v>-7528.666523151451</v>
      </c>
      <c r="E152" s="101">
        <f>-M155</f>
        <v>-8231.09110976148</v>
      </c>
      <c r="F152" s="101">
        <f>-M156</f>
        <v>-8999.051910302227</v>
      </c>
      <c r="G152" s="101">
        <f>-M157</f>
        <v>-9838.663453533425</v>
      </c>
      <c r="J152" s="160" t="s">
        <v>266</v>
      </c>
      <c r="K152" s="67">
        <v>0</v>
      </c>
      <c r="L152" s="161">
        <v>0</v>
      </c>
      <c r="M152" s="161">
        <v>0</v>
      </c>
      <c r="N152" s="166">
        <f>J115</f>
        <v>41483.65841991827</v>
      </c>
    </row>
    <row r="153" spans="1:14" ht="15.75" thickBot="1">
      <c r="A153" s="104" t="s">
        <v>214</v>
      </c>
      <c r="B153" s="115"/>
      <c r="C153" s="114"/>
      <c r="D153" s="112"/>
      <c r="E153" s="112"/>
      <c r="F153" s="112"/>
      <c r="G153" s="114">
        <f>J100*10%</f>
        <v>1850</v>
      </c>
      <c r="J153" s="162" t="s">
        <v>267</v>
      </c>
      <c r="K153" s="68">
        <f>K139</f>
        <v>10756.610753748091</v>
      </c>
      <c r="L153" s="68">
        <f>N152*K137</f>
        <v>3870.425330578374</v>
      </c>
      <c r="M153" s="68">
        <f>K153-L153</f>
        <v>6886.185423169717</v>
      </c>
      <c r="N153" s="69">
        <f>N152-M153</f>
        <v>34597.472996748555</v>
      </c>
    </row>
    <row r="154" spans="1:14" ht="15.75" thickBot="1">
      <c r="A154" s="144" t="s">
        <v>240</v>
      </c>
      <c r="B154" s="145">
        <f>B149+B150+B151</f>
        <v>-62225.48762987739</v>
      </c>
      <c r="C154" s="146">
        <f>C146+C147+C148+C152</f>
        <v>55107.20930647689</v>
      </c>
      <c r="D154" s="146">
        <f>D146+D147+D148+D152</f>
        <v>57421.82174288295</v>
      </c>
      <c r="E154" s="146">
        <f>E146+E147+E148+E152</f>
        <v>60928.45958403778</v>
      </c>
      <c r="F154" s="146">
        <f>F146+F147+F148+F152</f>
        <v>61689.07199280964</v>
      </c>
      <c r="G154" s="146">
        <f>G146+G147+G148+G153</f>
        <v>78194.57007288156</v>
      </c>
      <c r="J154" s="162" t="s">
        <v>268</v>
      </c>
      <c r="K154" s="68">
        <f>K139</f>
        <v>10756.610753748091</v>
      </c>
      <c r="L154" s="68">
        <f>N153*K137</f>
        <v>3227.94423059664</v>
      </c>
      <c r="M154" s="68">
        <f>K154-L154</f>
        <v>7528.666523151451</v>
      </c>
      <c r="N154" s="69">
        <f>N153-M154</f>
        <v>27068.806473597106</v>
      </c>
    </row>
    <row r="155" spans="1:14" ht="15">
      <c r="A155" s="147" t="s">
        <v>241</v>
      </c>
      <c r="B155" s="148">
        <f>C216</f>
        <v>0.27171703703703703</v>
      </c>
      <c r="C155" s="115"/>
      <c r="D155" s="115"/>
      <c r="E155" s="115"/>
      <c r="F155" s="115"/>
      <c r="G155" s="115"/>
      <c r="J155" s="162" t="s">
        <v>269</v>
      </c>
      <c r="K155" s="68">
        <f>K139</f>
        <v>10756.610753748091</v>
      </c>
      <c r="L155" s="165">
        <f>N154*K137</f>
        <v>2525.51964398661</v>
      </c>
      <c r="M155" s="68">
        <f>K155-L155</f>
        <v>8231.09110976148</v>
      </c>
      <c r="N155" s="69">
        <f>N154-M155</f>
        <v>18837.715363835625</v>
      </c>
    </row>
    <row r="156" spans="1:14" ht="15">
      <c r="A156" s="126" t="s">
        <v>217</v>
      </c>
      <c r="B156" s="149">
        <f>B199</f>
        <v>0.8916589894156501</v>
      </c>
      <c r="C156" s="115"/>
      <c r="D156" s="115"/>
      <c r="E156" s="115"/>
      <c r="F156" s="115"/>
      <c r="G156" s="115"/>
      <c r="J156" s="162" t="s">
        <v>270</v>
      </c>
      <c r="K156" s="68">
        <f>K139</f>
        <v>10756.610753748091</v>
      </c>
      <c r="L156" s="68">
        <f>N155*K137</f>
        <v>1757.5588434458637</v>
      </c>
      <c r="M156" s="68">
        <f>K156-L156</f>
        <v>8999.051910302227</v>
      </c>
      <c r="N156" s="69">
        <f>N155-M156</f>
        <v>9838.663453533398</v>
      </c>
    </row>
    <row r="157" spans="1:14" ht="15.75" thickBot="1">
      <c r="A157" s="150" t="s">
        <v>218</v>
      </c>
      <c r="B157" s="151"/>
      <c r="C157" s="115"/>
      <c r="D157" s="115"/>
      <c r="E157" s="115"/>
      <c r="F157" s="115"/>
      <c r="G157" s="115"/>
      <c r="J157" s="162" t="s">
        <v>271</v>
      </c>
      <c r="K157" s="68">
        <f>K139</f>
        <v>10756.610753748091</v>
      </c>
      <c r="L157" s="68">
        <f>N156*K137</f>
        <v>917.9473002146659</v>
      </c>
      <c r="M157" s="68">
        <f>K157-L157</f>
        <v>9838.663453533425</v>
      </c>
      <c r="N157" s="69">
        <f>N156-M157</f>
        <v>-2.7284841053187847E-11</v>
      </c>
    </row>
    <row r="158" spans="10:14" ht="15.75" thickBot="1">
      <c r="J158" s="163" t="s">
        <v>272</v>
      </c>
      <c r="K158" s="84">
        <f>SUM(K152:K157)</f>
        <v>53783.05376874046</v>
      </c>
      <c r="L158" s="84">
        <f>SUM(L152:L157)</f>
        <v>12299.395348822154</v>
      </c>
      <c r="M158" s="74">
        <f>SUM(M152:M157)</f>
        <v>41483.6584199183</v>
      </c>
      <c r="N158" s="164"/>
    </row>
    <row r="160" ht="15.75" thickBot="1"/>
    <row r="161" spans="1:7" ht="15.75" thickBot="1">
      <c r="A161" s="266" t="s">
        <v>206</v>
      </c>
      <c r="B161" s="267"/>
      <c r="C161" s="267"/>
      <c r="D161" s="267"/>
      <c r="E161" s="267"/>
      <c r="F161" s="267"/>
      <c r="G161" s="268"/>
    </row>
    <row r="162" spans="1:7" ht="15.75" thickBot="1">
      <c r="A162" s="88" t="s">
        <v>124</v>
      </c>
      <c r="B162" s="88">
        <v>0</v>
      </c>
      <c r="C162" s="89">
        <v>1</v>
      </c>
      <c r="D162" s="90">
        <v>2</v>
      </c>
      <c r="E162" s="90">
        <v>3</v>
      </c>
      <c r="F162" s="90">
        <v>4</v>
      </c>
      <c r="G162" s="91">
        <v>5</v>
      </c>
    </row>
    <row r="163" spans="1:7" ht="15">
      <c r="A163" s="92" t="s">
        <v>207</v>
      </c>
      <c r="B163" s="93" t="s">
        <v>208</v>
      </c>
      <c r="C163" s="94">
        <f>B99</f>
        <v>1914938.8772615797</v>
      </c>
      <c r="D163" s="94">
        <f>C99</f>
        <v>1934088.2660341957</v>
      </c>
      <c r="E163" s="94">
        <f>D99</f>
        <v>1963099.5900247085</v>
      </c>
      <c r="F163" s="94">
        <f>E99</f>
        <v>1992546.083875079</v>
      </c>
      <c r="G163" s="94">
        <f>F99</f>
        <v>2032397.0055525806</v>
      </c>
    </row>
    <row r="164" spans="1:7" ht="15">
      <c r="A164" s="95" t="s">
        <v>175</v>
      </c>
      <c r="B164" s="96" t="s">
        <v>208</v>
      </c>
      <c r="C164" s="97">
        <f>B100</f>
        <v>1621019.8377179834</v>
      </c>
      <c r="D164" s="97">
        <f>C100</f>
        <v>1637230.036095163</v>
      </c>
      <c r="E164" s="97">
        <f>D100</f>
        <v>1661788.4866365904</v>
      </c>
      <c r="F164" s="97">
        <f>E100</f>
        <v>1686715.3139361395</v>
      </c>
      <c r="G164" s="97">
        <f>F100</f>
        <v>1720449.620214862</v>
      </c>
    </row>
    <row r="165" spans="1:7" ht="15">
      <c r="A165" s="72" t="s">
        <v>176</v>
      </c>
      <c r="B165" s="99" t="s">
        <v>208</v>
      </c>
      <c r="C165" s="100">
        <f>C163-C164</f>
        <v>293919.03954359633</v>
      </c>
      <c r="D165" s="101">
        <f>D163-D164</f>
        <v>296858.2299390326</v>
      </c>
      <c r="E165" s="101">
        <f>E163-E164</f>
        <v>301311.1033881181</v>
      </c>
      <c r="F165" s="100">
        <f>F163-F164</f>
        <v>305830.7699389395</v>
      </c>
      <c r="G165" s="101">
        <f>G163-G164</f>
        <v>311947.38533771853</v>
      </c>
    </row>
    <row r="166" spans="1:7" ht="15">
      <c r="A166" s="73" t="s">
        <v>177</v>
      </c>
      <c r="B166" s="102"/>
      <c r="C166" s="8"/>
      <c r="D166" s="103"/>
      <c r="E166" s="103"/>
      <c r="F166" s="8"/>
      <c r="G166" s="103"/>
    </row>
    <row r="167" spans="1:7" ht="15">
      <c r="A167" s="95" t="s">
        <v>209</v>
      </c>
      <c r="B167" s="96" t="s">
        <v>208</v>
      </c>
      <c r="C167" s="97">
        <f>B108</f>
        <v>122145.78249999999</v>
      </c>
      <c r="D167" s="97">
        <f>C108</f>
        <v>122145.78249999999</v>
      </c>
      <c r="E167" s="97">
        <f>D108</f>
        <v>122145.78249999999</v>
      </c>
      <c r="F167" s="97">
        <f>E108</f>
        <v>122145.78249999999</v>
      </c>
      <c r="G167" s="97">
        <f>F108</f>
        <v>122145.78249999999</v>
      </c>
    </row>
    <row r="168" spans="1:7" ht="15">
      <c r="A168" s="95" t="s">
        <v>152</v>
      </c>
      <c r="B168" s="96" t="s">
        <v>208</v>
      </c>
      <c r="C168" s="97">
        <f>B109</f>
        <v>92767.44</v>
      </c>
      <c r="D168" s="97">
        <f>C109</f>
        <v>92767.44</v>
      </c>
      <c r="E168" s="97">
        <f>D109</f>
        <v>92767.44</v>
      </c>
      <c r="F168" s="97">
        <f>E109</f>
        <v>92767.44</v>
      </c>
      <c r="G168" s="97">
        <f>F109</f>
        <v>92767.44</v>
      </c>
    </row>
    <row r="169" spans="1:7" ht="15">
      <c r="A169" s="95" t="s">
        <v>157</v>
      </c>
      <c r="B169" s="96" t="s">
        <v>208</v>
      </c>
      <c r="C169" s="97">
        <f>B110</f>
        <v>3751.125357142857</v>
      </c>
      <c r="D169" s="97">
        <f>C110</f>
        <v>3751.125357142857</v>
      </c>
      <c r="E169" s="97">
        <f>D110</f>
        <v>3751.125357142857</v>
      </c>
      <c r="F169" s="97">
        <f>E110</f>
        <v>3751.125357142857</v>
      </c>
      <c r="G169" s="97">
        <f>F110</f>
        <v>3751.125357142857</v>
      </c>
    </row>
    <row r="170" spans="1:7" ht="15">
      <c r="A170" s="95" t="s">
        <v>210</v>
      </c>
      <c r="B170" s="96" t="s">
        <v>208</v>
      </c>
      <c r="C170" s="97">
        <f>B111</f>
        <v>13410</v>
      </c>
      <c r="D170" s="97">
        <f>C111</f>
        <v>13410</v>
      </c>
      <c r="E170" s="97">
        <f>D111</f>
        <v>13410</v>
      </c>
      <c r="F170" s="97">
        <f>E111</f>
        <v>240</v>
      </c>
      <c r="G170" s="97">
        <f>F111</f>
        <v>240</v>
      </c>
    </row>
    <row r="171" spans="1:7" ht="15">
      <c r="A171" s="95" t="s">
        <v>181</v>
      </c>
      <c r="B171" s="99" t="s">
        <v>208</v>
      </c>
      <c r="C171" s="100">
        <f>C167+C168+C169+C170</f>
        <v>232074.34785714283</v>
      </c>
      <c r="D171" s="100">
        <f>D167+D168+D169+D170</f>
        <v>232074.34785714283</v>
      </c>
      <c r="E171" s="100">
        <f>E167+E168+E169+E170</f>
        <v>232074.34785714283</v>
      </c>
      <c r="F171" s="100">
        <f>F167+F168+F169+F170</f>
        <v>218904.34785714283</v>
      </c>
      <c r="G171" s="100">
        <f>G167+G168+G169+G170</f>
        <v>218904.34785714283</v>
      </c>
    </row>
    <row r="172" spans="1:7" ht="15">
      <c r="A172" s="95"/>
      <c r="B172" s="99"/>
      <c r="C172" s="185">
        <f>C163/(C171+C164)</f>
        <v>1.0333737443934936</v>
      </c>
      <c r="D172" s="185">
        <f>D163/(D171+D164)</f>
        <v>1.0346566790502658</v>
      </c>
      <c r="E172" s="185">
        <f>E163/(E171+E164)</f>
        <v>1.036558484738143</v>
      </c>
      <c r="F172" s="185">
        <f>F163/(F171+F164)</f>
        <v>1.0456158297611153</v>
      </c>
      <c r="G172" s="185">
        <f>G163/(G171+G164)</f>
        <v>1.0479763050027808</v>
      </c>
    </row>
    <row r="173" spans="1:7" ht="15">
      <c r="A173" s="104" t="s">
        <v>182</v>
      </c>
      <c r="B173" s="105" t="s">
        <v>208</v>
      </c>
      <c r="C173" s="106">
        <f>C165-C171</f>
        <v>61844.6916864535</v>
      </c>
      <c r="D173" s="106">
        <f>D165-D171</f>
        <v>64783.88208188975</v>
      </c>
      <c r="E173" s="106">
        <f>E165-E171</f>
        <v>69236.75553097526</v>
      </c>
      <c r="F173" s="106">
        <f>F165-F171</f>
        <v>86926.42208179666</v>
      </c>
      <c r="G173" s="106">
        <f>G165-G171</f>
        <v>93043.0374805757</v>
      </c>
    </row>
    <row r="174" spans="1:7" ht="15">
      <c r="A174" s="104" t="s">
        <v>362</v>
      </c>
      <c r="B174" s="105"/>
      <c r="C174" s="106">
        <f>-(C173*0.15)</f>
        <v>-9276.703752968026</v>
      </c>
      <c r="D174" s="106">
        <f>-(D173*0.15)</f>
        <v>-9717.582312283463</v>
      </c>
      <c r="E174" s="106">
        <f>-(E173*0.15)</f>
        <v>-10385.51332964629</v>
      </c>
      <c r="F174" s="106">
        <f>-(F173*0.15)</f>
        <v>-13038.963312269498</v>
      </c>
      <c r="G174" s="106">
        <f>-(G173*0.15)</f>
        <v>-13956.455622086354</v>
      </c>
    </row>
    <row r="175" spans="1:7" ht="15">
      <c r="A175" s="104" t="s">
        <v>363</v>
      </c>
      <c r="B175" s="107" t="s">
        <v>208</v>
      </c>
      <c r="C175" s="108">
        <f>C173+C174</f>
        <v>52567.98793348548</v>
      </c>
      <c r="D175" s="108">
        <f>D173+D174</f>
        <v>55066.29976960629</v>
      </c>
      <c r="E175" s="108">
        <f>E173+E174</f>
        <v>58851.242201328976</v>
      </c>
      <c r="F175" s="108">
        <f>F173+F174</f>
        <v>73887.45876952716</v>
      </c>
      <c r="G175" s="108">
        <f>G173+G174</f>
        <v>79086.58185848934</v>
      </c>
    </row>
    <row r="176" spans="1:7" ht="15">
      <c r="A176" s="104" t="s">
        <v>364</v>
      </c>
      <c r="B176" s="107"/>
      <c r="C176" s="108">
        <f>-(C175*0.25)</f>
        <v>-13141.99698337137</v>
      </c>
      <c r="D176" s="108">
        <f>-(D175*0.25)</f>
        <v>-13766.574942401572</v>
      </c>
      <c r="E176" s="108">
        <f>-(E175*0.25)</f>
        <v>-14712.810550332244</v>
      </c>
      <c r="F176" s="108">
        <f>-(F175*0.25)</f>
        <v>-18471.86469238179</v>
      </c>
      <c r="G176" s="108">
        <f>-(G175*0.25)</f>
        <v>-19771.645464622336</v>
      </c>
    </row>
    <row r="177" spans="1:7" ht="15">
      <c r="A177" s="95" t="s">
        <v>186</v>
      </c>
      <c r="B177" s="109" t="s">
        <v>208</v>
      </c>
      <c r="C177" s="97">
        <f>C175+C176</f>
        <v>39425.99095011411</v>
      </c>
      <c r="D177" s="97">
        <f>D175+D176</f>
        <v>41299.724827204715</v>
      </c>
      <c r="E177" s="97">
        <f>E175+E176</f>
        <v>44138.43165099673</v>
      </c>
      <c r="F177" s="97">
        <f>F175+F176</f>
        <v>55415.594077145375</v>
      </c>
      <c r="G177" s="97">
        <f>G175+G176</f>
        <v>59314.93639386701</v>
      </c>
    </row>
    <row r="178" spans="1:7" ht="15">
      <c r="A178" s="95" t="s">
        <v>157</v>
      </c>
      <c r="B178" s="109" t="s">
        <v>208</v>
      </c>
      <c r="C178" s="97">
        <f>B110</f>
        <v>3751.125357142857</v>
      </c>
      <c r="D178" s="97">
        <f>C110</f>
        <v>3751.125357142857</v>
      </c>
      <c r="E178" s="97">
        <f>D110</f>
        <v>3751.125357142857</v>
      </c>
      <c r="F178" s="97">
        <f>E110</f>
        <v>3751.125357142857</v>
      </c>
      <c r="G178" s="97">
        <f>F110</f>
        <v>3751.125357142857</v>
      </c>
    </row>
    <row r="179" spans="1:7" ht="15">
      <c r="A179" s="95" t="s">
        <v>210</v>
      </c>
      <c r="B179" s="109" t="s">
        <v>208</v>
      </c>
      <c r="C179" s="97">
        <f>B111</f>
        <v>13410</v>
      </c>
      <c r="D179" s="97">
        <f>C111</f>
        <v>13410</v>
      </c>
      <c r="E179" s="97">
        <f>D111</f>
        <v>13410</v>
      </c>
      <c r="F179" s="97">
        <f>E111</f>
        <v>240</v>
      </c>
      <c r="G179" s="97">
        <f>F111</f>
        <v>240</v>
      </c>
    </row>
    <row r="180" spans="1:7" ht="15">
      <c r="A180" s="110" t="s">
        <v>212</v>
      </c>
      <c r="B180" s="98">
        <f>-J109</f>
        <v>-66835.3125</v>
      </c>
      <c r="C180" s="111"/>
      <c r="D180" s="112"/>
      <c r="E180" s="112"/>
      <c r="F180" s="111"/>
      <c r="G180" s="112"/>
    </row>
    <row r="181" spans="1:7" ht="15">
      <c r="A181" s="110" t="s">
        <v>213</v>
      </c>
      <c r="B181" s="98">
        <f>-J111</f>
        <v>-36873.83354979566</v>
      </c>
      <c r="C181" s="111"/>
      <c r="D181" s="112"/>
      <c r="E181" s="112"/>
      <c r="F181" s="111"/>
      <c r="G181" s="112"/>
    </row>
    <row r="182" spans="1:7" ht="15.75" thickBot="1">
      <c r="A182" s="113" t="s">
        <v>214</v>
      </c>
      <c r="B182" s="114"/>
      <c r="C182" s="115"/>
      <c r="D182" s="112"/>
      <c r="E182" s="112"/>
      <c r="F182" s="111"/>
      <c r="G182" s="116">
        <f>J100*0.1</f>
        <v>1850</v>
      </c>
    </row>
    <row r="183" spans="1:7" ht="15.75" thickBot="1">
      <c r="A183" s="117" t="s">
        <v>215</v>
      </c>
      <c r="B183" s="118">
        <f>B180+B181</f>
        <v>-103709.14604979566</v>
      </c>
      <c r="C183" s="119">
        <f>C177+C178+C179</f>
        <v>56587.11630725696</v>
      </c>
      <c r="D183" s="119">
        <f>D177+D178+D179</f>
        <v>58460.85018434757</v>
      </c>
      <c r="E183" s="119">
        <f>E177+E178+E179</f>
        <v>61299.557008139585</v>
      </c>
      <c r="F183" s="119">
        <f>F177+F178+F179</f>
        <v>59406.71943428823</v>
      </c>
      <c r="G183" s="119">
        <f>G177+G178+G179+G182</f>
        <v>65156.06175100987</v>
      </c>
    </row>
    <row r="184" spans="1:7" ht="15">
      <c r="A184" s="120" t="s">
        <v>216</v>
      </c>
      <c r="B184" s="121">
        <f>B194</f>
        <v>0.27171703703703703</v>
      </c>
      <c r="C184" s="115"/>
      <c r="D184" s="115"/>
      <c r="E184" s="115"/>
      <c r="F184" s="115"/>
      <c r="G184" s="115"/>
    </row>
    <row r="185" spans="1:7" ht="15">
      <c r="A185" s="95" t="s">
        <v>217</v>
      </c>
      <c r="B185" s="122">
        <f>IRR(B183:G183)</f>
        <v>0.49035713201572256</v>
      </c>
      <c r="C185" s="115"/>
      <c r="D185" s="115"/>
      <c r="E185" s="115"/>
      <c r="F185" s="115"/>
      <c r="G185" s="115"/>
    </row>
    <row r="186" spans="1:7" ht="15.75" thickBot="1">
      <c r="A186" s="123" t="s">
        <v>218</v>
      </c>
      <c r="B186" s="118">
        <v>154445</v>
      </c>
      <c r="C186" s="115"/>
      <c r="D186" s="115"/>
      <c r="E186" s="115"/>
      <c r="F186" s="115"/>
      <c r="G186" s="115"/>
    </row>
    <row r="188" spans="3:4" ht="15">
      <c r="C188" s="4"/>
      <c r="D188" s="4"/>
    </row>
    <row r="193" ht="15">
      <c r="B193" s="4"/>
    </row>
    <row r="194" spans="1:10" ht="15">
      <c r="A194" s="179" t="s">
        <v>251</v>
      </c>
      <c r="B194" s="168">
        <f>C216</f>
        <v>0.27171703703703703</v>
      </c>
      <c r="J194" s="4"/>
    </row>
    <row r="195" spans="1:2" ht="15">
      <c r="A195" s="179" t="s">
        <v>291</v>
      </c>
      <c r="B195" s="4"/>
    </row>
    <row r="198" spans="1:7" ht="15">
      <c r="A198" t="s">
        <v>292</v>
      </c>
      <c r="B198" s="4">
        <f aca="true" t="shared" si="6" ref="B198:G198">B154</f>
        <v>-62225.48762987739</v>
      </c>
      <c r="C198" s="4">
        <f t="shared" si="6"/>
        <v>55107.20930647689</v>
      </c>
      <c r="D198" s="4">
        <f t="shared" si="6"/>
        <v>57421.82174288295</v>
      </c>
      <c r="E198" s="4">
        <f t="shared" si="6"/>
        <v>60928.45958403778</v>
      </c>
      <c r="F198" s="4">
        <f t="shared" si="6"/>
        <v>61689.07199280964</v>
      </c>
      <c r="G198" s="4">
        <f t="shared" si="6"/>
        <v>78194.57007288156</v>
      </c>
    </row>
    <row r="199" spans="1:2" ht="15">
      <c r="A199" t="s">
        <v>293</v>
      </c>
      <c r="B199" s="3">
        <f>IRR(B198:G198,0.1)</f>
        <v>0.8916589894156501</v>
      </c>
    </row>
    <row r="201" spans="1:6" ht="15">
      <c r="A201" s="271" t="s">
        <v>242</v>
      </c>
      <c r="B201" s="271"/>
      <c r="C201" s="271"/>
      <c r="D201" s="8"/>
      <c r="E201" s="8"/>
      <c r="F201" s="8"/>
    </row>
    <row r="202" spans="1:6" ht="15.75" thickBot="1">
      <c r="A202" s="70"/>
      <c r="B202" s="9"/>
      <c r="C202" s="9"/>
      <c r="D202" s="9"/>
      <c r="E202" s="9"/>
      <c r="F202" s="9"/>
    </row>
    <row r="203" spans="1:10" ht="15">
      <c r="A203" s="70" t="s">
        <v>243</v>
      </c>
      <c r="B203" s="9" t="s">
        <v>244</v>
      </c>
      <c r="C203" s="152" t="s">
        <v>245</v>
      </c>
      <c r="D203" s="9"/>
      <c r="E203" s="9"/>
      <c r="F203" s="173" t="s">
        <v>255</v>
      </c>
      <c r="G203" s="174">
        <f>J115</f>
        <v>41483.65841991827</v>
      </c>
      <c r="I203" s="180" t="s">
        <v>294</v>
      </c>
      <c r="J203" t="s">
        <v>365</v>
      </c>
    </row>
    <row r="204" spans="1:9" ht="15">
      <c r="A204" s="70"/>
      <c r="B204" s="9"/>
      <c r="C204" s="9" t="s">
        <v>246</v>
      </c>
      <c r="D204" s="9"/>
      <c r="E204" s="9"/>
      <c r="F204" s="175" t="s">
        <v>256</v>
      </c>
      <c r="G204" s="29">
        <f>J114</f>
        <v>62225.48762987739</v>
      </c>
      <c r="I204" s="212">
        <v>807.75</v>
      </c>
    </row>
    <row r="205" spans="1:9" ht="15">
      <c r="A205" s="8"/>
      <c r="B205" s="8"/>
      <c r="C205" s="8"/>
      <c r="D205" s="8"/>
      <c r="E205" s="8"/>
      <c r="F205" s="7" t="s">
        <v>288</v>
      </c>
      <c r="G205" s="176">
        <v>0.25</v>
      </c>
      <c r="I205" s="212">
        <v>823.25</v>
      </c>
    </row>
    <row r="206" spans="1:9" ht="15">
      <c r="A206" s="8"/>
      <c r="B206" s="8" t="s">
        <v>244</v>
      </c>
      <c r="C206" s="272">
        <f>H222</f>
        <v>0.8466666666666667</v>
      </c>
      <c r="D206" s="273"/>
      <c r="E206" s="8"/>
      <c r="F206" s="177" t="s">
        <v>257</v>
      </c>
      <c r="G206" s="23">
        <f>H222</f>
        <v>0.8466666666666667</v>
      </c>
      <c r="I206" s="180">
        <v>831</v>
      </c>
    </row>
    <row r="207" spans="2:9" ht="15.75" thickBot="1">
      <c r="B207" s="8"/>
      <c r="C207" t="s">
        <v>247</v>
      </c>
      <c r="D207" s="4">
        <f>J115</f>
        <v>41483.65841991827</v>
      </c>
      <c r="F207" s="178" t="s">
        <v>287</v>
      </c>
      <c r="G207" s="30">
        <f>J116</f>
        <v>103709.14604979566</v>
      </c>
      <c r="I207" s="4">
        <f>SUM(I204:I206)</f>
        <v>2462</v>
      </c>
    </row>
    <row r="208" spans="4:10" ht="15">
      <c r="D208" s="4">
        <f>J114</f>
        <v>62225.48762987739</v>
      </c>
      <c r="I208" s="211">
        <f>I207/100</f>
        <v>24.62</v>
      </c>
      <c r="J208" s="225"/>
    </row>
    <row r="209" ht="15">
      <c r="I209">
        <f>I208/100</f>
        <v>0.2462</v>
      </c>
    </row>
    <row r="210" spans="1:6" ht="15">
      <c r="A210" s="38" t="s">
        <v>242</v>
      </c>
      <c r="B210" s="38" t="s">
        <v>244</v>
      </c>
      <c r="C210" s="170">
        <f>(C206/(1+(0.75)*(D207/D208)))</f>
        <v>0.5644444444444444</v>
      </c>
      <c r="D210" s="153"/>
      <c r="E210" s="153"/>
      <c r="F210" s="153"/>
    </row>
    <row r="211" spans="1:6" ht="15">
      <c r="A211" s="38"/>
      <c r="B211" s="38"/>
      <c r="C211" s="38"/>
      <c r="D211" s="38"/>
      <c r="E211" s="38"/>
      <c r="F211" s="38"/>
    </row>
    <row r="212" spans="1:6" ht="15">
      <c r="A212" s="260" t="s">
        <v>248</v>
      </c>
      <c r="B212" s="260"/>
      <c r="C212" s="260"/>
      <c r="D212" s="260"/>
      <c r="E212" s="260"/>
      <c r="F212" s="260"/>
    </row>
    <row r="213" spans="1:6" ht="15">
      <c r="A213" s="38" t="s">
        <v>249</v>
      </c>
      <c r="B213" s="11" t="s">
        <v>244</v>
      </c>
      <c r="C213" s="264" t="s">
        <v>250</v>
      </c>
      <c r="D213" s="264"/>
      <c r="E213" s="264"/>
      <c r="F213" s="264"/>
    </row>
    <row r="214" spans="1:6" ht="15">
      <c r="A214" s="38"/>
      <c r="B214" s="11" t="s">
        <v>244</v>
      </c>
      <c r="C214" s="265" t="s">
        <v>366</v>
      </c>
      <c r="D214" s="265"/>
      <c r="E214" s="265"/>
      <c r="F214" s="11"/>
    </row>
    <row r="215" spans="1:6" ht="15">
      <c r="A215" s="38"/>
      <c r="B215" s="11" t="s">
        <v>244</v>
      </c>
      <c r="C215" s="154">
        <f>B220+(B221-B220)*C210+B223</f>
        <v>0.27171703703703703</v>
      </c>
      <c r="D215" s="11"/>
      <c r="E215" s="11"/>
      <c r="F215" s="11"/>
    </row>
    <row r="216" spans="1:6" ht="15.75" thickBot="1">
      <c r="A216" s="38" t="s">
        <v>251</v>
      </c>
      <c r="B216" s="11" t="s">
        <v>244</v>
      </c>
      <c r="C216" s="154">
        <f>C215</f>
        <v>0.27171703703703703</v>
      </c>
      <c r="D216" s="11"/>
      <c r="E216" s="154"/>
      <c r="F216" s="11"/>
    </row>
    <row r="217" spans="1:9" ht="15">
      <c r="A217" s="38"/>
      <c r="B217" s="11"/>
      <c r="C217" s="11"/>
      <c r="D217" s="154"/>
      <c r="E217" s="11"/>
      <c r="F217" s="11"/>
      <c r="G217" s="20"/>
      <c r="H217" s="21" t="s">
        <v>279</v>
      </c>
      <c r="I217" s="22" t="s">
        <v>280</v>
      </c>
    </row>
    <row r="218" spans="7:9" ht="15">
      <c r="G218" s="7" t="s">
        <v>275</v>
      </c>
      <c r="H218" s="8">
        <v>0.6</v>
      </c>
      <c r="I218" s="171">
        <v>0.0391</v>
      </c>
    </row>
    <row r="219" spans="7:9" ht="15">
      <c r="G219" s="7" t="s">
        <v>276</v>
      </c>
      <c r="H219" s="8">
        <v>1.17</v>
      </c>
      <c r="I219" s="171">
        <v>0.008</v>
      </c>
    </row>
    <row r="220" spans="1:9" ht="15">
      <c r="A220" t="s">
        <v>252</v>
      </c>
      <c r="B220" s="168">
        <v>0.0242</v>
      </c>
      <c r="C220" s="227" t="s">
        <v>367</v>
      </c>
      <c r="E220" s="3"/>
      <c r="G220" s="7" t="s">
        <v>277</v>
      </c>
      <c r="H220" s="8">
        <v>0.77</v>
      </c>
      <c r="I220" s="171">
        <v>0.0325</v>
      </c>
    </row>
    <row r="221" spans="1:9" ht="15">
      <c r="A221" t="s">
        <v>253</v>
      </c>
      <c r="B221" s="168">
        <f>I222</f>
        <v>0.026533333333333336</v>
      </c>
      <c r="E221" s="3"/>
      <c r="G221" s="7"/>
      <c r="H221" s="8">
        <f>SUM(H218:H220)</f>
        <v>2.54</v>
      </c>
      <c r="I221" s="171">
        <f>SUM(I218:I220)</f>
        <v>0.0796</v>
      </c>
    </row>
    <row r="222" spans="1:9" ht="15.75" thickBot="1">
      <c r="A222" t="s">
        <v>258</v>
      </c>
      <c r="B222" s="26">
        <f>C210</f>
        <v>0.5644444444444444</v>
      </c>
      <c r="C222" s="227" t="s">
        <v>369</v>
      </c>
      <c r="G222" s="24" t="s">
        <v>278</v>
      </c>
      <c r="H222" s="242">
        <f>H221/3</f>
        <v>0.8466666666666667</v>
      </c>
      <c r="I222" s="172">
        <f>I221/3</f>
        <v>0.026533333333333336</v>
      </c>
    </row>
    <row r="223" spans="1:3" ht="15">
      <c r="A223" t="s">
        <v>254</v>
      </c>
      <c r="B223" s="254">
        <v>0.2462</v>
      </c>
      <c r="C223" s="227" t="s">
        <v>368</v>
      </c>
    </row>
    <row r="226" ht="15">
      <c r="A226" t="s">
        <v>290</v>
      </c>
    </row>
    <row r="229" spans="1:6" ht="15">
      <c r="A229" s="261" t="s">
        <v>281</v>
      </c>
      <c r="B229" s="261"/>
      <c r="C229" s="261"/>
      <c r="D229" s="261"/>
      <c r="E229" s="261"/>
      <c r="F229" s="261"/>
    </row>
    <row r="231" spans="1:6" ht="15">
      <c r="A231" t="s">
        <v>282</v>
      </c>
      <c r="B231" t="s">
        <v>244</v>
      </c>
      <c r="C231" s="255" t="s">
        <v>283</v>
      </c>
      <c r="D231" s="255"/>
      <c r="E231" s="255"/>
      <c r="F231" s="255"/>
    </row>
    <row r="232" spans="2:3" ht="15">
      <c r="B232" t="s">
        <v>244</v>
      </c>
      <c r="C232" s="168">
        <f>B236*(G203/G207)+C215*(G204/G207)</f>
        <v>0.2003502222222222</v>
      </c>
    </row>
    <row r="233" spans="2:3" ht="15">
      <c r="B233" t="s">
        <v>244</v>
      </c>
      <c r="C233" s="168">
        <f>(B236*(G203/G207))+(C216*(G204/G207))</f>
        <v>0.2003502222222222</v>
      </c>
    </row>
    <row r="234" ht="15">
      <c r="C234" s="168"/>
    </row>
    <row r="236" spans="1:2" ht="15">
      <c r="A236" t="s">
        <v>284</v>
      </c>
      <c r="B236" s="168">
        <v>0.0933</v>
      </c>
    </row>
    <row r="237" ht="15">
      <c r="A237" t="s">
        <v>285</v>
      </c>
    </row>
    <row r="238" ht="15">
      <c r="A238" t="s">
        <v>286</v>
      </c>
    </row>
  </sheetData>
  <sheetProtection/>
  <mergeCells count="14">
    <mergeCell ref="J87:K87"/>
    <mergeCell ref="C231:F231"/>
    <mergeCell ref="A93:F93"/>
    <mergeCell ref="C213:F213"/>
    <mergeCell ref="C214:E214"/>
    <mergeCell ref="A161:G161"/>
    <mergeCell ref="A135:G135"/>
    <mergeCell ref="A201:C201"/>
    <mergeCell ref="C206:D206"/>
    <mergeCell ref="D72:H72"/>
    <mergeCell ref="D71:H71"/>
    <mergeCell ref="A212:F212"/>
    <mergeCell ref="A229:F229"/>
    <mergeCell ref="C75:G75"/>
  </mergeCells>
  <hyperlinks>
    <hyperlink ref="C220" r:id="rId1" display="www.portafoliopersonal.com"/>
    <hyperlink ref="C223" r:id="rId2" display="www.bce.gov.ec"/>
    <hyperlink ref="C222" r:id="rId3" display="www.google.finanzas.com"/>
  </hyperlinks>
  <printOptions/>
  <pageMargins left="0.7" right="0.7" top="0.75" bottom="0.75" header="0.3" footer="0.3"/>
  <pageSetup horizontalDpi="1200" verticalDpi="12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Gaby B. Manzano</cp:lastModifiedBy>
  <dcterms:created xsi:type="dcterms:W3CDTF">2010-03-29T23:05:18Z</dcterms:created>
  <dcterms:modified xsi:type="dcterms:W3CDTF">2010-05-05T20:30:52Z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